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64011"/>
  <bookViews>
    <workbookView xWindow="0" yWindow="0" windowWidth="28800" windowHeight="12300" tabRatio="867"/>
  </bookViews>
  <sheets>
    <sheet name="AAA Summary" sheetId="15" r:id="rId1"/>
    <sheet name="LL Revascularisation Summary" sheetId="34" r:id="rId2"/>
    <sheet name="Elective Infra-Renal AAA Repair" sheetId="29" state="hidden" r:id="rId3"/>
    <sheet name="AAA 2020 Report" sheetId="3" state="hidden" r:id="rId4"/>
    <sheet name="LL Revasc Data" sheetId="35" state="hidden" r:id="rId5"/>
    <sheet name="Angioplasty Summary" sheetId="23" r:id="rId6"/>
    <sheet name="Bypass Summary" sheetId="21" r:id="rId7"/>
    <sheet name="Amputation Summary" sheetId="25" r:id="rId8"/>
    <sheet name="CEA Summary" sheetId="12" r:id="rId9"/>
    <sheet name="Lower Limb Bypass" sheetId="33" state="hidden" r:id="rId10"/>
    <sheet name="Lower Limb Angioplasty" sheetId="32" state="hidden" r:id="rId11"/>
    <sheet name="Major Lower Limb Amputation" sheetId="31" state="hidden" r:id="rId12"/>
    <sheet name="Amp Funnel" sheetId="26" state="hidden" r:id="rId13"/>
    <sheet name="Bypass Funnel" sheetId="22" state="hidden" r:id="rId14"/>
    <sheet name="Angio Funnel" sheetId="24" state="hidden" r:id="rId15"/>
    <sheet name="Carotid Endarterectomy" sheetId="30" state="hidden" r:id="rId16"/>
    <sheet name="CEA Limits" sheetId="13" state="hidden" r:id="rId17"/>
    <sheet name="CEA Funnel" sheetId="14" state="hidden" r:id="rId18"/>
    <sheet name="AAA 2019 Report" sheetId="27" state="hidden" r:id="rId19"/>
    <sheet name="AAA Limits" sheetId="17" state="hidden" r:id="rId20"/>
    <sheet name="AAA Funnel" sheetId="18" state="hidden" r:id="rId21"/>
  </sheets>
  <externalReferences>
    <externalReference r:id="rId22"/>
  </externalReferences>
  <definedNames>
    <definedName name="_xlnm._FilterDatabase" localSheetId="3" hidden="1">'AAA 2020 Report'!$A$7:$O$82</definedName>
    <definedName name="_xlnm._FilterDatabase" localSheetId="4" hidden="1">'LL Revasc Data'!$A$1:$Z$85</definedName>
    <definedName name="_xlnm._FilterDatabase" localSheetId="10" hidden="1">'Lower Limb Angioplasty'!$A$1:$AG$91</definedName>
    <definedName name="_xlnm._FilterDatabase" localSheetId="9" hidden="1">'Lower Limb Bypass'!$A$1:$Q$74</definedName>
    <definedName name="_xlnm._FilterDatabase" localSheetId="11" hidden="1">'Major Lower Limb Amputation'!$A$7:$AQ$76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9" l="1"/>
  <c r="O29" i="29"/>
  <c r="AD6" i="34" l="1"/>
  <c r="AC6" i="34"/>
  <c r="AB6" i="34"/>
  <c r="AA6" i="34"/>
  <c r="W4" i="35" l="1"/>
  <c r="W12" i="35"/>
  <c r="W20" i="35"/>
  <c r="W28" i="35"/>
  <c r="W44" i="35"/>
  <c r="W52" i="35"/>
  <c r="W60" i="35"/>
  <c r="W68" i="35"/>
  <c r="W76" i="35"/>
  <c r="V3" i="35"/>
  <c r="Y3" i="35" s="1"/>
  <c r="V4" i="35"/>
  <c r="X4" i="35" s="1"/>
  <c r="V5" i="35"/>
  <c r="W5" i="35" s="1"/>
  <c r="V6" i="35"/>
  <c r="V7" i="35"/>
  <c r="Y7" i="35" s="1"/>
  <c r="V8" i="35"/>
  <c r="X8" i="35" s="1"/>
  <c r="V9" i="35"/>
  <c r="W9" i="35" s="1"/>
  <c r="V10" i="35"/>
  <c r="V11" i="35"/>
  <c r="Y11" i="35" s="1"/>
  <c r="V12" i="35"/>
  <c r="X12" i="35" s="1"/>
  <c r="V13" i="35"/>
  <c r="W13" i="35" s="1"/>
  <c r="V14" i="35"/>
  <c r="V15" i="35"/>
  <c r="Y15" i="35" s="1"/>
  <c r="V16" i="35"/>
  <c r="X16" i="35" s="1"/>
  <c r="V17" i="35"/>
  <c r="W17" i="35" s="1"/>
  <c r="V18" i="35"/>
  <c r="V19" i="35"/>
  <c r="Y19" i="35" s="1"/>
  <c r="V20" i="35"/>
  <c r="X20" i="35" s="1"/>
  <c r="V21" i="35"/>
  <c r="W21" i="35" s="1"/>
  <c r="V22" i="35"/>
  <c r="V23" i="35"/>
  <c r="Y23" i="35" s="1"/>
  <c r="V24" i="35"/>
  <c r="X24" i="35" s="1"/>
  <c r="V25" i="35"/>
  <c r="W25" i="35" s="1"/>
  <c r="V26" i="35"/>
  <c r="V27" i="35"/>
  <c r="Y27" i="35" s="1"/>
  <c r="V28" i="35"/>
  <c r="X28" i="35" s="1"/>
  <c r="V29" i="35"/>
  <c r="W29" i="35" s="1"/>
  <c r="V30" i="35"/>
  <c r="V31" i="35"/>
  <c r="Y31" i="35" s="1"/>
  <c r="V32" i="35"/>
  <c r="X32" i="35" s="1"/>
  <c r="V33" i="35"/>
  <c r="W33" i="35" s="1"/>
  <c r="V34" i="35"/>
  <c r="V35" i="35"/>
  <c r="Y35" i="35" s="1"/>
  <c r="V36" i="35"/>
  <c r="X36" i="35" s="1"/>
  <c r="V37" i="35"/>
  <c r="W37" i="35" s="1"/>
  <c r="V38" i="35"/>
  <c r="V39" i="35"/>
  <c r="Y39" i="35" s="1"/>
  <c r="V40" i="35"/>
  <c r="X40" i="35" s="1"/>
  <c r="V41" i="35"/>
  <c r="W41" i="35" s="1"/>
  <c r="V42" i="35"/>
  <c r="V43" i="35"/>
  <c r="Y43" i="35" s="1"/>
  <c r="V44" i="35"/>
  <c r="X44" i="35" s="1"/>
  <c r="V45" i="35"/>
  <c r="W45" i="35" s="1"/>
  <c r="V46" i="35"/>
  <c r="V47" i="35"/>
  <c r="Y47" i="35" s="1"/>
  <c r="V48" i="35"/>
  <c r="X48" i="35" s="1"/>
  <c r="V49" i="35"/>
  <c r="W49" i="35" s="1"/>
  <c r="V50" i="35"/>
  <c r="V51" i="35"/>
  <c r="Y51" i="35" s="1"/>
  <c r="V52" i="35"/>
  <c r="X52" i="35" s="1"/>
  <c r="V53" i="35"/>
  <c r="W53" i="35" s="1"/>
  <c r="V54" i="35"/>
  <c r="V55" i="35"/>
  <c r="Y55" i="35" s="1"/>
  <c r="V56" i="35"/>
  <c r="X56" i="35" s="1"/>
  <c r="V57" i="35"/>
  <c r="W57" i="35" s="1"/>
  <c r="V58" i="35"/>
  <c r="V59" i="35"/>
  <c r="Y59" i="35" s="1"/>
  <c r="V60" i="35"/>
  <c r="X60" i="35" s="1"/>
  <c r="V61" i="35"/>
  <c r="W61" i="35" s="1"/>
  <c r="V62" i="35"/>
  <c r="Y62" i="35" s="1"/>
  <c r="V63" i="35"/>
  <c r="Y63" i="35" s="1"/>
  <c r="V64" i="35"/>
  <c r="X64" i="35" s="1"/>
  <c r="V65" i="35"/>
  <c r="W65" i="35" s="1"/>
  <c r="V66" i="35"/>
  <c r="V67" i="35"/>
  <c r="Y67" i="35" s="1"/>
  <c r="V68" i="35"/>
  <c r="X68" i="35" s="1"/>
  <c r="V69" i="35"/>
  <c r="W69" i="35" s="1"/>
  <c r="V70" i="35"/>
  <c r="V71" i="35"/>
  <c r="Y71" i="35" s="1"/>
  <c r="V72" i="35"/>
  <c r="X72" i="35" s="1"/>
  <c r="V73" i="35"/>
  <c r="W73" i="35" s="1"/>
  <c r="V74" i="35"/>
  <c r="Y74" i="35" s="1"/>
  <c r="V75" i="35"/>
  <c r="Y75" i="35" s="1"/>
  <c r="V76" i="35"/>
  <c r="X76" i="35" s="1"/>
  <c r="V77" i="35"/>
  <c r="W77" i="35" s="1"/>
  <c r="V78" i="35"/>
  <c r="V79" i="35"/>
  <c r="Y79" i="35" s="1"/>
  <c r="V80" i="35"/>
  <c r="X80" i="35" s="1"/>
  <c r="V81" i="35"/>
  <c r="W81" i="35" s="1"/>
  <c r="V82" i="35"/>
  <c r="Y82" i="35" s="1"/>
  <c r="V83" i="35"/>
  <c r="Y83" i="35" s="1"/>
  <c r="V84" i="35"/>
  <c r="X84" i="35" s="1"/>
  <c r="V85" i="35"/>
  <c r="W85" i="35" s="1"/>
  <c r="V2" i="35"/>
  <c r="W84" i="35" l="1"/>
  <c r="W36" i="35"/>
  <c r="W79" i="35"/>
  <c r="W63" i="35"/>
  <c r="W47" i="35"/>
  <c r="W31" i="35"/>
  <c r="W23" i="35"/>
  <c r="W7" i="35"/>
  <c r="X31" i="35"/>
  <c r="X75" i="35"/>
  <c r="X59" i="35"/>
  <c r="X43" i="35"/>
  <c r="X11" i="35"/>
  <c r="W83" i="35"/>
  <c r="W75" i="35"/>
  <c r="W67" i="35"/>
  <c r="W59" i="35"/>
  <c r="W51" i="35"/>
  <c r="W43" i="35"/>
  <c r="W35" i="35"/>
  <c r="W27" i="35"/>
  <c r="W19" i="35"/>
  <c r="W11" i="35"/>
  <c r="W3" i="35"/>
  <c r="X71" i="35"/>
  <c r="X55" i="35"/>
  <c r="X39" i="35"/>
  <c r="X23" i="35"/>
  <c r="X7" i="35"/>
  <c r="W71" i="35"/>
  <c r="W55" i="35"/>
  <c r="W39" i="35"/>
  <c r="W15" i="35"/>
  <c r="X79" i="35"/>
  <c r="X63" i="35"/>
  <c r="X47" i="35"/>
  <c r="X15" i="35"/>
  <c r="X27" i="35"/>
  <c r="W80" i="35"/>
  <c r="W72" i="35"/>
  <c r="W64" i="35"/>
  <c r="W56" i="35"/>
  <c r="W48" i="35"/>
  <c r="W40" i="35"/>
  <c r="W32" i="35"/>
  <c r="W24" i="35"/>
  <c r="W16" i="35"/>
  <c r="W8" i="35"/>
  <c r="X83" i="35"/>
  <c r="X67" i="35"/>
  <c r="X51" i="35"/>
  <c r="X35" i="35"/>
  <c r="X19" i="35"/>
  <c r="X3" i="35"/>
  <c r="Y2" i="35"/>
  <c r="X2" i="35"/>
  <c r="W78" i="35"/>
  <c r="X78" i="35"/>
  <c r="X70" i="35"/>
  <c r="W70" i="35"/>
  <c r="X58" i="35"/>
  <c r="W58" i="35"/>
  <c r="Y50" i="35"/>
  <c r="W50" i="35"/>
  <c r="X50" i="35"/>
  <c r="Y42" i="35"/>
  <c r="W42" i="35"/>
  <c r="X42" i="35"/>
  <c r="X34" i="35"/>
  <c r="Y34" i="35"/>
  <c r="W34" i="35"/>
  <c r="Y26" i="35"/>
  <c r="W26" i="35"/>
  <c r="X26" i="35"/>
  <c r="W18" i="35"/>
  <c r="X18" i="35"/>
  <c r="Y18" i="35"/>
  <c r="Y10" i="35"/>
  <c r="W10" i="35"/>
  <c r="X10" i="35"/>
  <c r="W2" i="35"/>
  <c r="Y78" i="35"/>
  <c r="Y58" i="35"/>
  <c r="X82" i="35"/>
  <c r="W82" i="35"/>
  <c r="W74" i="35"/>
  <c r="X74" i="35"/>
  <c r="W66" i="35"/>
  <c r="X66" i="35"/>
  <c r="W62" i="35"/>
  <c r="X62" i="35"/>
  <c r="W54" i="35"/>
  <c r="X54" i="35"/>
  <c r="Y54" i="35"/>
  <c r="X46" i="35"/>
  <c r="W46" i="35"/>
  <c r="Y46" i="35"/>
  <c r="W38" i="35"/>
  <c r="X38" i="35"/>
  <c r="Y38" i="35"/>
  <c r="W30" i="35"/>
  <c r="X30" i="35"/>
  <c r="Y30" i="35"/>
  <c r="X22" i="35"/>
  <c r="W22" i="35"/>
  <c r="X14" i="35"/>
  <c r="Y14" i="35"/>
  <c r="W14" i="35"/>
  <c r="X6" i="35"/>
  <c r="W6" i="35"/>
  <c r="Y6" i="35"/>
  <c r="Y66" i="35"/>
  <c r="Y70" i="35"/>
  <c r="Y22" i="35"/>
  <c r="Y85" i="35"/>
  <c r="Y73" i="35"/>
  <c r="Y61" i="35"/>
  <c r="Y49" i="35"/>
  <c r="Y33" i="35"/>
  <c r="Y29" i="35"/>
  <c r="Y25" i="35"/>
  <c r="Y21" i="35"/>
  <c r="Y17" i="35"/>
  <c r="Y5" i="35"/>
  <c r="Y81" i="35"/>
  <c r="Y65" i="35"/>
  <c r="Y9" i="35"/>
  <c r="X85" i="35"/>
  <c r="X81" i="35"/>
  <c r="X77" i="35"/>
  <c r="X73" i="35"/>
  <c r="X69" i="35"/>
  <c r="X65" i="35"/>
  <c r="X61" i="35"/>
  <c r="X57" i="35"/>
  <c r="X53" i="35"/>
  <c r="X49" i="35"/>
  <c r="X45" i="35"/>
  <c r="X41" i="35"/>
  <c r="X37" i="35"/>
  <c r="X33" i="35"/>
  <c r="X29" i="35"/>
  <c r="X25" i="35"/>
  <c r="X21" i="35"/>
  <c r="X17" i="35"/>
  <c r="X13" i="35"/>
  <c r="X9" i="35"/>
  <c r="X5" i="35"/>
  <c r="Y84" i="35"/>
  <c r="Y80" i="35"/>
  <c r="Y76" i="35"/>
  <c r="Y72" i="35"/>
  <c r="Y68" i="35"/>
  <c r="Y64" i="35"/>
  <c r="Y60" i="35"/>
  <c r="Y56" i="35"/>
  <c r="Y52" i="35"/>
  <c r="Y48" i="35"/>
  <c r="Y44" i="35"/>
  <c r="Y40" i="35"/>
  <c r="Y36" i="35"/>
  <c r="Y32" i="35"/>
  <c r="Y28" i="35"/>
  <c r="Y24" i="35"/>
  <c r="Y20" i="35"/>
  <c r="Y16" i="35"/>
  <c r="Y12" i="35"/>
  <c r="Y8" i="35"/>
  <c r="Y4" i="35"/>
  <c r="Y77" i="35"/>
  <c r="Y69" i="35"/>
  <c r="Y57" i="35"/>
  <c r="Y53" i="35"/>
  <c r="Y45" i="35"/>
  <c r="Y41" i="35"/>
  <c r="Y37" i="35"/>
  <c r="Y13" i="35"/>
  <c r="AD2" i="34" l="1"/>
  <c r="AA2" i="34"/>
  <c r="B30" i="34"/>
  <c r="R3" i="35"/>
  <c r="R4" i="35"/>
  <c r="R5" i="35"/>
  <c r="R6" i="35"/>
  <c r="R7" i="35"/>
  <c r="R8" i="35"/>
  <c r="R9" i="35"/>
  <c r="R10" i="35"/>
  <c r="R11" i="35"/>
  <c r="R12" i="35"/>
  <c r="R13" i="35"/>
  <c r="R14" i="35"/>
  <c r="R15" i="35"/>
  <c r="R16" i="35"/>
  <c r="R17" i="35"/>
  <c r="R18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34" i="35"/>
  <c r="R35" i="35"/>
  <c r="R36" i="35"/>
  <c r="R37" i="35"/>
  <c r="R38" i="35"/>
  <c r="R39" i="35"/>
  <c r="R40" i="35"/>
  <c r="R41" i="35"/>
  <c r="R42" i="35"/>
  <c r="R43" i="35"/>
  <c r="R44" i="35"/>
  <c r="R45" i="35"/>
  <c r="R46" i="35"/>
  <c r="R47" i="35"/>
  <c r="R48" i="35"/>
  <c r="R49" i="35"/>
  <c r="R50" i="35"/>
  <c r="R51" i="35"/>
  <c r="R52" i="35"/>
  <c r="R53" i="35"/>
  <c r="R54" i="35"/>
  <c r="R55" i="35"/>
  <c r="R56" i="35"/>
  <c r="R57" i="35"/>
  <c r="R58" i="35"/>
  <c r="R59" i="35"/>
  <c r="R60" i="35"/>
  <c r="R61" i="35"/>
  <c r="R62" i="35"/>
  <c r="R63" i="35"/>
  <c r="R64" i="35"/>
  <c r="R65" i="35"/>
  <c r="R66" i="35"/>
  <c r="R67" i="35"/>
  <c r="R68" i="35"/>
  <c r="R69" i="35"/>
  <c r="R70" i="35"/>
  <c r="R71" i="35"/>
  <c r="R72" i="35"/>
  <c r="R73" i="35"/>
  <c r="R74" i="35"/>
  <c r="R75" i="35"/>
  <c r="R76" i="35"/>
  <c r="R77" i="35"/>
  <c r="R78" i="35"/>
  <c r="R79" i="35"/>
  <c r="R80" i="35"/>
  <c r="R81" i="35"/>
  <c r="R82" i="35"/>
  <c r="R83" i="35"/>
  <c r="R84" i="35"/>
  <c r="R85" i="35"/>
  <c r="R2" i="35"/>
  <c r="AB2" i="34" s="1"/>
  <c r="Q3" i="35"/>
  <c r="Q4" i="35"/>
  <c r="Q5" i="35"/>
  <c r="Q6" i="35"/>
  <c r="Q7" i="35"/>
  <c r="Q8" i="35"/>
  <c r="Q9" i="35"/>
  <c r="Q10" i="35"/>
  <c r="Q11" i="35"/>
  <c r="Q12" i="35"/>
  <c r="Q13" i="35"/>
  <c r="Q14" i="35"/>
  <c r="Q15" i="35"/>
  <c r="Q16" i="35"/>
  <c r="Q17" i="35"/>
  <c r="Q18" i="35"/>
  <c r="Q19" i="35"/>
  <c r="Q20" i="35"/>
  <c r="Q21" i="35"/>
  <c r="Q22" i="35"/>
  <c r="Q23" i="35"/>
  <c r="Q24" i="35"/>
  <c r="Q25" i="35"/>
  <c r="Q26" i="35"/>
  <c r="Q27" i="35"/>
  <c r="Q28" i="35"/>
  <c r="Q29" i="35"/>
  <c r="Q30" i="35"/>
  <c r="Q31" i="35"/>
  <c r="Q32" i="35"/>
  <c r="Q33" i="35"/>
  <c r="Q34" i="35"/>
  <c r="Q35" i="35"/>
  <c r="Q36" i="35"/>
  <c r="Q37" i="35"/>
  <c r="Q38" i="35"/>
  <c r="Q39" i="35"/>
  <c r="Q40" i="35"/>
  <c r="Q41" i="35"/>
  <c r="Q42" i="35"/>
  <c r="Q43" i="35"/>
  <c r="Q44" i="35"/>
  <c r="Q45" i="35"/>
  <c r="Q46" i="35"/>
  <c r="Q47" i="35"/>
  <c r="Q48" i="35"/>
  <c r="Q49" i="35"/>
  <c r="Q50" i="35"/>
  <c r="Q51" i="35"/>
  <c r="Q52" i="35"/>
  <c r="Q53" i="35"/>
  <c r="Q54" i="35"/>
  <c r="Q55" i="35"/>
  <c r="Q56" i="35"/>
  <c r="Q57" i="35"/>
  <c r="Q58" i="35"/>
  <c r="Q59" i="35"/>
  <c r="Q60" i="35"/>
  <c r="Q61" i="35"/>
  <c r="Q62" i="35"/>
  <c r="Q63" i="35"/>
  <c r="Q64" i="35"/>
  <c r="Q65" i="35"/>
  <c r="Q66" i="35"/>
  <c r="Q67" i="35"/>
  <c r="Q68" i="35"/>
  <c r="Q69" i="35"/>
  <c r="Q70" i="35"/>
  <c r="Q71" i="35"/>
  <c r="Q72" i="35"/>
  <c r="Q73" i="35"/>
  <c r="Q74" i="35"/>
  <c r="Q75" i="35"/>
  <c r="Q76" i="35"/>
  <c r="Q77" i="35"/>
  <c r="Q78" i="35"/>
  <c r="Q79" i="35"/>
  <c r="Q80" i="35"/>
  <c r="Q81" i="35"/>
  <c r="Q82" i="35"/>
  <c r="Q83" i="35"/>
  <c r="Q84" i="35"/>
  <c r="Q85" i="35"/>
  <c r="Q2" i="35"/>
  <c r="AC2" i="34" s="1"/>
  <c r="J30" i="34" l="1"/>
  <c r="F30" i="34"/>
  <c r="G30" i="34"/>
  <c r="E30" i="34"/>
  <c r="D30" i="34"/>
  <c r="M30" i="34"/>
  <c r="K30" i="34"/>
  <c r="I30" i="34"/>
  <c r="C30" i="34"/>
  <c r="H30" i="34"/>
  <c r="L30" i="34"/>
  <c r="AD2" i="21"/>
  <c r="AA2" i="21"/>
  <c r="P3" i="33"/>
  <c r="P4" i="33"/>
  <c r="P5" i="33"/>
  <c r="P6" i="33"/>
  <c r="P7" i="33"/>
  <c r="P8" i="33"/>
  <c r="P9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49" i="33"/>
  <c r="P50" i="33"/>
  <c r="P51" i="33"/>
  <c r="P52" i="33"/>
  <c r="P53" i="33"/>
  <c r="P54" i="33"/>
  <c r="P55" i="33"/>
  <c r="P56" i="33"/>
  <c r="P57" i="33"/>
  <c r="P58" i="33"/>
  <c r="P59" i="33"/>
  <c r="P60" i="33"/>
  <c r="P61" i="33"/>
  <c r="P62" i="33"/>
  <c r="P63" i="33"/>
  <c r="P64" i="33"/>
  <c r="P65" i="33"/>
  <c r="P66" i="33"/>
  <c r="P67" i="33"/>
  <c r="P68" i="33"/>
  <c r="P69" i="33"/>
  <c r="P70" i="33"/>
  <c r="P71" i="33"/>
  <c r="P72" i="33"/>
  <c r="P73" i="33"/>
  <c r="P74" i="33"/>
  <c r="P2" i="33"/>
  <c r="AB2" i="21" s="1"/>
  <c r="O3" i="33"/>
  <c r="O4" i="33"/>
  <c r="O5" i="33"/>
  <c r="O6" i="33"/>
  <c r="O7" i="33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O35" i="33"/>
  <c r="O36" i="33"/>
  <c r="O37" i="33"/>
  <c r="O38" i="33"/>
  <c r="O39" i="33"/>
  <c r="O40" i="33"/>
  <c r="O41" i="33"/>
  <c r="O42" i="33"/>
  <c r="O43" i="33"/>
  <c r="O44" i="33"/>
  <c r="O45" i="33"/>
  <c r="O46" i="33"/>
  <c r="O47" i="33"/>
  <c r="O48" i="33"/>
  <c r="O49" i="33"/>
  <c r="O50" i="33"/>
  <c r="O51" i="33"/>
  <c r="O52" i="33"/>
  <c r="O53" i="33"/>
  <c r="O54" i="33"/>
  <c r="O55" i="33"/>
  <c r="O56" i="33"/>
  <c r="O57" i="33"/>
  <c r="O58" i="33"/>
  <c r="O59" i="33"/>
  <c r="O60" i="33"/>
  <c r="O61" i="33"/>
  <c r="O62" i="33"/>
  <c r="O63" i="33"/>
  <c r="O64" i="33"/>
  <c r="O65" i="33"/>
  <c r="O66" i="33"/>
  <c r="O67" i="33"/>
  <c r="O68" i="33"/>
  <c r="O69" i="33"/>
  <c r="O70" i="33"/>
  <c r="O71" i="33"/>
  <c r="O72" i="33"/>
  <c r="O73" i="33"/>
  <c r="O74" i="33"/>
  <c r="O2" i="33"/>
  <c r="AC2" i="21" s="1"/>
  <c r="AD6" i="25"/>
  <c r="AA6" i="25"/>
  <c r="AP37" i="31"/>
  <c r="AP9" i="31"/>
  <c r="AP10" i="31"/>
  <c r="AP11" i="31"/>
  <c r="AP12" i="31"/>
  <c r="AP13" i="31"/>
  <c r="AP14" i="31"/>
  <c r="AP15" i="31"/>
  <c r="AP16" i="31"/>
  <c r="AP17" i="31"/>
  <c r="AP18" i="31"/>
  <c r="AP19" i="31"/>
  <c r="AP20" i="31"/>
  <c r="AP21" i="31"/>
  <c r="AP22" i="31"/>
  <c r="AP23" i="31"/>
  <c r="AP24" i="31"/>
  <c r="AP25" i="31"/>
  <c r="AP26" i="31"/>
  <c r="AP27" i="31"/>
  <c r="AP28" i="31"/>
  <c r="AP29" i="31"/>
  <c r="AP30" i="31"/>
  <c r="AP31" i="31"/>
  <c r="AP32" i="31"/>
  <c r="AP33" i="31"/>
  <c r="AP34" i="31"/>
  <c r="AP35" i="31"/>
  <c r="AP36" i="31"/>
  <c r="AP38" i="31"/>
  <c r="AP39" i="31"/>
  <c r="AP40" i="31"/>
  <c r="AP41" i="31"/>
  <c r="AP42" i="31"/>
  <c r="AP43" i="31"/>
  <c r="AP44" i="31"/>
  <c r="AP45" i="31"/>
  <c r="AP46" i="31"/>
  <c r="AP47" i="31"/>
  <c r="AP48" i="31"/>
  <c r="AP49" i="31"/>
  <c r="AP50" i="31"/>
  <c r="AP51" i="31"/>
  <c r="AP52" i="31"/>
  <c r="AP53" i="31"/>
  <c r="AP54" i="31"/>
  <c r="AP55" i="31"/>
  <c r="AP56" i="31"/>
  <c r="AP57" i="31"/>
  <c r="AP58" i="31"/>
  <c r="AP59" i="31"/>
  <c r="AP60" i="31"/>
  <c r="AP61" i="31"/>
  <c r="AP62" i="31"/>
  <c r="AP63" i="31"/>
  <c r="AP64" i="31"/>
  <c r="AP65" i="31"/>
  <c r="AP66" i="31"/>
  <c r="AP67" i="31"/>
  <c r="AP68" i="31"/>
  <c r="AP69" i="31"/>
  <c r="AP70" i="31"/>
  <c r="AP71" i="31"/>
  <c r="AP72" i="31"/>
  <c r="AP73" i="31"/>
  <c r="AP74" i="31"/>
  <c r="AP75" i="31"/>
  <c r="AP76" i="31"/>
  <c r="AO9" i="31"/>
  <c r="AO10" i="31"/>
  <c r="AO11" i="31"/>
  <c r="AO12" i="31"/>
  <c r="AO13" i="31"/>
  <c r="AO14" i="31"/>
  <c r="AO15" i="31"/>
  <c r="AO16" i="31"/>
  <c r="AO17" i="31"/>
  <c r="AO18" i="31"/>
  <c r="AO19" i="31"/>
  <c r="AO20" i="31"/>
  <c r="AO21" i="31"/>
  <c r="AO22" i="31"/>
  <c r="AO23" i="31"/>
  <c r="AO24" i="31"/>
  <c r="AO25" i="31"/>
  <c r="AO26" i="31"/>
  <c r="AO27" i="31"/>
  <c r="AO28" i="31"/>
  <c r="AO29" i="31"/>
  <c r="AO30" i="31"/>
  <c r="AO31" i="31"/>
  <c r="AO32" i="31"/>
  <c r="AO33" i="31"/>
  <c r="AO34" i="31"/>
  <c r="AO35" i="31"/>
  <c r="AO36" i="31"/>
  <c r="AO38" i="31"/>
  <c r="AO39" i="31"/>
  <c r="AO40" i="31"/>
  <c r="AO41" i="31"/>
  <c r="AO42" i="31"/>
  <c r="AO43" i="31"/>
  <c r="AO44" i="31"/>
  <c r="AO45" i="31"/>
  <c r="AO46" i="31"/>
  <c r="AO47" i="31"/>
  <c r="AO48" i="31"/>
  <c r="AO49" i="31"/>
  <c r="AO50" i="31"/>
  <c r="AO51" i="31"/>
  <c r="AO52" i="31"/>
  <c r="AO53" i="31"/>
  <c r="AO54" i="31"/>
  <c r="AO55" i="31"/>
  <c r="AO56" i="31"/>
  <c r="AO57" i="31"/>
  <c r="AO58" i="31"/>
  <c r="AO59" i="31"/>
  <c r="AO60" i="31"/>
  <c r="AO61" i="31"/>
  <c r="AO62" i="31"/>
  <c r="AO63" i="31"/>
  <c r="AO64" i="31"/>
  <c r="AO65" i="31"/>
  <c r="AO66" i="31"/>
  <c r="AO67" i="31"/>
  <c r="AO68" i="31"/>
  <c r="AO69" i="31"/>
  <c r="AO70" i="31"/>
  <c r="AO71" i="31"/>
  <c r="AO72" i="31"/>
  <c r="AO73" i="31"/>
  <c r="AO74" i="31"/>
  <c r="AO75" i="31"/>
  <c r="AO76" i="31"/>
  <c r="AP8" i="31"/>
  <c r="AB6" i="25" s="1"/>
  <c r="AO8" i="31"/>
  <c r="AC6" i="25" s="1"/>
  <c r="AO37" i="31" l="1"/>
  <c r="O4" i="25"/>
  <c r="AK9" i="31" s="1"/>
  <c r="AJ49" i="31" l="1"/>
  <c r="AJ33" i="31"/>
  <c r="AJ60" i="31"/>
  <c r="AJ25" i="31"/>
  <c r="AJ73" i="31"/>
  <c r="AJ57" i="31"/>
  <c r="AJ41" i="31"/>
  <c r="AJ17" i="31"/>
  <c r="AJ65" i="31"/>
  <c r="AK70" i="31"/>
  <c r="AJ76" i="31"/>
  <c r="AJ44" i="31"/>
  <c r="AJ68" i="31"/>
  <c r="AJ52" i="31"/>
  <c r="AJ36" i="31"/>
  <c r="AJ9" i="31"/>
  <c r="AJ72" i="31"/>
  <c r="AJ64" i="31"/>
  <c r="AJ56" i="31"/>
  <c r="AJ48" i="31"/>
  <c r="AJ40" i="31"/>
  <c r="AJ32" i="31"/>
  <c r="AJ24" i="31"/>
  <c r="AJ16" i="31"/>
  <c r="AK8" i="31"/>
  <c r="AA2" i="25" s="1"/>
  <c r="AK69" i="31"/>
  <c r="AK61" i="31"/>
  <c r="AK53" i="31"/>
  <c r="AK45" i="31"/>
  <c r="AK37" i="31"/>
  <c r="AK29" i="31"/>
  <c r="AK21" i="31"/>
  <c r="AK13" i="31"/>
  <c r="AK62" i="31"/>
  <c r="AK54" i="31"/>
  <c r="AK46" i="31"/>
  <c r="AK38" i="31"/>
  <c r="AK30" i="31"/>
  <c r="AK22" i="31"/>
  <c r="AK14" i="31"/>
  <c r="AJ8" i="31"/>
  <c r="AD2" i="25" s="1"/>
  <c r="AJ69" i="31"/>
  <c r="AJ61" i="31"/>
  <c r="AJ53" i="31"/>
  <c r="AJ45" i="31"/>
  <c r="AJ37" i="31"/>
  <c r="AJ29" i="31"/>
  <c r="AJ21" i="31"/>
  <c r="AJ13" i="31"/>
  <c r="AK74" i="31"/>
  <c r="AK66" i="31"/>
  <c r="AK58" i="31"/>
  <c r="AK50" i="31"/>
  <c r="AK42" i="31"/>
  <c r="AK34" i="31"/>
  <c r="AK26" i="31"/>
  <c r="AK18" i="31"/>
  <c r="AK10" i="31"/>
  <c r="AJ28" i="31"/>
  <c r="AJ20" i="31"/>
  <c r="AJ12" i="31"/>
  <c r="AK73" i="31"/>
  <c r="AK65" i="31"/>
  <c r="AK57" i="31"/>
  <c r="AK49" i="31"/>
  <c r="AK41" i="31"/>
  <c r="AK33" i="31"/>
  <c r="AK25" i="31"/>
  <c r="AK17" i="31"/>
  <c r="AJ75" i="31"/>
  <c r="AJ71" i="31"/>
  <c r="AJ67" i="31"/>
  <c r="AJ63" i="31"/>
  <c r="AJ59" i="31"/>
  <c r="AJ55" i="31"/>
  <c r="AJ51" i="31"/>
  <c r="AJ47" i="31"/>
  <c r="AJ43" i="31"/>
  <c r="AJ39" i="31"/>
  <c r="AJ35" i="31"/>
  <c r="AJ31" i="31"/>
  <c r="AJ27" i="31"/>
  <c r="AJ23" i="31"/>
  <c r="AJ19" i="31"/>
  <c r="AJ15" i="31"/>
  <c r="AJ11" i="31"/>
  <c r="AK76" i="31"/>
  <c r="AK72" i="31"/>
  <c r="AK68" i="31"/>
  <c r="AK64" i="31"/>
  <c r="AK60" i="31"/>
  <c r="AK56" i="31"/>
  <c r="AK52" i="31"/>
  <c r="AK48" i="31"/>
  <c r="AK44" i="31"/>
  <c r="AK40" i="31"/>
  <c r="AK36" i="31"/>
  <c r="AK32" i="31"/>
  <c r="AK28" i="31"/>
  <c r="AK24" i="31"/>
  <c r="AK20" i="31"/>
  <c r="AK16" i="31"/>
  <c r="AK12" i="31"/>
  <c r="AJ74" i="31"/>
  <c r="AJ70" i="31"/>
  <c r="AJ66" i="31"/>
  <c r="AJ62" i="31"/>
  <c r="AJ58" i="31"/>
  <c r="AJ54" i="31"/>
  <c r="AJ50" i="31"/>
  <c r="AJ46" i="31"/>
  <c r="AJ42" i="31"/>
  <c r="AJ38" i="31"/>
  <c r="AJ34" i="31"/>
  <c r="AJ30" i="31"/>
  <c r="AJ26" i="31"/>
  <c r="AJ22" i="31"/>
  <c r="AJ18" i="31"/>
  <c r="AJ14" i="31"/>
  <c r="AJ10" i="31"/>
  <c r="AK75" i="31"/>
  <c r="AK71" i="31"/>
  <c r="AK67" i="31"/>
  <c r="AK63" i="31"/>
  <c r="AK59" i="31"/>
  <c r="AK55" i="31"/>
  <c r="AK51" i="31"/>
  <c r="AK47" i="31"/>
  <c r="AK43" i="31"/>
  <c r="AK39" i="31"/>
  <c r="AK35" i="31"/>
  <c r="AK31" i="31"/>
  <c r="AK27" i="31"/>
  <c r="AK23" i="31"/>
  <c r="AK19" i="31"/>
  <c r="AK15" i="31"/>
  <c r="AK11" i="31"/>
  <c r="R4" i="23"/>
  <c r="AE2" i="32" l="1"/>
  <c r="AG5" i="32"/>
  <c r="AG9" i="32"/>
  <c r="AG13" i="32"/>
  <c r="AG17" i="32"/>
  <c r="AG21" i="32"/>
  <c r="AG25" i="32"/>
  <c r="AG29" i="32"/>
  <c r="AG33" i="32"/>
  <c r="AG37" i="32"/>
  <c r="AG41" i="32"/>
  <c r="AG45" i="32"/>
  <c r="AG49" i="32"/>
  <c r="AG53" i="32"/>
  <c r="AG57" i="32"/>
  <c r="AG61" i="32"/>
  <c r="AG65" i="32"/>
  <c r="AG69" i="32"/>
  <c r="AG73" i="32"/>
  <c r="AG77" i="32"/>
  <c r="AG81" i="32"/>
  <c r="AG85" i="32"/>
  <c r="AG89" i="32"/>
  <c r="AG2" i="32"/>
  <c r="AF6" i="32"/>
  <c r="AF10" i="32"/>
  <c r="AF14" i="32"/>
  <c r="AF18" i="32"/>
  <c r="AF22" i="32"/>
  <c r="AF26" i="32"/>
  <c r="AF30" i="32"/>
  <c r="AF34" i="32"/>
  <c r="AF38" i="32"/>
  <c r="AF42" i="32"/>
  <c r="AF46" i="32"/>
  <c r="AF50" i="32"/>
  <c r="AF54" i="32"/>
  <c r="AF58" i="32"/>
  <c r="AF62" i="32"/>
  <c r="AF66" i="32"/>
  <c r="AF70" i="32"/>
  <c r="AF74" i="32"/>
  <c r="AF78" i="32"/>
  <c r="AF82" i="32"/>
  <c r="AF86" i="32"/>
  <c r="AF90" i="32"/>
  <c r="AE3" i="32"/>
  <c r="AG6" i="32"/>
  <c r="AG10" i="32"/>
  <c r="AG14" i="32"/>
  <c r="AG18" i="32"/>
  <c r="AG22" i="32"/>
  <c r="AG26" i="32"/>
  <c r="AG30" i="32"/>
  <c r="AG34" i="32"/>
  <c r="AG38" i="32"/>
  <c r="AG42" i="32"/>
  <c r="AG46" i="32"/>
  <c r="AG50" i="32"/>
  <c r="AG54" i="32"/>
  <c r="AG58" i="32"/>
  <c r="AG62" i="32"/>
  <c r="AG66" i="32"/>
  <c r="AG70" i="32"/>
  <c r="AG74" i="32"/>
  <c r="AG78" i="32"/>
  <c r="AG82" i="32"/>
  <c r="AG86" i="32"/>
  <c r="AG90" i="32"/>
  <c r="AF3" i="32"/>
  <c r="AF7" i="32"/>
  <c r="AF11" i="32"/>
  <c r="AF15" i="32"/>
  <c r="AF19" i="32"/>
  <c r="AF23" i="32"/>
  <c r="AF27" i="32"/>
  <c r="AF31" i="32"/>
  <c r="AF35" i="32"/>
  <c r="AF39" i="32"/>
  <c r="AF43" i="32"/>
  <c r="AF47" i="32"/>
  <c r="AF51" i="32"/>
  <c r="AF55" i="32"/>
  <c r="AF59" i="32"/>
  <c r="AF63" i="32"/>
  <c r="AG3" i="32"/>
  <c r="AG11" i="32"/>
  <c r="AG19" i="32"/>
  <c r="AG27" i="32"/>
  <c r="AG35" i="32"/>
  <c r="AG43" i="32"/>
  <c r="AG51" i="32"/>
  <c r="AG59" i="32"/>
  <c r="AG67" i="32"/>
  <c r="AG75" i="32"/>
  <c r="AG83" i="32"/>
  <c r="AG91" i="32"/>
  <c r="AF8" i="32"/>
  <c r="AF16" i="32"/>
  <c r="AF24" i="32"/>
  <c r="AF32" i="32"/>
  <c r="AF40" i="32"/>
  <c r="AF48" i="32"/>
  <c r="AF56" i="32"/>
  <c r="AF64" i="32"/>
  <c r="AF69" i="32"/>
  <c r="AF75" i="32"/>
  <c r="AF80" i="32"/>
  <c r="AF85" i="32"/>
  <c r="AF91" i="32"/>
  <c r="AG4" i="32"/>
  <c r="AG12" i="32"/>
  <c r="AG20" i="32"/>
  <c r="AG28" i="32"/>
  <c r="AG36" i="32"/>
  <c r="AG44" i="32"/>
  <c r="AG52" i="32"/>
  <c r="AG60" i="32"/>
  <c r="AG68" i="32"/>
  <c r="AG76" i="32"/>
  <c r="AG84" i="32"/>
  <c r="AF9" i="32"/>
  <c r="AF25" i="32"/>
  <c r="AF41" i="32"/>
  <c r="AF57" i="32"/>
  <c r="AF71" i="32"/>
  <c r="AF81" i="32"/>
  <c r="AG7" i="32"/>
  <c r="AG23" i="32"/>
  <c r="AG39" i="32"/>
  <c r="AG55" i="32"/>
  <c r="AG71" i="32"/>
  <c r="AG79" i="32"/>
  <c r="AF4" i="32"/>
  <c r="AF20" i="32"/>
  <c r="AF36" i="32"/>
  <c r="AF52" i="32"/>
  <c r="AF67" i="32"/>
  <c r="AF77" i="32"/>
  <c r="AF88" i="32"/>
  <c r="AG8" i="32"/>
  <c r="AG16" i="32"/>
  <c r="AG24" i="32"/>
  <c r="AG32" i="32"/>
  <c r="AG40" i="32"/>
  <c r="AG48" i="32"/>
  <c r="AG56" i="32"/>
  <c r="AG64" i="32"/>
  <c r="AG72" i="32"/>
  <c r="AG80" i="32"/>
  <c r="AG88" i="32"/>
  <c r="AF5" i="32"/>
  <c r="AF13" i="32"/>
  <c r="AF21" i="32"/>
  <c r="AF29" i="32"/>
  <c r="AF37" i="32"/>
  <c r="AF45" i="32"/>
  <c r="AF53" i="32"/>
  <c r="AF61" i="32"/>
  <c r="AF68" i="32"/>
  <c r="AF73" i="32"/>
  <c r="AF79" i="32"/>
  <c r="AF84" i="32"/>
  <c r="AF89" i="32"/>
  <c r="AF2" i="32"/>
  <c r="AF17" i="32"/>
  <c r="AF33" i="32"/>
  <c r="AF49" i="32"/>
  <c r="AF65" i="32"/>
  <c r="AF76" i="32"/>
  <c r="AF87" i="32"/>
  <c r="AG15" i="32"/>
  <c r="AG31" i="32"/>
  <c r="AG47" i="32"/>
  <c r="AG63" i="32"/>
  <c r="AG87" i="32"/>
  <c r="AF12" i="32"/>
  <c r="AF28" i="32"/>
  <c r="AF44" i="32"/>
  <c r="AF60" i="32"/>
  <c r="AF72" i="32"/>
  <c r="AF83" i="32"/>
  <c r="AE66" i="32"/>
  <c r="AE50" i="32"/>
  <c r="AE82" i="32"/>
  <c r="AE34" i="32"/>
  <c r="AE90" i="32"/>
  <c r="AE74" i="32"/>
  <c r="AE18" i="32"/>
  <c r="AE88" i="32"/>
  <c r="AE80" i="32"/>
  <c r="AE72" i="32"/>
  <c r="AE60" i="32"/>
  <c r="AE44" i="32"/>
  <c r="AE28" i="32"/>
  <c r="AE12" i="32"/>
  <c r="AE6" i="32"/>
  <c r="AE14" i="32"/>
  <c r="AE22" i="32"/>
  <c r="AE30" i="32"/>
  <c r="AE38" i="32"/>
  <c r="AE46" i="32"/>
  <c r="AE54" i="32"/>
  <c r="AE62" i="32"/>
  <c r="AE8" i="32"/>
  <c r="AE16" i="32"/>
  <c r="AE24" i="32"/>
  <c r="AE32" i="32"/>
  <c r="AE40" i="32"/>
  <c r="AE48" i="32"/>
  <c r="AE56" i="32"/>
  <c r="AE64" i="32"/>
  <c r="AE86" i="32"/>
  <c r="AE78" i="32"/>
  <c r="AE70" i="32"/>
  <c r="AE58" i="32"/>
  <c r="AE42" i="32"/>
  <c r="AE26" i="32"/>
  <c r="AE10" i="32"/>
  <c r="AE84" i="32"/>
  <c r="AE76" i="32"/>
  <c r="AE68" i="32"/>
  <c r="AE52" i="32"/>
  <c r="AE36" i="32"/>
  <c r="AE20" i="32"/>
  <c r="AE4" i="32"/>
  <c r="AE89" i="32"/>
  <c r="AE85" i="32"/>
  <c r="AE81" i="32"/>
  <c r="AE77" i="32"/>
  <c r="AE73" i="32"/>
  <c r="AE69" i="32"/>
  <c r="AE65" i="32"/>
  <c r="AE61" i="32"/>
  <c r="AE57" i="32"/>
  <c r="AE53" i="32"/>
  <c r="AE49" i="32"/>
  <c r="AE45" i="32"/>
  <c r="AE41" i="32"/>
  <c r="AE37" i="32"/>
  <c r="AE33" i="32"/>
  <c r="AE29" i="32"/>
  <c r="AE25" i="32"/>
  <c r="AE21" i="32"/>
  <c r="AE17" i="32"/>
  <c r="AE13" i="32"/>
  <c r="AE9" i="32"/>
  <c r="AE5" i="32"/>
  <c r="AE91" i="32"/>
  <c r="AE87" i="32"/>
  <c r="AE83" i="32"/>
  <c r="AE79" i="32"/>
  <c r="AE75" i="32"/>
  <c r="AE71" i="32"/>
  <c r="AE67" i="32"/>
  <c r="AE63" i="32"/>
  <c r="AE59" i="32"/>
  <c r="AE55" i="32"/>
  <c r="AE51" i="32"/>
  <c r="AE47" i="32"/>
  <c r="AE43" i="32"/>
  <c r="AE39" i="32"/>
  <c r="AE35" i="32"/>
  <c r="AE31" i="32"/>
  <c r="AE27" i="32"/>
  <c r="AE23" i="32"/>
  <c r="AE19" i="32"/>
  <c r="AE15" i="32"/>
  <c r="AE11" i="32"/>
  <c r="AE7" i="32"/>
  <c r="AI60" i="32" l="1"/>
  <c r="AH60" i="32"/>
  <c r="AI89" i="32"/>
  <c r="AH89" i="32"/>
  <c r="AI5" i="32"/>
  <c r="AH5" i="32"/>
  <c r="AI11" i="32"/>
  <c r="AH11" i="32"/>
  <c r="AH82" i="32"/>
  <c r="AI82" i="32"/>
  <c r="AI44" i="32"/>
  <c r="AH44" i="32"/>
  <c r="AI29" i="32"/>
  <c r="AH29" i="32"/>
  <c r="AI25" i="32"/>
  <c r="AH25" i="32"/>
  <c r="AI75" i="32"/>
  <c r="AH75" i="32"/>
  <c r="AI7" i="32"/>
  <c r="AH7" i="32"/>
  <c r="AI49" i="32"/>
  <c r="AH49" i="32"/>
  <c r="AI37" i="32"/>
  <c r="AH37" i="32"/>
  <c r="AI88" i="32"/>
  <c r="AH88" i="32"/>
  <c r="AI80" i="32"/>
  <c r="AH80" i="32"/>
  <c r="AI24" i="32"/>
  <c r="AH24" i="32"/>
  <c r="AI59" i="32"/>
  <c r="AH59" i="32"/>
  <c r="AI27" i="32"/>
  <c r="AH27" i="32"/>
  <c r="AH50" i="32"/>
  <c r="AI50" i="32"/>
  <c r="AH18" i="32"/>
  <c r="AI18" i="32"/>
  <c r="AI87" i="32"/>
  <c r="AH87" i="32"/>
  <c r="AI61" i="32"/>
  <c r="AH61" i="32"/>
  <c r="AI77" i="32"/>
  <c r="AH77" i="32"/>
  <c r="AI48" i="32"/>
  <c r="AH48" i="32"/>
  <c r="AI39" i="32"/>
  <c r="AH39" i="32"/>
  <c r="AH46" i="32"/>
  <c r="AI46" i="32"/>
  <c r="AH14" i="32"/>
  <c r="AI14" i="32"/>
  <c r="AI83" i="32"/>
  <c r="AH83" i="32"/>
  <c r="AI28" i="32"/>
  <c r="AH28" i="32"/>
  <c r="AI76" i="32"/>
  <c r="AH76" i="32"/>
  <c r="AI17" i="32"/>
  <c r="AH17" i="32"/>
  <c r="AI79" i="32"/>
  <c r="AH79" i="32"/>
  <c r="AI53" i="32"/>
  <c r="AH53" i="32"/>
  <c r="AI21" i="32"/>
  <c r="AH21" i="32"/>
  <c r="AI67" i="32"/>
  <c r="AH67" i="32"/>
  <c r="AI4" i="32"/>
  <c r="AH4" i="32"/>
  <c r="AI71" i="32"/>
  <c r="AH71" i="32"/>
  <c r="AI9" i="32"/>
  <c r="AH9" i="32"/>
  <c r="AI91" i="32"/>
  <c r="AH91" i="32"/>
  <c r="AI69" i="32"/>
  <c r="AH69" i="32"/>
  <c r="AI40" i="32"/>
  <c r="AH40" i="32"/>
  <c r="AI8" i="32"/>
  <c r="AH8" i="32"/>
  <c r="AI51" i="32"/>
  <c r="AH51" i="32"/>
  <c r="AI35" i="32"/>
  <c r="AH35" i="32"/>
  <c r="AI19" i="32"/>
  <c r="AH19" i="32"/>
  <c r="AI3" i="32"/>
  <c r="AH3" i="32"/>
  <c r="AH90" i="32"/>
  <c r="AI90" i="32"/>
  <c r="AH74" i="32"/>
  <c r="AI74" i="32"/>
  <c r="AH58" i="32"/>
  <c r="AI58" i="32"/>
  <c r="AH42" i="32"/>
  <c r="AI42" i="32"/>
  <c r="AH26" i="32"/>
  <c r="AI26" i="32"/>
  <c r="AH10" i="32"/>
  <c r="AI10" i="32"/>
  <c r="AI68" i="32"/>
  <c r="AH68" i="32"/>
  <c r="AI36" i="32"/>
  <c r="AH36" i="32"/>
  <c r="AI41" i="32"/>
  <c r="AH41" i="32"/>
  <c r="AI56" i="32"/>
  <c r="AH56" i="32"/>
  <c r="AI43" i="32"/>
  <c r="AH43" i="32"/>
  <c r="AH66" i="32"/>
  <c r="AI66" i="32"/>
  <c r="AH34" i="32"/>
  <c r="AI34" i="32"/>
  <c r="AI33" i="32"/>
  <c r="AH33" i="32"/>
  <c r="AI84" i="32"/>
  <c r="AH84" i="32"/>
  <c r="AI20" i="32"/>
  <c r="AH20" i="32"/>
  <c r="AI81" i="32"/>
  <c r="AH81" i="32"/>
  <c r="AI16" i="32"/>
  <c r="AH16" i="32"/>
  <c r="AI55" i="32"/>
  <c r="AH55" i="32"/>
  <c r="AI23" i="32"/>
  <c r="AH23" i="32"/>
  <c r="AH78" i="32"/>
  <c r="AI78" i="32"/>
  <c r="AH62" i="32"/>
  <c r="AI62" i="32"/>
  <c r="AH30" i="32"/>
  <c r="AI30" i="32"/>
  <c r="AI72" i="32"/>
  <c r="AH72" i="32"/>
  <c r="AI12" i="32"/>
  <c r="AH12" i="32"/>
  <c r="AI65" i="32"/>
  <c r="AH65" i="32"/>
  <c r="AB2" i="23"/>
  <c r="AI2" i="32"/>
  <c r="AD2" i="23" s="1"/>
  <c r="AH2" i="32"/>
  <c r="AI73" i="32"/>
  <c r="AH73" i="32"/>
  <c r="AI45" i="32"/>
  <c r="AH45" i="32"/>
  <c r="AI13" i="32"/>
  <c r="AH13" i="32"/>
  <c r="AI52" i="32"/>
  <c r="AH52" i="32"/>
  <c r="AI57" i="32"/>
  <c r="AH57" i="32"/>
  <c r="AI85" i="32"/>
  <c r="AH85" i="32"/>
  <c r="AI64" i="32"/>
  <c r="AH64" i="32"/>
  <c r="AI32" i="32"/>
  <c r="AH32" i="32"/>
  <c r="AI63" i="32"/>
  <c r="AH63" i="32"/>
  <c r="AI47" i="32"/>
  <c r="AH47" i="32"/>
  <c r="AI31" i="32"/>
  <c r="AH31" i="32"/>
  <c r="AI15" i="32"/>
  <c r="AH15" i="32"/>
  <c r="AH86" i="32"/>
  <c r="AI86" i="32"/>
  <c r="AH70" i="32"/>
  <c r="AI70" i="32"/>
  <c r="AH54" i="32"/>
  <c r="AI54" i="32"/>
  <c r="AH38" i="32"/>
  <c r="AI38" i="32"/>
  <c r="AH22" i="32"/>
  <c r="AI22" i="32"/>
  <c r="AH6" i="32"/>
  <c r="AI6" i="32"/>
  <c r="AC2" i="23"/>
  <c r="AA2" i="23"/>
  <c r="O4" i="12"/>
  <c r="AE2" i="23" l="1"/>
  <c r="AH9" i="31"/>
  <c r="AH10" i="31"/>
  <c r="AH11" i="31"/>
  <c r="AH12" i="31"/>
  <c r="AH13" i="31"/>
  <c r="AH14" i="31"/>
  <c r="AH15" i="31"/>
  <c r="AH16" i="31"/>
  <c r="AH17" i="31"/>
  <c r="AH18" i="31"/>
  <c r="AH19" i="31"/>
  <c r="AH20" i="31"/>
  <c r="AH21" i="31"/>
  <c r="AH22" i="31"/>
  <c r="AH23" i="31"/>
  <c r="AH24" i="31"/>
  <c r="AH25" i="31"/>
  <c r="AH26" i="31"/>
  <c r="AH27" i="31"/>
  <c r="AH28" i="31"/>
  <c r="AH29" i="31"/>
  <c r="AH30" i="31"/>
  <c r="AH31" i="31"/>
  <c r="AH32" i="31"/>
  <c r="AH33" i="31"/>
  <c r="AH34" i="31"/>
  <c r="AH35" i="31"/>
  <c r="AH36" i="31"/>
  <c r="AH37" i="31"/>
  <c r="AH38" i="31"/>
  <c r="AH39" i="31"/>
  <c r="AH40" i="31"/>
  <c r="AH41" i="31"/>
  <c r="AH42" i="31"/>
  <c r="AH43" i="31"/>
  <c r="AH44" i="31"/>
  <c r="AH45" i="31"/>
  <c r="AH46" i="31"/>
  <c r="AH47" i="31"/>
  <c r="AH48" i="31"/>
  <c r="AH49" i="31"/>
  <c r="AH50" i="31"/>
  <c r="AH51" i="31"/>
  <c r="AH52" i="31"/>
  <c r="AH53" i="31"/>
  <c r="AH54" i="31"/>
  <c r="AH55" i="31"/>
  <c r="AH56" i="31"/>
  <c r="AH57" i="31"/>
  <c r="AH58" i="31"/>
  <c r="AH59" i="31"/>
  <c r="AH60" i="31"/>
  <c r="AH61" i="31"/>
  <c r="AH62" i="31"/>
  <c r="AH63" i="31"/>
  <c r="AH64" i="31"/>
  <c r="AH65" i="31"/>
  <c r="AH66" i="31"/>
  <c r="AH67" i="31"/>
  <c r="AH68" i="31"/>
  <c r="AH69" i="31"/>
  <c r="AH70" i="31"/>
  <c r="AH71" i="31"/>
  <c r="AH72" i="31"/>
  <c r="AH73" i="31"/>
  <c r="AH74" i="31"/>
  <c r="AH75" i="31"/>
  <c r="AH76" i="31"/>
  <c r="AH8" i="31"/>
  <c r="AF9" i="31"/>
  <c r="AF10" i="31"/>
  <c r="AF11" i="31"/>
  <c r="AF12" i="31"/>
  <c r="AF13" i="31"/>
  <c r="AF14" i="31"/>
  <c r="AF15" i="31"/>
  <c r="AF16" i="31"/>
  <c r="AF17" i="31"/>
  <c r="AF18" i="31"/>
  <c r="AF19" i="31"/>
  <c r="AF20" i="31"/>
  <c r="AF21" i="31"/>
  <c r="AF22" i="31"/>
  <c r="AF23" i="31"/>
  <c r="AF24" i="31"/>
  <c r="AF25" i="31"/>
  <c r="AF26" i="31"/>
  <c r="AF27" i="31"/>
  <c r="AF28" i="31"/>
  <c r="AF29" i="31"/>
  <c r="AF30" i="31"/>
  <c r="AF31" i="31"/>
  <c r="AF32" i="31"/>
  <c r="AF33" i="31"/>
  <c r="AF34" i="31"/>
  <c r="AF35" i="31"/>
  <c r="AF36" i="31"/>
  <c r="AF37" i="31"/>
  <c r="AF38" i="31"/>
  <c r="AF39" i="31"/>
  <c r="AF40" i="31"/>
  <c r="AF41" i="31"/>
  <c r="AF42" i="31"/>
  <c r="AF43" i="31"/>
  <c r="AF44" i="31"/>
  <c r="AF45" i="31"/>
  <c r="AF46" i="31"/>
  <c r="AF47" i="31"/>
  <c r="AF48" i="31"/>
  <c r="AF49" i="31"/>
  <c r="AF50" i="31"/>
  <c r="AF51" i="31"/>
  <c r="AF52" i="31"/>
  <c r="AF53" i="31"/>
  <c r="AF54" i="31"/>
  <c r="AF55" i="31"/>
  <c r="AF56" i="31"/>
  <c r="AF57" i="31"/>
  <c r="AF58" i="31"/>
  <c r="AF59" i="31"/>
  <c r="AF60" i="31"/>
  <c r="AF61" i="31"/>
  <c r="AF62" i="31"/>
  <c r="AF63" i="31"/>
  <c r="AF64" i="31"/>
  <c r="AF65" i="31"/>
  <c r="AF66" i="31"/>
  <c r="AF67" i="31"/>
  <c r="AF68" i="31"/>
  <c r="AF69" i="31"/>
  <c r="AF70" i="31"/>
  <c r="AF71" i="31"/>
  <c r="AF72" i="31"/>
  <c r="AF73" i="31"/>
  <c r="AF74" i="31"/>
  <c r="AF75" i="31"/>
  <c r="AF76" i="31"/>
  <c r="AF8" i="31"/>
  <c r="Q33" i="25"/>
  <c r="V9" i="31" l="1"/>
  <c r="W76" i="31"/>
  <c r="W68" i="31"/>
  <c r="W60" i="31"/>
  <c r="W52" i="31"/>
  <c r="W44" i="31"/>
  <c r="W36" i="31"/>
  <c r="W32" i="31"/>
  <c r="W24" i="31"/>
  <c r="W12" i="31"/>
  <c r="W71" i="31"/>
  <c r="W63" i="31"/>
  <c r="W55" i="31"/>
  <c r="W47" i="31"/>
  <c r="W43" i="31"/>
  <c r="W39" i="31"/>
  <c r="W35" i="31"/>
  <c r="W31" i="31"/>
  <c r="W27" i="31"/>
  <c r="W23" i="31"/>
  <c r="W19" i="31"/>
  <c r="W15" i="31"/>
  <c r="W11" i="31"/>
  <c r="W74" i="31"/>
  <c r="W70" i="31"/>
  <c r="W66" i="31"/>
  <c r="W62" i="31"/>
  <c r="W58" i="31"/>
  <c r="W54" i="31"/>
  <c r="W50" i="31"/>
  <c r="W46" i="31"/>
  <c r="W42" i="31"/>
  <c r="W38" i="31"/>
  <c r="W34" i="31"/>
  <c r="W30" i="31"/>
  <c r="W26" i="31"/>
  <c r="W22" i="31"/>
  <c r="W18" i="31"/>
  <c r="W14" i="31"/>
  <c r="W10" i="31"/>
  <c r="W72" i="31"/>
  <c r="W64" i="31"/>
  <c r="W56" i="31"/>
  <c r="W48" i="31"/>
  <c r="W40" i="31"/>
  <c r="W28" i="31"/>
  <c r="W20" i="31"/>
  <c r="W16" i="31"/>
  <c r="W75" i="31"/>
  <c r="W67" i="31"/>
  <c r="W59" i="31"/>
  <c r="W51" i="31"/>
  <c r="W8" i="31"/>
  <c r="AB4" i="25" s="1"/>
  <c r="W73" i="31"/>
  <c r="W69" i="31"/>
  <c r="W65" i="31"/>
  <c r="W61" i="31"/>
  <c r="W57" i="31"/>
  <c r="W53" i="31"/>
  <c r="W49" i="31"/>
  <c r="W45" i="31"/>
  <c r="W41" i="31"/>
  <c r="W37" i="31"/>
  <c r="W33" i="31"/>
  <c r="W29" i="31"/>
  <c r="W25" i="31"/>
  <c r="W21" i="31"/>
  <c r="W17" i="31"/>
  <c r="W13" i="31"/>
  <c r="W9" i="31"/>
  <c r="V8" i="31"/>
  <c r="AD4" i="25" s="1"/>
  <c r="V69" i="31"/>
  <c r="V76" i="31"/>
  <c r="V72" i="31"/>
  <c r="V68" i="31"/>
  <c r="V64" i="31"/>
  <c r="V60" i="31"/>
  <c r="V56" i="31"/>
  <c r="V52" i="31"/>
  <c r="V48" i="31"/>
  <c r="V44" i="31"/>
  <c r="V40" i="31"/>
  <c r="V36" i="31"/>
  <c r="V32" i="31"/>
  <c r="V28" i="31"/>
  <c r="V24" i="31"/>
  <c r="V20" i="31"/>
  <c r="V16" i="31"/>
  <c r="V12" i="31"/>
  <c r="V75" i="31"/>
  <c r="V71" i="31"/>
  <c r="V67" i="31"/>
  <c r="V63" i="31"/>
  <c r="V59" i="31"/>
  <c r="V55" i="31"/>
  <c r="V51" i="31"/>
  <c r="V47" i="31"/>
  <c r="V43" i="31"/>
  <c r="V39" i="31"/>
  <c r="V35" i="31"/>
  <c r="V31" i="31"/>
  <c r="V27" i="31"/>
  <c r="V23" i="31"/>
  <c r="V19" i="31"/>
  <c r="V15" i="31"/>
  <c r="V11" i="31"/>
  <c r="V74" i="31"/>
  <c r="V70" i="31"/>
  <c r="V66" i="31"/>
  <c r="V62" i="31"/>
  <c r="V58" i="31"/>
  <c r="V54" i="31"/>
  <c r="V50" i="31"/>
  <c r="V46" i="31"/>
  <c r="V42" i="31"/>
  <c r="V38" i="31"/>
  <c r="V34" i="31"/>
  <c r="V30" i="31"/>
  <c r="V26" i="31"/>
  <c r="V22" i="31"/>
  <c r="V18" i="31"/>
  <c r="V14" i="31"/>
  <c r="V10" i="31"/>
  <c r="V73" i="31"/>
  <c r="V65" i="31"/>
  <c r="V61" i="31"/>
  <c r="V57" i="31"/>
  <c r="V53" i="31"/>
  <c r="V49" i="31"/>
  <c r="V45" i="31"/>
  <c r="V41" i="31"/>
  <c r="V37" i="31"/>
  <c r="V33" i="31"/>
  <c r="V29" i="31"/>
  <c r="V25" i="31"/>
  <c r="V21" i="31"/>
  <c r="V17" i="31"/>
  <c r="V13" i="31"/>
  <c r="AB9" i="31" l="1"/>
  <c r="AM9" i="31" s="1"/>
  <c r="AB10" i="31"/>
  <c r="AM10" i="31" s="1"/>
  <c r="AB11" i="31"/>
  <c r="AM11" i="31" s="1"/>
  <c r="AB12" i="31"/>
  <c r="AM12" i="31" s="1"/>
  <c r="AB13" i="31"/>
  <c r="AM13" i="31" s="1"/>
  <c r="AB14" i="31"/>
  <c r="AM14" i="31" s="1"/>
  <c r="AB15" i="31"/>
  <c r="AM15" i="31" s="1"/>
  <c r="AB16" i="31"/>
  <c r="AM16" i="31" s="1"/>
  <c r="AB17" i="31"/>
  <c r="AM17" i="31" s="1"/>
  <c r="AB18" i="31"/>
  <c r="AM18" i="31" s="1"/>
  <c r="AB19" i="31"/>
  <c r="AM19" i="31" s="1"/>
  <c r="AB20" i="31"/>
  <c r="AM20" i="31" s="1"/>
  <c r="AB21" i="31"/>
  <c r="AM21" i="31" s="1"/>
  <c r="AB22" i="31"/>
  <c r="AM22" i="31" s="1"/>
  <c r="AB23" i="31"/>
  <c r="AM23" i="31" s="1"/>
  <c r="AB24" i="31"/>
  <c r="AM24" i="31" s="1"/>
  <c r="AB25" i="31"/>
  <c r="AM25" i="31" s="1"/>
  <c r="AB26" i="31"/>
  <c r="AM26" i="31" s="1"/>
  <c r="AB27" i="31"/>
  <c r="AM27" i="31" s="1"/>
  <c r="AB28" i="31"/>
  <c r="AM28" i="31" s="1"/>
  <c r="AB29" i="31"/>
  <c r="AM29" i="31" s="1"/>
  <c r="AB30" i="31"/>
  <c r="AM30" i="31" s="1"/>
  <c r="AB31" i="31"/>
  <c r="AM31" i="31" s="1"/>
  <c r="AB32" i="31"/>
  <c r="AM32" i="31" s="1"/>
  <c r="AB33" i="31"/>
  <c r="AM33" i="31" s="1"/>
  <c r="AB34" i="31"/>
  <c r="AM34" i="31" s="1"/>
  <c r="AB35" i="31"/>
  <c r="AM35" i="31" s="1"/>
  <c r="AB36" i="31"/>
  <c r="AM36" i="31" s="1"/>
  <c r="AB37" i="31"/>
  <c r="AM37" i="31" s="1"/>
  <c r="AB38" i="31"/>
  <c r="AM38" i="31" s="1"/>
  <c r="AB39" i="31"/>
  <c r="AM39" i="31" s="1"/>
  <c r="AB40" i="31"/>
  <c r="AM40" i="31" s="1"/>
  <c r="AB41" i="31"/>
  <c r="AM41" i="31" s="1"/>
  <c r="AB42" i="31"/>
  <c r="AM42" i="31" s="1"/>
  <c r="AB43" i="31"/>
  <c r="AM43" i="31" s="1"/>
  <c r="AB44" i="31"/>
  <c r="AM44" i="31" s="1"/>
  <c r="AB45" i="31"/>
  <c r="AM45" i="31" s="1"/>
  <c r="AB46" i="31"/>
  <c r="AM46" i="31" s="1"/>
  <c r="AB47" i="31"/>
  <c r="AM47" i="31" s="1"/>
  <c r="AB48" i="31"/>
  <c r="AM48" i="31" s="1"/>
  <c r="AB49" i="31"/>
  <c r="AM49" i="31" s="1"/>
  <c r="AB50" i="31"/>
  <c r="AM50" i="31" s="1"/>
  <c r="AB51" i="31"/>
  <c r="AM51" i="31" s="1"/>
  <c r="AB52" i="31"/>
  <c r="AM52" i="31" s="1"/>
  <c r="AB53" i="31"/>
  <c r="AM53" i="31" s="1"/>
  <c r="AB54" i="31"/>
  <c r="AM54" i="31" s="1"/>
  <c r="AB55" i="31"/>
  <c r="AM55" i="31" s="1"/>
  <c r="AB56" i="31"/>
  <c r="AM56" i="31" s="1"/>
  <c r="AB57" i="31"/>
  <c r="AM57" i="31" s="1"/>
  <c r="AB58" i="31"/>
  <c r="AM58" i="31" s="1"/>
  <c r="AB59" i="31"/>
  <c r="AM59" i="31" s="1"/>
  <c r="AB60" i="31"/>
  <c r="AM60" i="31" s="1"/>
  <c r="AB61" i="31"/>
  <c r="AM61" i="31" s="1"/>
  <c r="AB62" i="31"/>
  <c r="AM62" i="31" s="1"/>
  <c r="AB63" i="31"/>
  <c r="AM63" i="31" s="1"/>
  <c r="AB64" i="31"/>
  <c r="AM64" i="31" s="1"/>
  <c r="AB65" i="31"/>
  <c r="AM65" i="31" s="1"/>
  <c r="AB66" i="31"/>
  <c r="AM66" i="31" s="1"/>
  <c r="AB67" i="31"/>
  <c r="AM67" i="31" s="1"/>
  <c r="AB68" i="31"/>
  <c r="AM68" i="31" s="1"/>
  <c r="AB69" i="31"/>
  <c r="AM69" i="31" s="1"/>
  <c r="AB70" i="31"/>
  <c r="AM70" i="31" s="1"/>
  <c r="AB71" i="31"/>
  <c r="AM71" i="31" s="1"/>
  <c r="AB72" i="31"/>
  <c r="AM72" i="31" s="1"/>
  <c r="AB73" i="31"/>
  <c r="AM73" i="31" s="1"/>
  <c r="AB74" i="31"/>
  <c r="AM74" i="31" s="1"/>
  <c r="AB75" i="31"/>
  <c r="AM75" i="31" s="1"/>
  <c r="AB76" i="31"/>
  <c r="AM76" i="31" s="1"/>
  <c r="AB8" i="31"/>
  <c r="Z9" i="31"/>
  <c r="AL9" i="31" s="1"/>
  <c r="Z10" i="31"/>
  <c r="AL10" i="31" s="1"/>
  <c r="Z11" i="31"/>
  <c r="AL11" i="31" s="1"/>
  <c r="Z12" i="31"/>
  <c r="AL12" i="31" s="1"/>
  <c r="Z13" i="31"/>
  <c r="AL13" i="31" s="1"/>
  <c r="Z14" i="31"/>
  <c r="AL14" i="31" s="1"/>
  <c r="Z15" i="31"/>
  <c r="AL15" i="31" s="1"/>
  <c r="Z16" i="31"/>
  <c r="AL16" i="31" s="1"/>
  <c r="Z17" i="31"/>
  <c r="AL17" i="31" s="1"/>
  <c r="Z18" i="31"/>
  <c r="AL18" i="31" s="1"/>
  <c r="Z19" i="31"/>
  <c r="AL19" i="31" s="1"/>
  <c r="Z20" i="31"/>
  <c r="AL20" i="31" s="1"/>
  <c r="Z21" i="31"/>
  <c r="AL21" i="31" s="1"/>
  <c r="Z22" i="31"/>
  <c r="AL22" i="31" s="1"/>
  <c r="Z23" i="31"/>
  <c r="AL23" i="31" s="1"/>
  <c r="Z24" i="31"/>
  <c r="AL24" i="31" s="1"/>
  <c r="Z25" i="31"/>
  <c r="AL25" i="31" s="1"/>
  <c r="Z26" i="31"/>
  <c r="AL26" i="31" s="1"/>
  <c r="Z27" i="31"/>
  <c r="AL27" i="31" s="1"/>
  <c r="Z28" i="31"/>
  <c r="AL28" i="31" s="1"/>
  <c r="Z29" i="31"/>
  <c r="AL29" i="31" s="1"/>
  <c r="Z30" i="31"/>
  <c r="AL30" i="31" s="1"/>
  <c r="Z31" i="31"/>
  <c r="AL31" i="31" s="1"/>
  <c r="Z32" i="31"/>
  <c r="AL32" i="31" s="1"/>
  <c r="Z33" i="31"/>
  <c r="AL33" i="31" s="1"/>
  <c r="Z34" i="31"/>
  <c r="AL34" i="31" s="1"/>
  <c r="Z35" i="31"/>
  <c r="AL35" i="31" s="1"/>
  <c r="Z36" i="31"/>
  <c r="AL36" i="31" s="1"/>
  <c r="Z37" i="31"/>
  <c r="AL37" i="31" s="1"/>
  <c r="Z38" i="31"/>
  <c r="AL38" i="31" s="1"/>
  <c r="Z39" i="31"/>
  <c r="AL39" i="31" s="1"/>
  <c r="Z40" i="31"/>
  <c r="AL40" i="31" s="1"/>
  <c r="Z41" i="31"/>
  <c r="AL41" i="31" s="1"/>
  <c r="Z42" i="31"/>
  <c r="AL42" i="31" s="1"/>
  <c r="Z43" i="31"/>
  <c r="AL43" i="31" s="1"/>
  <c r="Z44" i="31"/>
  <c r="AL44" i="31" s="1"/>
  <c r="Z45" i="31"/>
  <c r="AL45" i="31" s="1"/>
  <c r="Z46" i="31"/>
  <c r="AL46" i="31" s="1"/>
  <c r="Z47" i="31"/>
  <c r="AL47" i="31" s="1"/>
  <c r="Z48" i="31"/>
  <c r="AL48" i="31" s="1"/>
  <c r="Z49" i="31"/>
  <c r="AL49" i="31" s="1"/>
  <c r="Z50" i="31"/>
  <c r="AL50" i="31" s="1"/>
  <c r="Z51" i="31"/>
  <c r="AL51" i="31" s="1"/>
  <c r="Z52" i="31"/>
  <c r="AL52" i="31" s="1"/>
  <c r="Z53" i="31"/>
  <c r="AL53" i="31" s="1"/>
  <c r="Z54" i="31"/>
  <c r="AL54" i="31" s="1"/>
  <c r="Z55" i="31"/>
  <c r="AL55" i="31" s="1"/>
  <c r="Z56" i="31"/>
  <c r="AL56" i="31" s="1"/>
  <c r="Z57" i="31"/>
  <c r="AL57" i="31" s="1"/>
  <c r="Z58" i="31"/>
  <c r="AL58" i="31" s="1"/>
  <c r="Z59" i="31"/>
  <c r="AL59" i="31" s="1"/>
  <c r="Z60" i="31"/>
  <c r="AL60" i="31" s="1"/>
  <c r="Z61" i="31"/>
  <c r="AL61" i="31" s="1"/>
  <c r="Z62" i="31"/>
  <c r="AL62" i="31" s="1"/>
  <c r="Z63" i="31"/>
  <c r="AL63" i="31" s="1"/>
  <c r="Z64" i="31"/>
  <c r="AL64" i="31" s="1"/>
  <c r="Z65" i="31"/>
  <c r="AL65" i="31" s="1"/>
  <c r="Z66" i="31"/>
  <c r="AL66" i="31" s="1"/>
  <c r="Z67" i="31"/>
  <c r="AL67" i="31" s="1"/>
  <c r="Z68" i="31"/>
  <c r="AL68" i="31" s="1"/>
  <c r="Z69" i="31"/>
  <c r="AL69" i="31" s="1"/>
  <c r="Z70" i="31"/>
  <c r="AL70" i="31" s="1"/>
  <c r="Z71" i="31"/>
  <c r="AL71" i="31" s="1"/>
  <c r="Z72" i="31"/>
  <c r="AL72" i="31" s="1"/>
  <c r="Z73" i="31"/>
  <c r="AL73" i="31" s="1"/>
  <c r="Z74" i="31"/>
  <c r="AL74" i="31" s="1"/>
  <c r="Z75" i="31"/>
  <c r="AL75" i="31" s="1"/>
  <c r="Z76" i="31"/>
  <c r="AL76" i="31" s="1"/>
  <c r="Z8" i="31"/>
  <c r="Q9" i="31"/>
  <c r="Q10" i="31"/>
  <c r="Q11" i="31"/>
  <c r="Q12" i="3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38" i="31"/>
  <c r="Q39" i="31"/>
  <c r="Q40" i="3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Q65" i="31"/>
  <c r="Q66" i="31"/>
  <c r="Q67" i="31"/>
  <c r="Q68" i="31"/>
  <c r="Q69" i="31"/>
  <c r="Q70" i="31"/>
  <c r="Q71" i="31"/>
  <c r="Q72" i="31"/>
  <c r="Q73" i="31"/>
  <c r="Q74" i="31"/>
  <c r="Q75" i="31"/>
  <c r="Q76" i="31"/>
  <c r="Q8" i="31"/>
  <c r="O1" i="31"/>
  <c r="O2" i="31"/>
  <c r="U36" i="31" s="1"/>
  <c r="O3" i="31"/>
  <c r="O4" i="31"/>
  <c r="O5" i="31"/>
  <c r="N5" i="31"/>
  <c r="N4" i="31"/>
  <c r="N3" i="31"/>
  <c r="N2" i="31"/>
  <c r="T9" i="31" s="1"/>
  <c r="N1" i="31"/>
  <c r="M5" i="31"/>
  <c r="M4" i="31"/>
  <c r="M3" i="31"/>
  <c r="M2" i="31"/>
  <c r="S62" i="31" s="1"/>
  <c r="M1" i="31"/>
  <c r="L5" i="31"/>
  <c r="L4" i="31"/>
  <c r="L3" i="31"/>
  <c r="L2" i="31"/>
  <c r="L1" i="31"/>
  <c r="AL8" i="31" l="1"/>
  <c r="AB2" i="25" s="1"/>
  <c r="AM8" i="31"/>
  <c r="AC2" i="25" s="1"/>
  <c r="R17" i="31"/>
  <c r="S21" i="31"/>
  <c r="U68" i="31"/>
  <c r="R32" i="31"/>
  <c r="U24" i="31"/>
  <c r="S14" i="31"/>
  <c r="T20" i="31"/>
  <c r="R16" i="31"/>
  <c r="T51" i="31"/>
  <c r="U48" i="31"/>
  <c r="R64" i="31"/>
  <c r="S69" i="31"/>
  <c r="T36" i="31"/>
  <c r="R48" i="31"/>
  <c r="T32" i="31"/>
  <c r="S37" i="31"/>
  <c r="T59" i="31"/>
  <c r="T12" i="31"/>
  <c r="U52" i="31"/>
  <c r="U16" i="31"/>
  <c r="R73" i="31"/>
  <c r="R41" i="31"/>
  <c r="R9" i="31"/>
  <c r="S30" i="31"/>
  <c r="U20" i="31"/>
  <c r="S10" i="31"/>
  <c r="R72" i="31"/>
  <c r="R56" i="31"/>
  <c r="R40" i="31"/>
  <c r="R24" i="31"/>
  <c r="S8" i="31"/>
  <c r="S61" i="31"/>
  <c r="S45" i="31"/>
  <c r="S29" i="31"/>
  <c r="S13" i="31"/>
  <c r="T48" i="31"/>
  <c r="T31" i="31"/>
  <c r="T16" i="31"/>
  <c r="U64" i="31"/>
  <c r="U40" i="31"/>
  <c r="S53" i="31"/>
  <c r="T24" i="31"/>
  <c r="T23" i="31"/>
  <c r="R57" i="31"/>
  <c r="R25" i="31"/>
  <c r="S46" i="31"/>
  <c r="R65" i="31"/>
  <c r="R49" i="31"/>
  <c r="R33" i="31"/>
  <c r="S70" i="31"/>
  <c r="S54" i="31"/>
  <c r="S38" i="31"/>
  <c r="S22" i="31"/>
  <c r="T72" i="31"/>
  <c r="T43" i="31"/>
  <c r="T27" i="31"/>
  <c r="T15" i="31"/>
  <c r="U56" i="31"/>
  <c r="T76" i="31"/>
  <c r="T68" i="31"/>
  <c r="T60" i="31"/>
  <c r="T52" i="31"/>
  <c r="T44" i="31"/>
  <c r="T28" i="31"/>
  <c r="T75" i="31"/>
  <c r="T67" i="31"/>
  <c r="T35" i="31"/>
  <c r="T19" i="31"/>
  <c r="T11" i="31"/>
  <c r="R10" i="31"/>
  <c r="R14" i="31"/>
  <c r="R18" i="31"/>
  <c r="R22" i="31"/>
  <c r="R26" i="31"/>
  <c r="R30" i="31"/>
  <c r="R34" i="31"/>
  <c r="R38" i="31"/>
  <c r="R42" i="31"/>
  <c r="R46" i="31"/>
  <c r="R50" i="31"/>
  <c r="R54" i="31"/>
  <c r="R58" i="31"/>
  <c r="R62" i="31"/>
  <c r="R66" i="31"/>
  <c r="R70" i="31"/>
  <c r="R74" i="31"/>
  <c r="R11" i="31"/>
  <c r="R15" i="31"/>
  <c r="R19" i="31"/>
  <c r="R23" i="31"/>
  <c r="R27" i="31"/>
  <c r="R31" i="31"/>
  <c r="R35" i="31"/>
  <c r="R39" i="31"/>
  <c r="R43" i="31"/>
  <c r="R47" i="31"/>
  <c r="R51" i="31"/>
  <c r="R55" i="31"/>
  <c r="R59" i="31"/>
  <c r="R63" i="31"/>
  <c r="R67" i="31"/>
  <c r="R71" i="31"/>
  <c r="R75" i="31"/>
  <c r="R8" i="31"/>
  <c r="R69" i="31"/>
  <c r="R61" i="31"/>
  <c r="R53" i="31"/>
  <c r="R45" i="31"/>
  <c r="R37" i="31"/>
  <c r="R29" i="31"/>
  <c r="R21" i="31"/>
  <c r="R13" i="31"/>
  <c r="S74" i="31"/>
  <c r="S66" i="31"/>
  <c r="S58" i="31"/>
  <c r="S50" i="31"/>
  <c r="S42" i="31"/>
  <c r="S34" i="31"/>
  <c r="S26" i="31"/>
  <c r="S18" i="31"/>
  <c r="T64" i="31"/>
  <c r="T56" i="31"/>
  <c r="T40" i="31"/>
  <c r="U76" i="31"/>
  <c r="U63" i="31"/>
  <c r="U32" i="31"/>
  <c r="S11" i="31"/>
  <c r="S15" i="31"/>
  <c r="S19" i="31"/>
  <c r="S23" i="31"/>
  <c r="S27" i="31"/>
  <c r="S31" i="31"/>
  <c r="S35" i="31"/>
  <c r="S39" i="31"/>
  <c r="S43" i="31"/>
  <c r="S47" i="31"/>
  <c r="S51" i="31"/>
  <c r="S55" i="31"/>
  <c r="S59" i="31"/>
  <c r="S63" i="31"/>
  <c r="S67" i="31"/>
  <c r="S71" i="31"/>
  <c r="S75" i="31"/>
  <c r="S12" i="31"/>
  <c r="S16" i="31"/>
  <c r="S20" i="31"/>
  <c r="S24" i="31"/>
  <c r="S28" i="31"/>
  <c r="S32" i="31"/>
  <c r="S36" i="31"/>
  <c r="S40" i="31"/>
  <c r="S44" i="31"/>
  <c r="S48" i="31"/>
  <c r="S52" i="31"/>
  <c r="S56" i="31"/>
  <c r="S60" i="31"/>
  <c r="S64" i="31"/>
  <c r="S68" i="31"/>
  <c r="S72" i="31"/>
  <c r="S76" i="31"/>
  <c r="U9" i="31"/>
  <c r="U13" i="31"/>
  <c r="U17" i="31"/>
  <c r="U21" i="31"/>
  <c r="U25" i="31"/>
  <c r="U29" i="31"/>
  <c r="U33" i="31"/>
  <c r="U37" i="31"/>
  <c r="U41" i="31"/>
  <c r="U45" i="31"/>
  <c r="U49" i="31"/>
  <c r="U53" i="31"/>
  <c r="U57" i="31"/>
  <c r="U61" i="31"/>
  <c r="U65" i="31"/>
  <c r="U69" i="31"/>
  <c r="U73" i="31"/>
  <c r="U8" i="31"/>
  <c r="U10" i="31"/>
  <c r="U14" i="31"/>
  <c r="U18" i="31"/>
  <c r="U22" i="31"/>
  <c r="U26" i="31"/>
  <c r="U30" i="31"/>
  <c r="U34" i="31"/>
  <c r="U38" i="31"/>
  <c r="U42" i="31"/>
  <c r="U46" i="31"/>
  <c r="U50" i="31"/>
  <c r="U54" i="31"/>
  <c r="U58" i="31"/>
  <c r="U62" i="31"/>
  <c r="U66" i="31"/>
  <c r="U70" i="31"/>
  <c r="U74" i="31"/>
  <c r="U11" i="31"/>
  <c r="U15" i="31"/>
  <c r="U19" i="31"/>
  <c r="U23" i="31"/>
  <c r="U27" i="31"/>
  <c r="U31" i="31"/>
  <c r="U35" i="31"/>
  <c r="U39" i="31"/>
  <c r="U43" i="31"/>
  <c r="U47" i="31"/>
  <c r="U51" i="31"/>
  <c r="U55" i="31"/>
  <c r="U59" i="31"/>
  <c r="U67" i="31"/>
  <c r="U71" i="31"/>
  <c r="U75" i="31"/>
  <c r="R76" i="31"/>
  <c r="R68" i="31"/>
  <c r="R60" i="31"/>
  <c r="R52" i="31"/>
  <c r="R44" i="31"/>
  <c r="R36" i="31"/>
  <c r="R28" i="31"/>
  <c r="R20" i="31"/>
  <c r="R12" i="31"/>
  <c r="S73" i="31"/>
  <c r="S65" i="31"/>
  <c r="S57" i="31"/>
  <c r="S49" i="31"/>
  <c r="S41" i="31"/>
  <c r="S33" i="31"/>
  <c r="S25" i="31"/>
  <c r="S17" i="31"/>
  <c r="S9" i="31"/>
  <c r="T71" i="31"/>
  <c r="T63" i="31"/>
  <c r="T55" i="31"/>
  <c r="T47" i="31"/>
  <c r="T39" i="31"/>
  <c r="U72" i="31"/>
  <c r="U60" i="31"/>
  <c r="U44" i="31"/>
  <c r="U28" i="31"/>
  <c r="U12" i="31"/>
  <c r="T8" i="31"/>
  <c r="T74" i="31"/>
  <c r="T70" i="31"/>
  <c r="T66" i="31"/>
  <c r="T62" i="31"/>
  <c r="T58" i="31"/>
  <c r="T54" i="31"/>
  <c r="T50" i="31"/>
  <c r="T46" i="31"/>
  <c r="T42" i="31"/>
  <c r="T38" i="31"/>
  <c r="T34" i="31"/>
  <c r="T30" i="31"/>
  <c r="T26" i="31"/>
  <c r="T22" i="31"/>
  <c r="T18" i="31"/>
  <c r="T14" i="31"/>
  <c r="T10" i="31"/>
  <c r="T73" i="31"/>
  <c r="T69" i="31"/>
  <c r="T65" i="31"/>
  <c r="T61" i="31"/>
  <c r="T57" i="31"/>
  <c r="T53" i="31"/>
  <c r="T49" i="31"/>
  <c r="T45" i="31"/>
  <c r="T41" i="31"/>
  <c r="T37" i="31"/>
  <c r="T33" i="31"/>
  <c r="T29" i="31"/>
  <c r="T25" i="31"/>
  <c r="T21" i="31"/>
  <c r="T17" i="31"/>
  <c r="T13" i="31"/>
  <c r="V3" i="30"/>
  <c r="V4" i="30"/>
  <c r="V5" i="30"/>
  <c r="V6" i="30"/>
  <c r="V7" i="30"/>
  <c r="V8" i="30"/>
  <c r="V9" i="30"/>
  <c r="V10" i="30"/>
  <c r="V11" i="30"/>
  <c r="V12" i="30"/>
  <c r="V13" i="30"/>
  <c r="V14" i="30"/>
  <c r="V15" i="30"/>
  <c r="V16" i="30"/>
  <c r="V17" i="30"/>
  <c r="V18" i="30"/>
  <c r="V19" i="30"/>
  <c r="V20" i="30"/>
  <c r="V21" i="30"/>
  <c r="V22" i="30"/>
  <c r="V2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36" i="30"/>
  <c r="V37" i="30"/>
  <c r="V38" i="30"/>
  <c r="V39" i="30"/>
  <c r="V40" i="30"/>
  <c r="V41" i="30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56" i="30"/>
  <c r="V57" i="30"/>
  <c r="V58" i="30"/>
  <c r="V59" i="30"/>
  <c r="V60" i="30"/>
  <c r="V61" i="30"/>
  <c r="V62" i="30"/>
  <c r="V63" i="30"/>
  <c r="V64" i="30"/>
  <c r="V65" i="30"/>
  <c r="V66" i="30"/>
  <c r="V67" i="30"/>
  <c r="V68" i="30"/>
  <c r="V69" i="30"/>
  <c r="V70" i="30"/>
  <c r="V71" i="30"/>
  <c r="U3" i="30"/>
  <c r="U4" i="30"/>
  <c r="U5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40" i="30"/>
  <c r="U41" i="30"/>
  <c r="U42" i="30"/>
  <c r="U43" i="30"/>
  <c r="U44" i="30"/>
  <c r="U45" i="30"/>
  <c r="U46" i="30"/>
  <c r="U47" i="30"/>
  <c r="U48" i="30"/>
  <c r="U49" i="30"/>
  <c r="U50" i="30"/>
  <c r="U51" i="30"/>
  <c r="U52" i="30"/>
  <c r="U53" i="30"/>
  <c r="U54" i="30"/>
  <c r="U55" i="30"/>
  <c r="U56" i="30"/>
  <c r="U57" i="30"/>
  <c r="U58" i="30"/>
  <c r="U59" i="30"/>
  <c r="U60" i="30"/>
  <c r="U61" i="30"/>
  <c r="U62" i="30"/>
  <c r="U63" i="30"/>
  <c r="U64" i="30"/>
  <c r="U65" i="30"/>
  <c r="U66" i="30"/>
  <c r="U67" i="30"/>
  <c r="U68" i="30"/>
  <c r="U69" i="30"/>
  <c r="U70" i="30"/>
  <c r="U71" i="30"/>
  <c r="V2" i="30"/>
  <c r="U2" i="30"/>
  <c r="P3" i="30"/>
  <c r="P4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56" i="30"/>
  <c r="P57" i="30"/>
  <c r="P58" i="30"/>
  <c r="P59" i="30"/>
  <c r="P60" i="30"/>
  <c r="P61" i="30"/>
  <c r="P62" i="30"/>
  <c r="P63" i="30"/>
  <c r="P64" i="30"/>
  <c r="P65" i="30"/>
  <c r="P66" i="30"/>
  <c r="P67" i="30"/>
  <c r="P68" i="30"/>
  <c r="P69" i="30"/>
  <c r="P70" i="30"/>
  <c r="P71" i="30"/>
  <c r="O3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56" i="30"/>
  <c r="O57" i="30"/>
  <c r="O58" i="30"/>
  <c r="O59" i="30"/>
  <c r="O60" i="30"/>
  <c r="O61" i="30"/>
  <c r="O62" i="30"/>
  <c r="O63" i="30"/>
  <c r="O64" i="30"/>
  <c r="O65" i="30"/>
  <c r="O66" i="30"/>
  <c r="O67" i="30"/>
  <c r="O68" i="30"/>
  <c r="O69" i="30"/>
  <c r="O70" i="30"/>
  <c r="O71" i="30"/>
  <c r="P2" i="30"/>
  <c r="O2" i="30"/>
  <c r="AD2" i="15" l="1"/>
  <c r="AB2" i="15"/>
  <c r="L35" i="15" l="1"/>
  <c r="V9" i="29" l="1"/>
  <c r="V10" i="29"/>
  <c r="V11" i="29"/>
  <c r="V12" i="29"/>
  <c r="V13" i="29"/>
  <c r="V14" i="29"/>
  <c r="V15" i="29"/>
  <c r="V16" i="29"/>
  <c r="V17" i="29"/>
  <c r="V18" i="29"/>
  <c r="V19" i="29"/>
  <c r="V20" i="29"/>
  <c r="V21" i="29"/>
  <c r="V22" i="29"/>
  <c r="V23" i="29"/>
  <c r="V24" i="29"/>
  <c r="V25" i="29"/>
  <c r="V26" i="29"/>
  <c r="V27" i="29"/>
  <c r="V28" i="29"/>
  <c r="V30" i="29"/>
  <c r="V31" i="29"/>
  <c r="V32" i="29"/>
  <c r="V33" i="29"/>
  <c r="V34" i="29"/>
  <c r="V35" i="29"/>
  <c r="V36" i="29"/>
  <c r="V37" i="29"/>
  <c r="V38" i="29"/>
  <c r="V39" i="29"/>
  <c r="V40" i="29"/>
  <c r="V41" i="29"/>
  <c r="V42" i="29"/>
  <c r="V43" i="29"/>
  <c r="V44" i="29"/>
  <c r="V45" i="29"/>
  <c r="V46" i="29"/>
  <c r="V47" i="29"/>
  <c r="V48" i="29"/>
  <c r="V49" i="29"/>
  <c r="V50" i="29"/>
  <c r="V51" i="29"/>
  <c r="V52" i="29"/>
  <c r="V53" i="29"/>
  <c r="V54" i="29"/>
  <c r="V55" i="29"/>
  <c r="V56" i="29"/>
  <c r="V57" i="29"/>
  <c r="V58" i="29"/>
  <c r="V59" i="29"/>
  <c r="V60" i="29"/>
  <c r="V61" i="29"/>
  <c r="V62" i="29"/>
  <c r="V63" i="29"/>
  <c r="V64" i="29"/>
  <c r="V65" i="29"/>
  <c r="V66" i="29"/>
  <c r="V67" i="29"/>
  <c r="V68" i="29"/>
  <c r="V69" i="29"/>
  <c r="V70" i="29"/>
  <c r="V71" i="29"/>
  <c r="V72" i="29"/>
  <c r="V73" i="29"/>
  <c r="V74" i="29"/>
  <c r="V75" i="29"/>
  <c r="V76" i="29"/>
  <c r="V77" i="29"/>
  <c r="V78" i="29"/>
  <c r="V8" i="29"/>
  <c r="U9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30" i="29"/>
  <c r="U31" i="29"/>
  <c r="U32" i="29"/>
  <c r="U33" i="29"/>
  <c r="U34" i="29"/>
  <c r="U35" i="29"/>
  <c r="U36" i="29"/>
  <c r="U37" i="29"/>
  <c r="U38" i="29"/>
  <c r="U39" i="29"/>
  <c r="U40" i="29"/>
  <c r="U41" i="29"/>
  <c r="U42" i="29"/>
  <c r="U43" i="29"/>
  <c r="U44" i="29"/>
  <c r="U45" i="29"/>
  <c r="U46" i="29"/>
  <c r="U47" i="29"/>
  <c r="U48" i="29"/>
  <c r="U49" i="29"/>
  <c r="U50" i="29"/>
  <c r="U51" i="29"/>
  <c r="U52" i="29"/>
  <c r="U53" i="29"/>
  <c r="U54" i="29"/>
  <c r="U55" i="29"/>
  <c r="U56" i="29"/>
  <c r="U57" i="29"/>
  <c r="U58" i="29"/>
  <c r="U59" i="29"/>
  <c r="U60" i="29"/>
  <c r="U61" i="29"/>
  <c r="U62" i="29"/>
  <c r="U63" i="29"/>
  <c r="U64" i="29"/>
  <c r="U65" i="29"/>
  <c r="U66" i="29"/>
  <c r="U67" i="29"/>
  <c r="U68" i="29"/>
  <c r="U69" i="29"/>
  <c r="U70" i="29"/>
  <c r="U71" i="29"/>
  <c r="U72" i="29"/>
  <c r="U73" i="29"/>
  <c r="U74" i="29"/>
  <c r="U75" i="29"/>
  <c r="U76" i="29"/>
  <c r="U77" i="29"/>
  <c r="U78" i="29"/>
  <c r="U8" i="29"/>
  <c r="AB4" i="15" s="1"/>
  <c r="T9" i="29"/>
  <c r="T10" i="29"/>
  <c r="T11" i="29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25" i="29"/>
  <c r="T26" i="29"/>
  <c r="T27" i="29"/>
  <c r="T28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T53" i="29"/>
  <c r="T54" i="29"/>
  <c r="T55" i="29"/>
  <c r="T56" i="29"/>
  <c r="T57" i="29"/>
  <c r="T58" i="29"/>
  <c r="T59" i="29"/>
  <c r="T60" i="29"/>
  <c r="T61" i="29"/>
  <c r="T62" i="29"/>
  <c r="T63" i="29"/>
  <c r="T64" i="29"/>
  <c r="T65" i="29"/>
  <c r="T66" i="29"/>
  <c r="T67" i="29"/>
  <c r="T68" i="29"/>
  <c r="T69" i="29"/>
  <c r="T70" i="29"/>
  <c r="T71" i="29"/>
  <c r="T72" i="29"/>
  <c r="T73" i="29"/>
  <c r="T74" i="29"/>
  <c r="T75" i="29"/>
  <c r="T76" i="29"/>
  <c r="T77" i="29"/>
  <c r="T78" i="29"/>
  <c r="T8" i="29"/>
  <c r="AD4" i="15" s="1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30" i="29"/>
  <c r="O31" i="29"/>
  <c r="O32" i="29"/>
  <c r="O33" i="29"/>
  <c r="O34" i="29"/>
  <c r="O35" i="29"/>
  <c r="O36" i="29"/>
  <c r="O37" i="29"/>
  <c r="O38" i="29"/>
  <c r="O39" i="29"/>
  <c r="O40" i="29"/>
  <c r="O41" i="29"/>
  <c r="O42" i="29"/>
  <c r="O43" i="29"/>
  <c r="O44" i="29"/>
  <c r="O45" i="29"/>
  <c r="O46" i="29"/>
  <c r="O47" i="29"/>
  <c r="O48" i="29"/>
  <c r="O49" i="29"/>
  <c r="O50" i="29"/>
  <c r="O51" i="29"/>
  <c r="O52" i="29"/>
  <c r="O53" i="29"/>
  <c r="O54" i="29"/>
  <c r="O55" i="29"/>
  <c r="O56" i="29"/>
  <c r="O57" i="29"/>
  <c r="O58" i="29"/>
  <c r="O59" i="29"/>
  <c r="O60" i="29"/>
  <c r="O61" i="29"/>
  <c r="O62" i="29"/>
  <c r="O63" i="29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8" i="29"/>
  <c r="H5" i="29"/>
  <c r="H4" i="29"/>
  <c r="H3" i="29"/>
  <c r="H2" i="29"/>
  <c r="S9" i="29" s="1"/>
  <c r="H1" i="29"/>
  <c r="G5" i="29"/>
  <c r="G4" i="29"/>
  <c r="G3" i="29"/>
  <c r="G2" i="29"/>
  <c r="R42" i="29" s="1"/>
  <c r="G1" i="29"/>
  <c r="F5" i="29"/>
  <c r="F4" i="29"/>
  <c r="F3" i="29"/>
  <c r="F2" i="29"/>
  <c r="F1" i="29"/>
  <c r="E5" i="29"/>
  <c r="E4" i="29"/>
  <c r="E3" i="29"/>
  <c r="E2" i="29"/>
  <c r="E1" i="29"/>
  <c r="Q9" i="29" l="1"/>
  <c r="R58" i="29"/>
  <c r="R21" i="29"/>
  <c r="S56" i="29"/>
  <c r="R78" i="29"/>
  <c r="S48" i="29"/>
  <c r="Q72" i="29"/>
  <c r="Q56" i="29"/>
  <c r="Q40" i="29"/>
  <c r="Q23" i="29"/>
  <c r="Q68" i="29"/>
  <c r="Q52" i="29"/>
  <c r="Q36" i="29"/>
  <c r="Q19" i="29"/>
  <c r="R74" i="29"/>
  <c r="R54" i="29"/>
  <c r="R17" i="29"/>
  <c r="Q64" i="29"/>
  <c r="Q48" i="29"/>
  <c r="Q32" i="29"/>
  <c r="R66" i="29"/>
  <c r="R50" i="29"/>
  <c r="R10" i="29"/>
  <c r="S32" i="29"/>
  <c r="Q76" i="29"/>
  <c r="Q60" i="29"/>
  <c r="Q44" i="29"/>
  <c r="Q27" i="29"/>
  <c r="Q12" i="29"/>
  <c r="R62" i="29"/>
  <c r="S68" i="29"/>
  <c r="S19" i="29"/>
  <c r="P11" i="29"/>
  <c r="P15" i="29"/>
  <c r="P18" i="29"/>
  <c r="P22" i="29"/>
  <c r="P26" i="29"/>
  <c r="P31" i="29"/>
  <c r="P35" i="29"/>
  <c r="P39" i="29"/>
  <c r="P43" i="29"/>
  <c r="P47" i="29"/>
  <c r="P51" i="29"/>
  <c r="P55" i="29"/>
  <c r="P59" i="29"/>
  <c r="P63" i="29"/>
  <c r="P67" i="29"/>
  <c r="P71" i="29"/>
  <c r="P75" i="29"/>
  <c r="P14" i="29"/>
  <c r="P17" i="29"/>
  <c r="P30" i="29"/>
  <c r="P38" i="29"/>
  <c r="P54" i="29"/>
  <c r="P66" i="29"/>
  <c r="P74" i="29"/>
  <c r="P12" i="29"/>
  <c r="P19" i="29"/>
  <c r="P23" i="29"/>
  <c r="P27" i="29"/>
  <c r="P32" i="29"/>
  <c r="P36" i="29"/>
  <c r="P40" i="29"/>
  <c r="P44" i="29"/>
  <c r="P48" i="29"/>
  <c r="P52" i="29"/>
  <c r="P56" i="29"/>
  <c r="P60" i="29"/>
  <c r="P64" i="29"/>
  <c r="P68" i="29"/>
  <c r="P72" i="29"/>
  <c r="P76" i="29"/>
  <c r="P25" i="29"/>
  <c r="P46" i="29"/>
  <c r="P58" i="29"/>
  <c r="P78" i="29"/>
  <c r="P9" i="29"/>
  <c r="P13" i="29"/>
  <c r="P16" i="29"/>
  <c r="P20" i="29"/>
  <c r="P24" i="29"/>
  <c r="P28" i="29"/>
  <c r="P33" i="29"/>
  <c r="P37" i="29"/>
  <c r="P41" i="29"/>
  <c r="P45" i="29"/>
  <c r="P49" i="29"/>
  <c r="P53" i="29"/>
  <c r="P57" i="29"/>
  <c r="P61" i="29"/>
  <c r="P65" i="29"/>
  <c r="P69" i="29"/>
  <c r="P73" i="29"/>
  <c r="P77" i="29"/>
  <c r="P10" i="29"/>
  <c r="P21" i="29"/>
  <c r="P34" i="29"/>
  <c r="P42" i="29"/>
  <c r="P50" i="29"/>
  <c r="P62" i="29"/>
  <c r="P70" i="29"/>
  <c r="P8" i="29"/>
  <c r="R25" i="29"/>
  <c r="R30" i="29"/>
  <c r="R46" i="29"/>
  <c r="R34" i="29"/>
  <c r="R14" i="29"/>
  <c r="R38" i="29"/>
  <c r="R70" i="29"/>
  <c r="R11" i="29"/>
  <c r="S52" i="29"/>
  <c r="S60" i="29"/>
  <c r="S76" i="29"/>
  <c r="S12" i="29"/>
  <c r="S23" i="29"/>
  <c r="S27" i="29"/>
  <c r="S36" i="29"/>
  <c r="S40" i="29"/>
  <c r="S44" i="29"/>
  <c r="S64" i="29"/>
  <c r="S72" i="29"/>
  <c r="Q8" i="29"/>
  <c r="Q75" i="29"/>
  <c r="Q71" i="29"/>
  <c r="Q67" i="29"/>
  <c r="Q63" i="29"/>
  <c r="Q59" i="29"/>
  <c r="Q55" i="29"/>
  <c r="Q51" i="29"/>
  <c r="Q47" i="29"/>
  <c r="Q43" i="29"/>
  <c r="Q39" i="29"/>
  <c r="Q35" i="29"/>
  <c r="Q31" i="29"/>
  <c r="Q26" i="29"/>
  <c r="Q22" i="29"/>
  <c r="Q18" i="29"/>
  <c r="Q15" i="29"/>
  <c r="Q11" i="29"/>
  <c r="R77" i="29"/>
  <c r="R73" i="29"/>
  <c r="R69" i="29"/>
  <c r="R65" i="29"/>
  <c r="R61" i="29"/>
  <c r="R57" i="29"/>
  <c r="R53" i="29"/>
  <c r="R49" i="29"/>
  <c r="R45" i="29"/>
  <c r="R41" i="29"/>
  <c r="R37" i="29"/>
  <c r="R33" i="29"/>
  <c r="R28" i="29"/>
  <c r="R24" i="29"/>
  <c r="R20" i="29"/>
  <c r="R16" i="29"/>
  <c r="R13" i="29"/>
  <c r="R9" i="29"/>
  <c r="S75" i="29"/>
  <c r="S71" i="29"/>
  <c r="S67" i="29"/>
  <c r="S63" i="29"/>
  <c r="S59" i="29"/>
  <c r="S55" i="29"/>
  <c r="S51" i="29"/>
  <c r="S47" i="29"/>
  <c r="S43" i="29"/>
  <c r="S39" i="29"/>
  <c r="S35" i="29"/>
  <c r="S31" i="29"/>
  <c r="S26" i="29"/>
  <c r="S22" i="29"/>
  <c r="S18" i="29"/>
  <c r="S15" i="29"/>
  <c r="S11" i="29"/>
  <c r="R8" i="29"/>
  <c r="Q78" i="29"/>
  <c r="Q74" i="29"/>
  <c r="Q70" i="29"/>
  <c r="Q66" i="29"/>
  <c r="Q62" i="29"/>
  <c r="Q58" i="29"/>
  <c r="Q54" i="29"/>
  <c r="Q50" i="29"/>
  <c r="Q46" i="29"/>
  <c r="Q42" i="29"/>
  <c r="Q38" i="29"/>
  <c r="Q34" i="29"/>
  <c r="Q30" i="29"/>
  <c r="Q25" i="29"/>
  <c r="Q21" i="29"/>
  <c r="Q17" i="29"/>
  <c r="Q14" i="29"/>
  <c r="Q10" i="29"/>
  <c r="R76" i="29"/>
  <c r="R72" i="29"/>
  <c r="R68" i="29"/>
  <c r="R64" i="29"/>
  <c r="R60" i="29"/>
  <c r="R56" i="29"/>
  <c r="R52" i="29"/>
  <c r="R48" i="29"/>
  <c r="R44" i="29"/>
  <c r="R40" i="29"/>
  <c r="R36" i="29"/>
  <c r="R32" i="29"/>
  <c r="R27" i="29"/>
  <c r="R23" i="29"/>
  <c r="R19" i="29"/>
  <c r="R12" i="29"/>
  <c r="S78" i="29"/>
  <c r="S74" i="29"/>
  <c r="S70" i="29"/>
  <c r="S66" i="29"/>
  <c r="S62" i="29"/>
  <c r="S58" i="29"/>
  <c r="S54" i="29"/>
  <c r="S50" i="29"/>
  <c r="S46" i="29"/>
  <c r="S42" i="29"/>
  <c r="S38" i="29"/>
  <c r="S34" i="29"/>
  <c r="S30" i="29"/>
  <c r="S25" i="29"/>
  <c r="S21" i="29"/>
  <c r="S17" i="29"/>
  <c r="S14" i="29"/>
  <c r="S10" i="29"/>
  <c r="S8" i="29"/>
  <c r="Q77" i="29"/>
  <c r="Q73" i="29"/>
  <c r="Q69" i="29"/>
  <c r="Q65" i="29"/>
  <c r="Q61" i="29"/>
  <c r="Q57" i="29"/>
  <c r="Q53" i="29"/>
  <c r="Q49" i="29"/>
  <c r="Q45" i="29"/>
  <c r="Q41" i="29"/>
  <c r="Q37" i="29"/>
  <c r="Q33" i="29"/>
  <c r="Q28" i="29"/>
  <c r="Q24" i="29"/>
  <c r="Q20" i="29"/>
  <c r="Q16" i="29"/>
  <c r="Q13" i="29"/>
  <c r="R75" i="29"/>
  <c r="R71" i="29"/>
  <c r="R67" i="29"/>
  <c r="R63" i="29"/>
  <c r="R59" i="29"/>
  <c r="R55" i="29"/>
  <c r="R51" i="29"/>
  <c r="R47" i="29"/>
  <c r="R43" i="29"/>
  <c r="R39" i="29"/>
  <c r="R35" i="29"/>
  <c r="R31" i="29"/>
  <c r="R26" i="29"/>
  <c r="R22" i="29"/>
  <c r="R18" i="29"/>
  <c r="R15" i="29"/>
  <c r="S77" i="29"/>
  <c r="S73" i="29"/>
  <c r="S69" i="29"/>
  <c r="S65" i="29"/>
  <c r="S61" i="29"/>
  <c r="S57" i="29"/>
  <c r="S53" i="29"/>
  <c r="S49" i="29"/>
  <c r="S45" i="29"/>
  <c r="S41" i="29"/>
  <c r="S37" i="29"/>
  <c r="S33" i="29"/>
  <c r="S28" i="29"/>
  <c r="S24" i="29"/>
  <c r="S20" i="29"/>
  <c r="S16" i="29"/>
  <c r="S13" i="29"/>
  <c r="AD2" i="12" l="1"/>
  <c r="AA6" i="30" l="1"/>
  <c r="AK43" i="12" s="1"/>
  <c r="AA10" i="30"/>
  <c r="AK17" i="12" s="1"/>
  <c r="AA14" i="30"/>
  <c r="AK22" i="12" s="1"/>
  <c r="AA18" i="30"/>
  <c r="AK47" i="12" s="1"/>
  <c r="AA22" i="30"/>
  <c r="AK41" i="12" s="1"/>
  <c r="AA26" i="30"/>
  <c r="AK2" i="12" s="1"/>
  <c r="AA30" i="30"/>
  <c r="AK54" i="12" s="1"/>
  <c r="AA34" i="30"/>
  <c r="AK67" i="12" s="1"/>
  <c r="AA38" i="30"/>
  <c r="AK11" i="12" s="1"/>
  <c r="AA42" i="30"/>
  <c r="AK28" i="12" s="1"/>
  <c r="AA46" i="30"/>
  <c r="AK44" i="12" s="1"/>
  <c r="AA50" i="30"/>
  <c r="AK37" i="12" s="1"/>
  <c r="AA54" i="30"/>
  <c r="AK7" i="12" s="1"/>
  <c r="AA58" i="30"/>
  <c r="AK60" i="12" s="1"/>
  <c r="AA62" i="30"/>
  <c r="AK9" i="12" s="1"/>
  <c r="AA66" i="30"/>
  <c r="AK18" i="12" s="1"/>
  <c r="AA70" i="30"/>
  <c r="AK21" i="12" s="1"/>
  <c r="Z4" i="30"/>
  <c r="AJ10" i="12" s="1"/>
  <c r="Z8" i="30"/>
  <c r="AJ50" i="12" s="1"/>
  <c r="Z12" i="30"/>
  <c r="AJ55" i="12" s="1"/>
  <c r="Z16" i="30"/>
  <c r="AJ53" i="12" s="1"/>
  <c r="Z20" i="30"/>
  <c r="AJ5" i="12" s="1"/>
  <c r="Z24" i="30"/>
  <c r="AJ8" i="12" s="1"/>
  <c r="Z28" i="30"/>
  <c r="AJ63" i="12" s="1"/>
  <c r="Z32" i="30"/>
  <c r="AJ26" i="12" s="1"/>
  <c r="Z36" i="30"/>
  <c r="AJ36" i="12" s="1"/>
  <c r="Z40" i="30"/>
  <c r="AJ27" i="12" s="1"/>
  <c r="Z44" i="30"/>
  <c r="AJ14" i="12" s="1"/>
  <c r="Z48" i="30"/>
  <c r="AJ52" i="12" s="1"/>
  <c r="Z52" i="30"/>
  <c r="AJ65" i="12" s="1"/>
  <c r="Z56" i="30"/>
  <c r="AJ19" i="12" s="1"/>
  <c r="Z60" i="30"/>
  <c r="AJ30" i="12" s="1"/>
  <c r="Z64" i="30"/>
  <c r="AJ34" i="12" s="1"/>
  <c r="Z68" i="30"/>
  <c r="AJ35" i="12" s="1"/>
  <c r="Y6" i="30"/>
  <c r="AI43" i="12" s="1"/>
  <c r="Y10" i="30"/>
  <c r="AI17" i="12" s="1"/>
  <c r="Y14" i="30"/>
  <c r="AI22" i="12" s="1"/>
  <c r="Y18" i="30"/>
  <c r="AI47" i="12" s="1"/>
  <c r="Y22" i="30"/>
  <c r="AI41" i="12" s="1"/>
  <c r="Y26" i="30"/>
  <c r="AI2" i="12" s="1"/>
  <c r="Y30" i="30"/>
  <c r="AI54" i="12" s="1"/>
  <c r="Y34" i="30"/>
  <c r="AI67" i="12" s="1"/>
  <c r="Y38" i="30"/>
  <c r="AI11" i="12" s="1"/>
  <c r="Y42" i="30"/>
  <c r="AI28" i="12" s="1"/>
  <c r="Y46" i="30"/>
  <c r="AI44" i="12" s="1"/>
  <c r="Y50" i="30"/>
  <c r="AI37" i="12" s="1"/>
  <c r="Y54" i="30"/>
  <c r="AI7" i="12" s="1"/>
  <c r="Y58" i="30"/>
  <c r="AI60" i="12" s="1"/>
  <c r="Y62" i="30"/>
  <c r="AI9" i="12" s="1"/>
  <c r="Y66" i="30"/>
  <c r="AI18" i="12" s="1"/>
  <c r="Y70" i="30"/>
  <c r="AI21" i="12" s="1"/>
  <c r="Y2" i="30"/>
  <c r="AI58" i="12" s="1"/>
  <c r="X5" i="30"/>
  <c r="AH51" i="12" s="1"/>
  <c r="X9" i="30"/>
  <c r="AH66" i="12" s="1"/>
  <c r="X13" i="30"/>
  <c r="AH12" i="12" s="1"/>
  <c r="X17" i="30"/>
  <c r="AH6" i="12" s="1"/>
  <c r="X21" i="30"/>
  <c r="AH46" i="12" s="1"/>
  <c r="X25" i="30"/>
  <c r="AH59" i="12" s="1"/>
  <c r="X29" i="30"/>
  <c r="AH25" i="12" s="1"/>
  <c r="X33" i="30"/>
  <c r="AH15" i="12" s="1"/>
  <c r="X37" i="30"/>
  <c r="X41" i="30"/>
  <c r="AH33" i="12" s="1"/>
  <c r="X45" i="30"/>
  <c r="X49" i="30"/>
  <c r="AH68" i="12" s="1"/>
  <c r="X53" i="30"/>
  <c r="AH42" i="12" s="1"/>
  <c r="X57" i="30"/>
  <c r="X61" i="30"/>
  <c r="AH45" i="12" s="1"/>
  <c r="X65" i="30"/>
  <c r="AH31" i="12" s="1"/>
  <c r="X69" i="30"/>
  <c r="AH40" i="12" s="1"/>
  <c r="AA13" i="30"/>
  <c r="AK12" i="12" s="1"/>
  <c r="AA21" i="30"/>
  <c r="AK46" i="12" s="1"/>
  <c r="AA25" i="30"/>
  <c r="AK59" i="12" s="1"/>
  <c r="AA33" i="30"/>
  <c r="AK15" i="12" s="1"/>
  <c r="AA41" i="30"/>
  <c r="AK33" i="12" s="1"/>
  <c r="AA53" i="30"/>
  <c r="AK42" i="12" s="1"/>
  <c r="AA61" i="30"/>
  <c r="AK45" i="12" s="1"/>
  <c r="Z3" i="30"/>
  <c r="AJ48" i="12" s="1"/>
  <c r="Z15" i="30"/>
  <c r="AJ38" i="12" s="1"/>
  <c r="Z23" i="30"/>
  <c r="AJ64" i="12" s="1"/>
  <c r="Z31" i="30"/>
  <c r="AJ56" i="12" s="1"/>
  <c r="Z43" i="30"/>
  <c r="AJ20" i="12" s="1"/>
  <c r="Z55" i="30"/>
  <c r="AJ49" i="12" s="1"/>
  <c r="Z63" i="30"/>
  <c r="AJ13" i="12" s="1"/>
  <c r="AA3" i="30"/>
  <c r="AK48" i="12" s="1"/>
  <c r="AA7" i="30"/>
  <c r="AK61" i="12" s="1"/>
  <c r="AA11" i="30"/>
  <c r="AK62" i="12" s="1"/>
  <c r="AA15" i="30"/>
  <c r="AK38" i="12" s="1"/>
  <c r="AA19" i="30"/>
  <c r="AK39" i="12" s="1"/>
  <c r="AA23" i="30"/>
  <c r="AK64" i="12" s="1"/>
  <c r="AA27" i="30"/>
  <c r="AK24" i="12" s="1"/>
  <c r="AA31" i="30"/>
  <c r="AK56" i="12" s="1"/>
  <c r="AA35" i="30"/>
  <c r="AK32" i="12" s="1"/>
  <c r="AA39" i="30"/>
  <c r="AK29" i="12" s="1"/>
  <c r="AA43" i="30"/>
  <c r="AK20" i="12" s="1"/>
  <c r="AA47" i="30"/>
  <c r="AK57" i="12" s="1"/>
  <c r="AA51" i="30"/>
  <c r="AK23" i="12" s="1"/>
  <c r="AA55" i="30"/>
  <c r="AK49" i="12" s="1"/>
  <c r="AA59" i="30"/>
  <c r="AK16" i="12" s="1"/>
  <c r="AA63" i="30"/>
  <c r="AK13" i="12" s="1"/>
  <c r="AA67" i="30"/>
  <c r="AK4" i="12" s="1"/>
  <c r="AA71" i="30"/>
  <c r="AK3" i="12" s="1"/>
  <c r="Z5" i="30"/>
  <c r="AJ51" i="12" s="1"/>
  <c r="Z9" i="30"/>
  <c r="AJ66" i="12" s="1"/>
  <c r="Z13" i="30"/>
  <c r="AJ12" i="12" s="1"/>
  <c r="Z17" i="30"/>
  <c r="AJ6" i="12" s="1"/>
  <c r="Z21" i="30"/>
  <c r="AJ46" i="12" s="1"/>
  <c r="Z25" i="30"/>
  <c r="AJ59" i="12" s="1"/>
  <c r="Z29" i="30"/>
  <c r="AJ25" i="12" s="1"/>
  <c r="Z33" i="30"/>
  <c r="AJ15" i="12" s="1"/>
  <c r="Z37" i="30"/>
  <c r="Z41" i="30"/>
  <c r="AJ33" i="12" s="1"/>
  <c r="Z45" i="30"/>
  <c r="Z49" i="30"/>
  <c r="AJ68" i="12" s="1"/>
  <c r="Z53" i="30"/>
  <c r="AJ42" i="12" s="1"/>
  <c r="Z57" i="30"/>
  <c r="Z61" i="30"/>
  <c r="AJ45" i="12" s="1"/>
  <c r="Z65" i="30"/>
  <c r="AJ31" i="12" s="1"/>
  <c r="Z69" i="30"/>
  <c r="AJ40" i="12" s="1"/>
  <c r="Y3" i="30"/>
  <c r="AI48" i="12" s="1"/>
  <c r="Y7" i="30"/>
  <c r="AI61" i="12" s="1"/>
  <c r="Y11" i="30"/>
  <c r="AI62" i="12" s="1"/>
  <c r="Y15" i="30"/>
  <c r="AI38" i="12" s="1"/>
  <c r="Y19" i="30"/>
  <c r="AI39" i="12" s="1"/>
  <c r="Y23" i="30"/>
  <c r="AI64" i="12" s="1"/>
  <c r="Y27" i="30"/>
  <c r="AI24" i="12" s="1"/>
  <c r="Y31" i="30"/>
  <c r="AI56" i="12" s="1"/>
  <c r="Y35" i="30"/>
  <c r="AI32" i="12" s="1"/>
  <c r="Y39" i="30"/>
  <c r="AI29" i="12" s="1"/>
  <c r="Y43" i="30"/>
  <c r="AI20" i="12" s="1"/>
  <c r="Y47" i="30"/>
  <c r="AI57" i="12" s="1"/>
  <c r="Y51" i="30"/>
  <c r="AI23" i="12" s="1"/>
  <c r="Y55" i="30"/>
  <c r="AI49" i="12" s="1"/>
  <c r="Y59" i="30"/>
  <c r="AI16" i="12" s="1"/>
  <c r="Y63" i="30"/>
  <c r="AI13" i="12" s="1"/>
  <c r="Y67" i="30"/>
  <c r="AI4" i="12" s="1"/>
  <c r="Y71" i="30"/>
  <c r="AI3" i="12" s="1"/>
  <c r="X6" i="30"/>
  <c r="AH43" i="12" s="1"/>
  <c r="X10" i="30"/>
  <c r="AH17" i="12" s="1"/>
  <c r="X14" i="30"/>
  <c r="AH22" i="12" s="1"/>
  <c r="X18" i="30"/>
  <c r="AH47" i="12" s="1"/>
  <c r="X22" i="30"/>
  <c r="AH41" i="12" s="1"/>
  <c r="X26" i="30"/>
  <c r="AH2" i="12" s="1"/>
  <c r="X30" i="30"/>
  <c r="AH54" i="12" s="1"/>
  <c r="X34" i="30"/>
  <c r="AH67" i="12" s="1"/>
  <c r="X38" i="30"/>
  <c r="AH11" i="12" s="1"/>
  <c r="X42" i="30"/>
  <c r="AH28" i="12" s="1"/>
  <c r="X46" i="30"/>
  <c r="AH44" i="12" s="1"/>
  <c r="X50" i="30"/>
  <c r="AH37" i="12" s="1"/>
  <c r="X54" i="30"/>
  <c r="AH7" i="12" s="1"/>
  <c r="X58" i="30"/>
  <c r="AH60" i="12" s="1"/>
  <c r="X62" i="30"/>
  <c r="AH9" i="12" s="1"/>
  <c r="X66" i="30"/>
  <c r="AH18" i="12" s="1"/>
  <c r="X70" i="30"/>
  <c r="AH21" i="12" s="1"/>
  <c r="AA5" i="30"/>
  <c r="AK51" i="12" s="1"/>
  <c r="AA45" i="30"/>
  <c r="AA65" i="30"/>
  <c r="AK31" i="12" s="1"/>
  <c r="Z7" i="30"/>
  <c r="AJ61" i="12" s="1"/>
  <c r="Z19" i="30"/>
  <c r="AJ39" i="12" s="1"/>
  <c r="Z35" i="30"/>
  <c r="AJ32" i="12" s="1"/>
  <c r="Z47" i="30"/>
  <c r="AJ57" i="12" s="1"/>
  <c r="Z59" i="30"/>
  <c r="AJ16" i="12" s="1"/>
  <c r="Z71" i="30"/>
  <c r="AJ3" i="12" s="1"/>
  <c r="AA4" i="30"/>
  <c r="AK10" i="12" s="1"/>
  <c r="AA8" i="30"/>
  <c r="AK50" i="12" s="1"/>
  <c r="AA12" i="30"/>
  <c r="AK55" i="12" s="1"/>
  <c r="AA16" i="30"/>
  <c r="AK53" i="12" s="1"/>
  <c r="AA20" i="30"/>
  <c r="AK5" i="12" s="1"/>
  <c r="AA24" i="30"/>
  <c r="AK8" i="12" s="1"/>
  <c r="AA28" i="30"/>
  <c r="AK63" i="12" s="1"/>
  <c r="AA32" i="30"/>
  <c r="AK26" i="12" s="1"/>
  <c r="AA36" i="30"/>
  <c r="AK36" i="12" s="1"/>
  <c r="AA40" i="30"/>
  <c r="AK27" i="12" s="1"/>
  <c r="AA44" i="30"/>
  <c r="AK14" i="12" s="1"/>
  <c r="AA48" i="30"/>
  <c r="AK52" i="12" s="1"/>
  <c r="AA52" i="30"/>
  <c r="AK65" i="12" s="1"/>
  <c r="AA56" i="30"/>
  <c r="AK19" i="12" s="1"/>
  <c r="AA60" i="30"/>
  <c r="AK30" i="12" s="1"/>
  <c r="AA64" i="30"/>
  <c r="AK34" i="12" s="1"/>
  <c r="AA68" i="30"/>
  <c r="AK35" i="12" s="1"/>
  <c r="Z6" i="30"/>
  <c r="AJ43" i="12" s="1"/>
  <c r="Z10" i="30"/>
  <c r="AJ17" i="12" s="1"/>
  <c r="Z14" i="30"/>
  <c r="AJ22" i="12" s="1"/>
  <c r="Z18" i="30"/>
  <c r="AJ47" i="12" s="1"/>
  <c r="Z22" i="30"/>
  <c r="AJ41" i="12" s="1"/>
  <c r="Z26" i="30"/>
  <c r="AJ2" i="12" s="1"/>
  <c r="Z30" i="30"/>
  <c r="AJ54" i="12" s="1"/>
  <c r="Z34" i="30"/>
  <c r="AJ67" i="12" s="1"/>
  <c r="Z38" i="30"/>
  <c r="AJ11" i="12" s="1"/>
  <c r="Z42" i="30"/>
  <c r="AJ28" i="12" s="1"/>
  <c r="Z46" i="30"/>
  <c r="AJ44" i="12" s="1"/>
  <c r="Z50" i="30"/>
  <c r="AJ37" i="12" s="1"/>
  <c r="Z54" i="30"/>
  <c r="AJ7" i="12" s="1"/>
  <c r="Z58" i="30"/>
  <c r="AJ60" i="12" s="1"/>
  <c r="Z62" i="30"/>
  <c r="AJ9" i="12" s="1"/>
  <c r="Z66" i="30"/>
  <c r="AJ18" i="12" s="1"/>
  <c r="Z70" i="30"/>
  <c r="AJ21" i="12" s="1"/>
  <c r="Y4" i="30"/>
  <c r="AI10" i="12" s="1"/>
  <c r="Y8" i="30"/>
  <c r="AI50" i="12" s="1"/>
  <c r="Y12" i="30"/>
  <c r="AI55" i="12" s="1"/>
  <c r="Y16" i="30"/>
  <c r="AI53" i="12" s="1"/>
  <c r="Y20" i="30"/>
  <c r="AI5" i="12" s="1"/>
  <c r="Y24" i="30"/>
  <c r="AI8" i="12" s="1"/>
  <c r="Y28" i="30"/>
  <c r="AI63" i="12" s="1"/>
  <c r="Y32" i="30"/>
  <c r="AI26" i="12" s="1"/>
  <c r="Y36" i="30"/>
  <c r="AI36" i="12" s="1"/>
  <c r="Y40" i="30"/>
  <c r="AI27" i="12" s="1"/>
  <c r="Y44" i="30"/>
  <c r="AI14" i="12" s="1"/>
  <c r="Y48" i="30"/>
  <c r="AI52" i="12" s="1"/>
  <c r="Y52" i="30"/>
  <c r="AI65" i="12" s="1"/>
  <c r="Y56" i="30"/>
  <c r="AI19" i="12" s="1"/>
  <c r="Y60" i="30"/>
  <c r="AI30" i="12" s="1"/>
  <c r="Y64" i="30"/>
  <c r="AI34" i="12" s="1"/>
  <c r="Y68" i="30"/>
  <c r="AI35" i="12" s="1"/>
  <c r="AA2" i="30"/>
  <c r="AK58" i="12" s="1"/>
  <c r="X3" i="30"/>
  <c r="AH48" i="12" s="1"/>
  <c r="X7" i="30"/>
  <c r="AH61" i="12" s="1"/>
  <c r="X11" i="30"/>
  <c r="AH62" i="12" s="1"/>
  <c r="X15" i="30"/>
  <c r="AH38" i="12" s="1"/>
  <c r="X19" i="30"/>
  <c r="AH39" i="12" s="1"/>
  <c r="X23" i="30"/>
  <c r="AH64" i="12" s="1"/>
  <c r="X27" i="30"/>
  <c r="AH24" i="12" s="1"/>
  <c r="X31" i="30"/>
  <c r="AH56" i="12" s="1"/>
  <c r="X35" i="30"/>
  <c r="AH32" i="12" s="1"/>
  <c r="X39" i="30"/>
  <c r="AH29" i="12" s="1"/>
  <c r="X43" i="30"/>
  <c r="AH20" i="12" s="1"/>
  <c r="X47" i="30"/>
  <c r="AH57" i="12" s="1"/>
  <c r="X51" i="30"/>
  <c r="AH23" i="12" s="1"/>
  <c r="X55" i="30"/>
  <c r="AH49" i="12" s="1"/>
  <c r="X59" i="30"/>
  <c r="AH16" i="12" s="1"/>
  <c r="X63" i="30"/>
  <c r="AH13" i="12" s="1"/>
  <c r="X67" i="30"/>
  <c r="AH4" i="12" s="1"/>
  <c r="X71" i="30"/>
  <c r="AH3" i="12" s="1"/>
  <c r="AA9" i="30"/>
  <c r="AK66" i="12" s="1"/>
  <c r="AA17" i="30"/>
  <c r="AK6" i="12" s="1"/>
  <c r="AA29" i="30"/>
  <c r="AK25" i="12" s="1"/>
  <c r="AA37" i="30"/>
  <c r="AA49" i="30"/>
  <c r="AK68" i="12" s="1"/>
  <c r="AA57" i="30"/>
  <c r="AA69" i="30"/>
  <c r="AK40" i="12" s="1"/>
  <c r="Z11" i="30"/>
  <c r="AJ62" i="12" s="1"/>
  <c r="Z27" i="30"/>
  <c r="AJ24" i="12" s="1"/>
  <c r="Z39" i="30"/>
  <c r="AJ29" i="12" s="1"/>
  <c r="Z51" i="30"/>
  <c r="AJ23" i="12" s="1"/>
  <c r="Z67" i="30"/>
  <c r="AJ4" i="12" s="1"/>
  <c r="Y9" i="30"/>
  <c r="AI66" i="12" s="1"/>
  <c r="Y5" i="30"/>
  <c r="AI51" i="12" s="1"/>
  <c r="Y25" i="30"/>
  <c r="AI59" i="12" s="1"/>
  <c r="Y41" i="30"/>
  <c r="AI33" i="12" s="1"/>
  <c r="Y57" i="30"/>
  <c r="Z2" i="30"/>
  <c r="AJ58" i="12" s="1"/>
  <c r="X16" i="30"/>
  <c r="AH53" i="12" s="1"/>
  <c r="X32" i="30"/>
  <c r="AH26" i="12" s="1"/>
  <c r="X48" i="30"/>
  <c r="AH52" i="12" s="1"/>
  <c r="X64" i="30"/>
  <c r="AH34" i="12" s="1"/>
  <c r="X20" i="30"/>
  <c r="AH5" i="12" s="1"/>
  <c r="Y17" i="30"/>
  <c r="AI6" i="12" s="1"/>
  <c r="Y65" i="30"/>
  <c r="AI31" i="12" s="1"/>
  <c r="X24" i="30"/>
  <c r="AH8" i="12" s="1"/>
  <c r="X40" i="30"/>
  <c r="AH27" i="12" s="1"/>
  <c r="X2" i="30"/>
  <c r="AH58" i="12" s="1"/>
  <c r="Y37" i="30"/>
  <c r="Y69" i="30"/>
  <c r="AI40" i="12" s="1"/>
  <c r="X28" i="30"/>
  <c r="AH63" i="12" s="1"/>
  <c r="X60" i="30"/>
  <c r="AH30" i="12" s="1"/>
  <c r="Y13" i="30"/>
  <c r="AI12" i="12" s="1"/>
  <c r="Y29" i="30"/>
  <c r="AI25" i="12" s="1"/>
  <c r="Y45" i="30"/>
  <c r="Y61" i="30"/>
  <c r="AI45" i="12" s="1"/>
  <c r="X4" i="30"/>
  <c r="AH10" i="12" s="1"/>
  <c r="X36" i="30"/>
  <c r="AH36" i="12" s="1"/>
  <c r="X52" i="30"/>
  <c r="AH65" i="12" s="1"/>
  <c r="X68" i="30"/>
  <c r="AH35" i="12" s="1"/>
  <c r="Y33" i="30"/>
  <c r="AI15" i="12" s="1"/>
  <c r="Y49" i="30"/>
  <c r="AI68" i="12" s="1"/>
  <c r="X8" i="30"/>
  <c r="AH50" i="12" s="1"/>
  <c r="X56" i="30"/>
  <c r="AH19" i="12" s="1"/>
  <c r="Y21" i="30"/>
  <c r="AI46" i="12" s="1"/>
  <c r="Y53" i="30"/>
  <c r="AI42" i="12" s="1"/>
  <c r="X12" i="30"/>
  <c r="AH55" i="12" s="1"/>
  <c r="X44" i="30"/>
  <c r="AH14" i="12" s="1"/>
  <c r="AA2" i="12" l="1"/>
  <c r="AC2" i="12"/>
  <c r="AB2" i="12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29" i="3"/>
  <c r="AJ16" i="3"/>
  <c r="AG71" i="3" l="1"/>
  <c r="AG39" i="3"/>
  <c r="AG79" i="3"/>
  <c r="AG15" i="3"/>
  <c r="AG63" i="3"/>
  <c r="AG31" i="3"/>
  <c r="AG47" i="3"/>
  <c r="AG55" i="3"/>
  <c r="AG23" i="3"/>
  <c r="AJ72" i="3"/>
  <c r="AJ56" i="3"/>
  <c r="AJ40" i="3"/>
  <c r="AJ24" i="3"/>
  <c r="AG78" i="3"/>
  <c r="AG70" i="3"/>
  <c r="AG62" i="3"/>
  <c r="AG54" i="3"/>
  <c r="AG46" i="3"/>
  <c r="AG38" i="3"/>
  <c r="AG30" i="3"/>
  <c r="AG22" i="3"/>
  <c r="AG14" i="3"/>
  <c r="AI76" i="3"/>
  <c r="AJ68" i="3"/>
  <c r="AJ52" i="3"/>
  <c r="AJ36" i="3"/>
  <c r="AJ20" i="3"/>
  <c r="AG8" i="3"/>
  <c r="AG75" i="3"/>
  <c r="AG67" i="3"/>
  <c r="AG59" i="3"/>
  <c r="AG51" i="3"/>
  <c r="AG43" i="3"/>
  <c r="AG35" i="3"/>
  <c r="AG27" i="3"/>
  <c r="AG19" i="3"/>
  <c r="AG11" i="3"/>
  <c r="AJ80" i="3"/>
  <c r="AJ64" i="3"/>
  <c r="AJ48" i="3"/>
  <c r="AJ32" i="3"/>
  <c r="AJ9" i="3"/>
  <c r="AJ13" i="3"/>
  <c r="AJ17" i="3"/>
  <c r="AJ21" i="3"/>
  <c r="AJ25" i="3"/>
  <c r="AJ29" i="3"/>
  <c r="AJ33" i="3"/>
  <c r="AJ37" i="3"/>
  <c r="AJ41" i="3"/>
  <c r="AJ45" i="3"/>
  <c r="AJ49" i="3"/>
  <c r="AJ53" i="3"/>
  <c r="AJ57" i="3"/>
  <c r="AJ61" i="3"/>
  <c r="AJ65" i="3"/>
  <c r="AJ69" i="3"/>
  <c r="AJ73" i="3"/>
  <c r="AJ77" i="3"/>
  <c r="AJ81" i="3"/>
  <c r="AI10" i="3"/>
  <c r="AI26" i="3"/>
  <c r="AH15" i="3"/>
  <c r="AH79" i="3"/>
  <c r="AG12" i="3"/>
  <c r="AG16" i="3"/>
  <c r="AG20" i="3"/>
  <c r="AG24" i="3"/>
  <c r="AG28" i="3"/>
  <c r="AG32" i="3"/>
  <c r="AG36" i="3"/>
  <c r="AG40" i="3"/>
  <c r="AG44" i="3"/>
  <c r="AG48" i="3"/>
  <c r="AG52" i="3"/>
  <c r="AG56" i="3"/>
  <c r="AG60" i="3"/>
  <c r="AG64" i="3"/>
  <c r="AG68" i="3"/>
  <c r="AG72" i="3"/>
  <c r="AG76" i="3"/>
  <c r="AG80" i="3"/>
  <c r="AJ15" i="3"/>
  <c r="AJ19" i="3"/>
  <c r="AJ27" i="3"/>
  <c r="AJ35" i="3"/>
  <c r="AJ43" i="3"/>
  <c r="AJ51" i="3"/>
  <c r="AJ59" i="3"/>
  <c r="AJ67" i="3"/>
  <c r="AJ75" i="3"/>
  <c r="AJ8" i="3"/>
  <c r="AJ10" i="3"/>
  <c r="AJ14" i="3"/>
  <c r="AJ18" i="3"/>
  <c r="AJ22" i="3"/>
  <c r="AJ26" i="3"/>
  <c r="AJ30" i="3"/>
  <c r="AJ34" i="3"/>
  <c r="AJ38" i="3"/>
  <c r="AJ42" i="3"/>
  <c r="AJ46" i="3"/>
  <c r="AJ50" i="3"/>
  <c r="AJ54" i="3"/>
  <c r="AJ58" i="3"/>
  <c r="AJ62" i="3"/>
  <c r="AJ66" i="3"/>
  <c r="AJ70" i="3"/>
  <c r="AJ74" i="3"/>
  <c r="AJ78" i="3"/>
  <c r="AJ82" i="3"/>
  <c r="AI23" i="3"/>
  <c r="AI39" i="3"/>
  <c r="AI71" i="3"/>
  <c r="AH12" i="3"/>
  <c r="AH60" i="3"/>
  <c r="AH76" i="3"/>
  <c r="AG9" i="3"/>
  <c r="AG13" i="3"/>
  <c r="AG17" i="3"/>
  <c r="AG21" i="3"/>
  <c r="AG25" i="3"/>
  <c r="AG29" i="3"/>
  <c r="AG33" i="3"/>
  <c r="AG37" i="3"/>
  <c r="AG41" i="3"/>
  <c r="AG45" i="3"/>
  <c r="AG49" i="3"/>
  <c r="AG53" i="3"/>
  <c r="AG57" i="3"/>
  <c r="AG61" i="3"/>
  <c r="AG65" i="3"/>
  <c r="AG69" i="3"/>
  <c r="AG73" i="3"/>
  <c r="AG77" i="3"/>
  <c r="AG81" i="3"/>
  <c r="AJ11" i="3"/>
  <c r="AJ23" i="3"/>
  <c r="AJ31" i="3"/>
  <c r="AJ39" i="3"/>
  <c r="AJ47" i="3"/>
  <c r="AJ55" i="3"/>
  <c r="AJ63" i="3"/>
  <c r="AJ71" i="3"/>
  <c r="AJ79" i="3"/>
  <c r="AG82" i="3"/>
  <c r="AG74" i="3"/>
  <c r="AG66" i="3"/>
  <c r="AG58" i="3"/>
  <c r="AG50" i="3"/>
  <c r="AG42" i="3"/>
  <c r="AG34" i="3"/>
  <c r="AG26" i="3"/>
  <c r="AG18" i="3"/>
  <c r="AG10" i="3"/>
  <c r="AH21" i="3"/>
  <c r="AJ76" i="3"/>
  <c r="AJ60" i="3"/>
  <c r="AJ44" i="3"/>
  <c r="AJ28" i="3"/>
  <c r="AJ12" i="3"/>
  <c r="X9" i="3"/>
  <c r="AI9" i="3" s="1"/>
  <c r="X10" i="3"/>
  <c r="X11" i="3"/>
  <c r="AI11" i="3" s="1"/>
  <c r="X12" i="3"/>
  <c r="AI12" i="3" s="1"/>
  <c r="X13" i="3"/>
  <c r="AI13" i="3" s="1"/>
  <c r="X14" i="3"/>
  <c r="AI14" i="3" s="1"/>
  <c r="X15" i="3"/>
  <c r="AI15" i="3" s="1"/>
  <c r="X16" i="3"/>
  <c r="AI16" i="3" s="1"/>
  <c r="X17" i="3"/>
  <c r="AI17" i="3" s="1"/>
  <c r="X18" i="3"/>
  <c r="AI18" i="3" s="1"/>
  <c r="X19" i="3"/>
  <c r="AI19" i="3" s="1"/>
  <c r="X20" i="3"/>
  <c r="AI20" i="3" s="1"/>
  <c r="X21" i="3"/>
  <c r="AI21" i="3" s="1"/>
  <c r="X22" i="3"/>
  <c r="AI22" i="3" s="1"/>
  <c r="X23" i="3"/>
  <c r="X24" i="3"/>
  <c r="AI24" i="3" s="1"/>
  <c r="X25" i="3"/>
  <c r="AI25" i="3" s="1"/>
  <c r="X26" i="3"/>
  <c r="X27" i="3"/>
  <c r="AI27" i="3" s="1"/>
  <c r="X28" i="3"/>
  <c r="AI28" i="3" s="1"/>
  <c r="X29" i="3"/>
  <c r="AI29" i="3" s="1"/>
  <c r="X30" i="3"/>
  <c r="AI30" i="3" s="1"/>
  <c r="X31" i="3"/>
  <c r="AI31" i="3" s="1"/>
  <c r="X32" i="3"/>
  <c r="AI32" i="3" s="1"/>
  <c r="X33" i="3"/>
  <c r="AI33" i="3" s="1"/>
  <c r="X34" i="3"/>
  <c r="AI34" i="3" s="1"/>
  <c r="X35" i="3"/>
  <c r="AI35" i="3" s="1"/>
  <c r="X36" i="3"/>
  <c r="AI36" i="3" s="1"/>
  <c r="X37" i="3"/>
  <c r="AI37" i="3" s="1"/>
  <c r="X38" i="3"/>
  <c r="AI38" i="3" s="1"/>
  <c r="X39" i="3"/>
  <c r="X40" i="3"/>
  <c r="AI40" i="3" s="1"/>
  <c r="X41" i="3"/>
  <c r="AI41" i="3" s="1"/>
  <c r="X42" i="3"/>
  <c r="AI42" i="3" s="1"/>
  <c r="X43" i="3"/>
  <c r="AI43" i="3" s="1"/>
  <c r="X44" i="3"/>
  <c r="AI44" i="3" s="1"/>
  <c r="X45" i="3"/>
  <c r="AI45" i="3" s="1"/>
  <c r="X46" i="3"/>
  <c r="AI46" i="3" s="1"/>
  <c r="X47" i="3"/>
  <c r="AI47" i="3" s="1"/>
  <c r="X48" i="3"/>
  <c r="AI48" i="3" s="1"/>
  <c r="X49" i="3"/>
  <c r="AI49" i="3" s="1"/>
  <c r="X50" i="3"/>
  <c r="AI50" i="3" s="1"/>
  <c r="X51" i="3"/>
  <c r="AI51" i="3" s="1"/>
  <c r="X52" i="3"/>
  <c r="AI52" i="3" s="1"/>
  <c r="X53" i="3"/>
  <c r="AI53" i="3" s="1"/>
  <c r="X54" i="3"/>
  <c r="AI54" i="3" s="1"/>
  <c r="X55" i="3"/>
  <c r="AI55" i="3" s="1"/>
  <c r="X56" i="3"/>
  <c r="AI56" i="3" s="1"/>
  <c r="X57" i="3"/>
  <c r="AI57" i="3" s="1"/>
  <c r="X58" i="3"/>
  <c r="AI58" i="3" s="1"/>
  <c r="X59" i="3"/>
  <c r="AI59" i="3" s="1"/>
  <c r="X60" i="3"/>
  <c r="AI60" i="3" s="1"/>
  <c r="X61" i="3"/>
  <c r="AI61" i="3" s="1"/>
  <c r="X62" i="3"/>
  <c r="AI62" i="3" s="1"/>
  <c r="X63" i="3"/>
  <c r="AI63" i="3" s="1"/>
  <c r="X64" i="3"/>
  <c r="AI64" i="3" s="1"/>
  <c r="X65" i="3"/>
  <c r="AI65" i="3" s="1"/>
  <c r="X66" i="3"/>
  <c r="AI66" i="3" s="1"/>
  <c r="X67" i="3"/>
  <c r="AI67" i="3" s="1"/>
  <c r="X68" i="3"/>
  <c r="AI68" i="3" s="1"/>
  <c r="X69" i="3"/>
  <c r="AI69" i="3" s="1"/>
  <c r="X70" i="3"/>
  <c r="AI70" i="3" s="1"/>
  <c r="X71" i="3"/>
  <c r="X72" i="3"/>
  <c r="AI72" i="3" s="1"/>
  <c r="X73" i="3"/>
  <c r="AI73" i="3" s="1"/>
  <c r="X74" i="3"/>
  <c r="AI74" i="3" s="1"/>
  <c r="X75" i="3"/>
  <c r="AI75" i="3" s="1"/>
  <c r="X76" i="3"/>
  <c r="X77" i="3"/>
  <c r="AI77" i="3" s="1"/>
  <c r="X78" i="3"/>
  <c r="AI78" i="3" s="1"/>
  <c r="X79" i="3"/>
  <c r="AI79" i="3" s="1"/>
  <c r="X80" i="3"/>
  <c r="AI80" i="3" s="1"/>
  <c r="X81" i="3"/>
  <c r="AI81" i="3" s="1"/>
  <c r="X82" i="3"/>
  <c r="AI82" i="3" s="1"/>
  <c r="X8" i="3"/>
  <c r="AI8" i="3" s="1"/>
  <c r="W9" i="3"/>
  <c r="AH9" i="3" s="1"/>
  <c r="W10" i="3"/>
  <c r="AH10" i="3" s="1"/>
  <c r="W11" i="3"/>
  <c r="AH11" i="3" s="1"/>
  <c r="W12" i="3"/>
  <c r="W13" i="3"/>
  <c r="AH13" i="3" s="1"/>
  <c r="W14" i="3"/>
  <c r="AH14" i="3" s="1"/>
  <c r="W15" i="3"/>
  <c r="W16" i="3"/>
  <c r="AH16" i="3" s="1"/>
  <c r="W17" i="3"/>
  <c r="AH17" i="3" s="1"/>
  <c r="W18" i="3"/>
  <c r="AH18" i="3" s="1"/>
  <c r="W19" i="3"/>
  <c r="AH19" i="3" s="1"/>
  <c r="W20" i="3"/>
  <c r="AH20" i="3" s="1"/>
  <c r="W21" i="3"/>
  <c r="W22" i="3"/>
  <c r="AH22" i="3" s="1"/>
  <c r="W23" i="3"/>
  <c r="AH23" i="3" s="1"/>
  <c r="W24" i="3"/>
  <c r="AH24" i="3" s="1"/>
  <c r="W25" i="3"/>
  <c r="AH25" i="3" s="1"/>
  <c r="W26" i="3"/>
  <c r="AH26" i="3" s="1"/>
  <c r="W27" i="3"/>
  <c r="AH27" i="3" s="1"/>
  <c r="W28" i="3"/>
  <c r="AH28" i="3" s="1"/>
  <c r="W29" i="3"/>
  <c r="AH29" i="3" s="1"/>
  <c r="W30" i="3"/>
  <c r="AH30" i="3" s="1"/>
  <c r="W31" i="3"/>
  <c r="AH31" i="3" s="1"/>
  <c r="W32" i="3"/>
  <c r="AH32" i="3" s="1"/>
  <c r="W33" i="3"/>
  <c r="AH33" i="3" s="1"/>
  <c r="W34" i="3"/>
  <c r="AH34" i="3" s="1"/>
  <c r="W35" i="3"/>
  <c r="AH35" i="3" s="1"/>
  <c r="W36" i="3"/>
  <c r="AH36" i="3" s="1"/>
  <c r="W37" i="3"/>
  <c r="AH37" i="3" s="1"/>
  <c r="W38" i="3"/>
  <c r="AH38" i="3" s="1"/>
  <c r="W39" i="3"/>
  <c r="AH39" i="3" s="1"/>
  <c r="W40" i="3"/>
  <c r="AH40" i="3" s="1"/>
  <c r="W41" i="3"/>
  <c r="AH41" i="3" s="1"/>
  <c r="W42" i="3"/>
  <c r="AH42" i="3" s="1"/>
  <c r="W43" i="3"/>
  <c r="AH43" i="3" s="1"/>
  <c r="W44" i="3"/>
  <c r="AH44" i="3" s="1"/>
  <c r="W45" i="3"/>
  <c r="AH45" i="3" s="1"/>
  <c r="W46" i="3"/>
  <c r="AH46" i="3" s="1"/>
  <c r="W47" i="3"/>
  <c r="AH47" i="3" s="1"/>
  <c r="W48" i="3"/>
  <c r="AH48" i="3" s="1"/>
  <c r="W49" i="3"/>
  <c r="AH49" i="3" s="1"/>
  <c r="W50" i="3"/>
  <c r="AH50" i="3" s="1"/>
  <c r="W51" i="3"/>
  <c r="AH51" i="3" s="1"/>
  <c r="W52" i="3"/>
  <c r="AH52" i="3" s="1"/>
  <c r="W53" i="3"/>
  <c r="AH53" i="3" s="1"/>
  <c r="W54" i="3"/>
  <c r="AH54" i="3" s="1"/>
  <c r="W55" i="3"/>
  <c r="AH55" i="3" s="1"/>
  <c r="W56" i="3"/>
  <c r="AH56" i="3" s="1"/>
  <c r="W57" i="3"/>
  <c r="AH57" i="3" s="1"/>
  <c r="W58" i="3"/>
  <c r="AH58" i="3" s="1"/>
  <c r="W59" i="3"/>
  <c r="AH59" i="3" s="1"/>
  <c r="W60" i="3"/>
  <c r="W61" i="3"/>
  <c r="AH61" i="3" s="1"/>
  <c r="W62" i="3"/>
  <c r="AH62" i="3" s="1"/>
  <c r="W63" i="3"/>
  <c r="AH63" i="3" s="1"/>
  <c r="W64" i="3"/>
  <c r="AH64" i="3" s="1"/>
  <c r="W65" i="3"/>
  <c r="AH65" i="3" s="1"/>
  <c r="W66" i="3"/>
  <c r="AH66" i="3" s="1"/>
  <c r="W67" i="3"/>
  <c r="AH67" i="3" s="1"/>
  <c r="W68" i="3"/>
  <c r="AH68" i="3" s="1"/>
  <c r="W69" i="3"/>
  <c r="AH69" i="3" s="1"/>
  <c r="W70" i="3"/>
  <c r="AH70" i="3" s="1"/>
  <c r="W71" i="3"/>
  <c r="AH71" i="3" s="1"/>
  <c r="W72" i="3"/>
  <c r="AH72" i="3" s="1"/>
  <c r="W73" i="3"/>
  <c r="AH73" i="3" s="1"/>
  <c r="W74" i="3"/>
  <c r="AH74" i="3" s="1"/>
  <c r="W75" i="3"/>
  <c r="AH75" i="3" s="1"/>
  <c r="W76" i="3"/>
  <c r="W77" i="3"/>
  <c r="AH77" i="3" s="1"/>
  <c r="W78" i="3"/>
  <c r="AH78" i="3" s="1"/>
  <c r="W79" i="3"/>
  <c r="W80" i="3"/>
  <c r="AH80" i="3" s="1"/>
  <c r="W81" i="3"/>
  <c r="AH81" i="3" s="1"/>
  <c r="W82" i="3"/>
  <c r="AH82" i="3" s="1"/>
  <c r="W8" i="3"/>
  <c r="AH8" i="3" s="1"/>
  <c r="H5" i="27" l="1"/>
  <c r="G5" i="27"/>
  <c r="F5" i="27"/>
  <c r="E5" i="27"/>
  <c r="H4" i="27"/>
  <c r="G4" i="27"/>
  <c r="F4" i="27"/>
  <c r="E4" i="27"/>
  <c r="H3" i="27"/>
  <c r="G3" i="27"/>
  <c r="F3" i="27"/>
  <c r="E3" i="27"/>
  <c r="H2" i="27"/>
  <c r="P82" i="27" s="1"/>
  <c r="G2" i="27"/>
  <c r="F2" i="27"/>
  <c r="E2" i="27"/>
  <c r="M33" i="27" s="1"/>
  <c r="H1" i="27"/>
  <c r="G1" i="27"/>
  <c r="F1" i="27"/>
  <c r="E1" i="27"/>
  <c r="M15" i="27" l="1"/>
  <c r="M30" i="27"/>
  <c r="M10" i="27"/>
  <c r="M22" i="27"/>
  <c r="M13" i="27"/>
  <c r="M26" i="27"/>
  <c r="M18" i="27"/>
  <c r="M34" i="27"/>
  <c r="M9" i="27"/>
  <c r="M21" i="27"/>
  <c r="M29" i="27"/>
  <c r="M37" i="27"/>
  <c r="N83" i="27"/>
  <c r="M11" i="27"/>
  <c r="M14" i="27"/>
  <c r="M17" i="27"/>
  <c r="M25" i="27"/>
  <c r="O78" i="27"/>
  <c r="O72" i="27"/>
  <c r="O70" i="27"/>
  <c r="O66" i="27"/>
  <c r="O62" i="27"/>
  <c r="O82" i="27"/>
  <c r="O80" i="27"/>
  <c r="O76" i="27"/>
  <c r="O74" i="27"/>
  <c r="O68" i="27"/>
  <c r="O64" i="27"/>
  <c r="O83" i="27"/>
  <c r="O81" i="27"/>
  <c r="O79" i="27"/>
  <c r="O77" i="27"/>
  <c r="O73" i="27"/>
  <c r="O69" i="27"/>
  <c r="O65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5" i="27"/>
  <c r="M79" i="27"/>
  <c r="M71" i="27"/>
  <c r="M67" i="27"/>
  <c r="M63" i="27"/>
  <c r="M83" i="27"/>
  <c r="M81" i="27"/>
  <c r="M77" i="27"/>
  <c r="M75" i="27"/>
  <c r="M73" i="27"/>
  <c r="M69" i="27"/>
  <c r="M65" i="27"/>
  <c r="M82" i="27"/>
  <c r="M80" i="27"/>
  <c r="M78" i="27"/>
  <c r="M76" i="27"/>
  <c r="M72" i="27"/>
  <c r="M68" i="27"/>
  <c r="M64" i="27"/>
  <c r="M74" i="27"/>
  <c r="M70" i="27"/>
  <c r="M66" i="27"/>
  <c r="M62" i="27"/>
  <c r="M61" i="27"/>
  <c r="M60" i="27"/>
  <c r="M59" i="27"/>
  <c r="M58" i="27"/>
  <c r="M57" i="27"/>
  <c r="M56" i="27"/>
  <c r="M55" i="27"/>
  <c r="M54" i="27"/>
  <c r="M53" i="27"/>
  <c r="M52" i="27"/>
  <c r="M51" i="27"/>
  <c r="M50" i="27"/>
  <c r="M49" i="27"/>
  <c r="M48" i="27"/>
  <c r="M47" i="27"/>
  <c r="M46" i="27"/>
  <c r="M45" i="27"/>
  <c r="M44" i="27"/>
  <c r="M43" i="27"/>
  <c r="M42" i="27"/>
  <c r="M41" i="27"/>
  <c r="M40" i="27"/>
  <c r="M39" i="27"/>
  <c r="M38" i="27"/>
  <c r="M8" i="27"/>
  <c r="M12" i="27"/>
  <c r="M16" i="27"/>
  <c r="M20" i="27"/>
  <c r="M24" i="27"/>
  <c r="M28" i="27"/>
  <c r="M32" i="27"/>
  <c r="M36" i="27"/>
  <c r="O63" i="27"/>
  <c r="O71" i="27"/>
  <c r="M19" i="27"/>
  <c r="M23" i="27"/>
  <c r="M27" i="27"/>
  <c r="M31" i="27"/>
  <c r="M35" i="27"/>
  <c r="O67" i="27"/>
  <c r="N8" i="27"/>
  <c r="P9" i="27"/>
  <c r="N10" i="27"/>
  <c r="P11" i="27"/>
  <c r="N12" i="27"/>
  <c r="P13" i="27"/>
  <c r="N14" i="27"/>
  <c r="P15" i="27"/>
  <c r="N16" i="27"/>
  <c r="P17" i="27"/>
  <c r="N18" i="27"/>
  <c r="P19" i="27"/>
  <c r="N20" i="27"/>
  <c r="P21" i="27"/>
  <c r="N22" i="27"/>
  <c r="P23" i="27"/>
  <c r="N24" i="27"/>
  <c r="P25" i="27"/>
  <c r="N26" i="27"/>
  <c r="P27" i="27"/>
  <c r="N28" i="27"/>
  <c r="P29" i="27"/>
  <c r="N30" i="27"/>
  <c r="P31" i="27"/>
  <c r="N32" i="27"/>
  <c r="P33" i="27"/>
  <c r="N34" i="27"/>
  <c r="P35" i="27"/>
  <c r="N36" i="27"/>
  <c r="P37" i="27"/>
  <c r="N38" i="27"/>
  <c r="P39" i="27"/>
  <c r="N40" i="27"/>
  <c r="P41" i="27"/>
  <c r="N42" i="27"/>
  <c r="P43" i="27"/>
  <c r="N44" i="27"/>
  <c r="P45" i="27"/>
  <c r="N46" i="27"/>
  <c r="P47" i="27"/>
  <c r="N48" i="27"/>
  <c r="P49" i="27"/>
  <c r="N50" i="27"/>
  <c r="P51" i="27"/>
  <c r="N52" i="27"/>
  <c r="P53" i="27"/>
  <c r="N54" i="27"/>
  <c r="P55" i="27"/>
  <c r="N56" i="27"/>
  <c r="P57" i="27"/>
  <c r="N58" i="27"/>
  <c r="P59" i="27"/>
  <c r="N60" i="27"/>
  <c r="P61" i="27"/>
  <c r="N62" i="27"/>
  <c r="P63" i="27"/>
  <c r="N64" i="27"/>
  <c r="P65" i="27"/>
  <c r="N66" i="27"/>
  <c r="P67" i="27"/>
  <c r="N68" i="27"/>
  <c r="P69" i="27"/>
  <c r="N70" i="27"/>
  <c r="P71" i="27"/>
  <c r="N72" i="27"/>
  <c r="P73" i="27"/>
  <c r="N74" i="27"/>
  <c r="P75" i="27"/>
  <c r="N76" i="27"/>
  <c r="P77" i="27"/>
  <c r="N78" i="27"/>
  <c r="P79" i="27"/>
  <c r="N80" i="27"/>
  <c r="P81" i="27"/>
  <c r="N82" i="27"/>
  <c r="P83" i="27"/>
  <c r="P8" i="27"/>
  <c r="N9" i="27"/>
  <c r="P10" i="27"/>
  <c r="N11" i="27"/>
  <c r="P12" i="27"/>
  <c r="N13" i="27"/>
  <c r="P14" i="27"/>
  <c r="N15" i="27"/>
  <c r="P16" i="27"/>
  <c r="N17" i="27"/>
  <c r="P18" i="27"/>
  <c r="N19" i="27"/>
  <c r="P20" i="27"/>
  <c r="N21" i="27"/>
  <c r="P22" i="27"/>
  <c r="N23" i="27"/>
  <c r="P24" i="27"/>
  <c r="N25" i="27"/>
  <c r="P26" i="27"/>
  <c r="N27" i="27"/>
  <c r="P28" i="27"/>
  <c r="N29" i="27"/>
  <c r="P30" i="27"/>
  <c r="N31" i="27"/>
  <c r="P32" i="27"/>
  <c r="N33" i="27"/>
  <c r="P34" i="27"/>
  <c r="N35" i="27"/>
  <c r="P36" i="27"/>
  <c r="N37" i="27"/>
  <c r="P38" i="27"/>
  <c r="N39" i="27"/>
  <c r="P40" i="27"/>
  <c r="N41" i="27"/>
  <c r="P42" i="27"/>
  <c r="N43" i="27"/>
  <c r="P44" i="27"/>
  <c r="N45" i="27"/>
  <c r="P46" i="27"/>
  <c r="N47" i="27"/>
  <c r="P48" i="27"/>
  <c r="N49" i="27"/>
  <c r="P50" i="27"/>
  <c r="N51" i="27"/>
  <c r="P52" i="27"/>
  <c r="N53" i="27"/>
  <c r="P54" i="27"/>
  <c r="N55" i="27"/>
  <c r="P56" i="27"/>
  <c r="N57" i="27"/>
  <c r="P58" i="27"/>
  <c r="N59" i="27"/>
  <c r="P60" i="27"/>
  <c r="N61" i="27"/>
  <c r="P62" i="27"/>
  <c r="N63" i="27"/>
  <c r="P64" i="27"/>
  <c r="N65" i="27"/>
  <c r="P66" i="27"/>
  <c r="N67" i="27"/>
  <c r="P68" i="27"/>
  <c r="N69" i="27"/>
  <c r="P70" i="27"/>
  <c r="N71" i="27"/>
  <c r="P72" i="27"/>
  <c r="N73" i="27"/>
  <c r="P74" i="27"/>
  <c r="N75" i="27"/>
  <c r="P76" i="27"/>
  <c r="N77" i="27"/>
  <c r="P78" i="27"/>
  <c r="N79" i="27"/>
  <c r="P80" i="27"/>
  <c r="N81" i="27"/>
  <c r="P9" i="3" l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" i="3"/>
  <c r="B29" i="25" l="1"/>
  <c r="G29" i="25" l="1"/>
  <c r="F29" i="25"/>
  <c r="H29" i="25"/>
  <c r="E29" i="25"/>
  <c r="J29" i="25"/>
  <c r="D29" i="25"/>
  <c r="I29" i="25"/>
  <c r="C29" i="25"/>
  <c r="B30" i="23"/>
  <c r="F30" i="23" l="1"/>
  <c r="E30" i="23"/>
  <c r="L30" i="23"/>
  <c r="H30" i="23"/>
  <c r="K30" i="23"/>
  <c r="G30" i="23"/>
  <c r="I30" i="23"/>
  <c r="J30" i="23"/>
  <c r="C30" i="23"/>
  <c r="D30" i="23"/>
  <c r="B30" i="21"/>
  <c r="D30" i="21" s="1"/>
  <c r="J30" i="21" l="1"/>
  <c r="F30" i="21"/>
  <c r="I30" i="21"/>
  <c r="E30" i="21"/>
  <c r="C30" i="21"/>
  <c r="H30" i="21"/>
  <c r="G30" i="21"/>
  <c r="H5" i="3"/>
  <c r="H4" i="3"/>
  <c r="H3" i="3"/>
  <c r="H2" i="3"/>
  <c r="H1" i="3"/>
  <c r="G5" i="3"/>
  <c r="G4" i="3"/>
  <c r="G3" i="3"/>
  <c r="G2" i="3"/>
  <c r="G1" i="3"/>
  <c r="F5" i="3"/>
  <c r="F4" i="3"/>
  <c r="F3" i="3"/>
  <c r="F2" i="3"/>
  <c r="F1" i="3"/>
  <c r="E5" i="3"/>
  <c r="E4" i="3"/>
  <c r="E3" i="3"/>
  <c r="E2" i="3"/>
  <c r="E1" i="3"/>
  <c r="T80" i="3" l="1"/>
  <c r="T76" i="3"/>
  <c r="T72" i="3"/>
  <c r="T68" i="3"/>
  <c r="T64" i="3"/>
  <c r="T60" i="3"/>
  <c r="T56" i="3"/>
  <c r="T52" i="3"/>
  <c r="T48" i="3"/>
  <c r="T44" i="3"/>
  <c r="T40" i="3"/>
  <c r="T36" i="3"/>
  <c r="T32" i="3"/>
  <c r="T28" i="3"/>
  <c r="T24" i="3"/>
  <c r="T20" i="3"/>
  <c r="T16" i="3"/>
  <c r="T12" i="3"/>
  <c r="T8" i="3"/>
  <c r="T61" i="3"/>
  <c r="T49" i="3"/>
  <c r="T41" i="3"/>
  <c r="T33" i="3"/>
  <c r="T25" i="3"/>
  <c r="T13" i="3"/>
  <c r="T79" i="3"/>
  <c r="T75" i="3"/>
  <c r="T71" i="3"/>
  <c r="T67" i="3"/>
  <c r="T63" i="3"/>
  <c r="T59" i="3"/>
  <c r="T55" i="3"/>
  <c r="T51" i="3"/>
  <c r="T47" i="3"/>
  <c r="T43" i="3"/>
  <c r="T39" i="3"/>
  <c r="T35" i="3"/>
  <c r="T31" i="3"/>
  <c r="T27" i="3"/>
  <c r="T23" i="3"/>
  <c r="T19" i="3"/>
  <c r="T15" i="3"/>
  <c r="T11" i="3"/>
  <c r="T82" i="3"/>
  <c r="T78" i="3"/>
  <c r="T74" i="3"/>
  <c r="T70" i="3"/>
  <c r="T66" i="3"/>
  <c r="T62" i="3"/>
  <c r="T58" i="3"/>
  <c r="T54" i="3"/>
  <c r="T50" i="3"/>
  <c r="T46" i="3"/>
  <c r="T42" i="3"/>
  <c r="T38" i="3"/>
  <c r="T34" i="3"/>
  <c r="T30" i="3"/>
  <c r="T26" i="3"/>
  <c r="T22" i="3"/>
  <c r="T18" i="3"/>
  <c r="T14" i="3"/>
  <c r="T10" i="3"/>
  <c r="T81" i="3"/>
  <c r="T77" i="3"/>
  <c r="T73" i="3"/>
  <c r="T69" i="3"/>
  <c r="T65" i="3"/>
  <c r="T57" i="3"/>
  <c r="T53" i="3"/>
  <c r="T45" i="3"/>
  <c r="T37" i="3"/>
  <c r="T29" i="3"/>
  <c r="T21" i="3"/>
  <c r="T17" i="3"/>
  <c r="T9" i="3"/>
  <c r="S82" i="3"/>
  <c r="S80" i="3"/>
  <c r="S78" i="3"/>
  <c r="S76" i="3"/>
  <c r="S74" i="3"/>
  <c r="S72" i="3"/>
  <c r="S70" i="3"/>
  <c r="S68" i="3"/>
  <c r="S66" i="3"/>
  <c r="S64" i="3"/>
  <c r="S62" i="3"/>
  <c r="S60" i="3"/>
  <c r="S58" i="3"/>
  <c r="S56" i="3"/>
  <c r="S54" i="3"/>
  <c r="S52" i="3"/>
  <c r="S50" i="3"/>
  <c r="S48" i="3"/>
  <c r="S46" i="3"/>
  <c r="S44" i="3"/>
  <c r="S42" i="3"/>
  <c r="S40" i="3"/>
  <c r="S38" i="3"/>
  <c r="S36" i="3"/>
  <c r="S34" i="3"/>
  <c r="S32" i="3"/>
  <c r="S30" i="3"/>
  <c r="S28" i="3"/>
  <c r="S26" i="3"/>
  <c r="S24" i="3"/>
  <c r="S22" i="3"/>
  <c r="S20" i="3"/>
  <c r="S18" i="3"/>
  <c r="S16" i="3"/>
  <c r="S10" i="3"/>
  <c r="S8" i="3"/>
  <c r="S14" i="3"/>
  <c r="S81" i="3"/>
  <c r="S79" i="3"/>
  <c r="S77" i="3"/>
  <c r="S75" i="3"/>
  <c r="S73" i="3"/>
  <c r="S71" i="3"/>
  <c r="S69" i="3"/>
  <c r="S67" i="3"/>
  <c r="S65" i="3"/>
  <c r="S63" i="3"/>
  <c r="S61" i="3"/>
  <c r="S59" i="3"/>
  <c r="S57" i="3"/>
  <c r="S55" i="3"/>
  <c r="S53" i="3"/>
  <c r="S51" i="3"/>
  <c r="S49" i="3"/>
  <c r="S47" i="3"/>
  <c r="S45" i="3"/>
  <c r="S43" i="3"/>
  <c r="S41" i="3"/>
  <c r="S39" i="3"/>
  <c r="S37" i="3"/>
  <c r="S35" i="3"/>
  <c r="S33" i="3"/>
  <c r="S31" i="3"/>
  <c r="S29" i="3"/>
  <c r="S27" i="3"/>
  <c r="S25" i="3"/>
  <c r="S23" i="3"/>
  <c r="S21" i="3"/>
  <c r="S19" i="3"/>
  <c r="S17" i="3"/>
  <c r="S15" i="3"/>
  <c r="S13" i="3"/>
  <c r="S11" i="3"/>
  <c r="S9" i="3"/>
  <c r="S12" i="3"/>
  <c r="R80" i="3"/>
  <c r="R76" i="3"/>
  <c r="R72" i="3"/>
  <c r="R68" i="3"/>
  <c r="R64" i="3"/>
  <c r="R60" i="3"/>
  <c r="R56" i="3"/>
  <c r="R52" i="3"/>
  <c r="R48" i="3"/>
  <c r="R44" i="3"/>
  <c r="R40" i="3"/>
  <c r="R36" i="3"/>
  <c r="R32" i="3"/>
  <c r="R28" i="3"/>
  <c r="R24" i="3"/>
  <c r="R20" i="3"/>
  <c r="R16" i="3"/>
  <c r="R12" i="3"/>
  <c r="R8" i="3"/>
  <c r="R82" i="3"/>
  <c r="R78" i="3"/>
  <c r="R74" i="3"/>
  <c r="R70" i="3"/>
  <c r="R66" i="3"/>
  <c r="R62" i="3"/>
  <c r="R58" i="3"/>
  <c r="R54" i="3"/>
  <c r="R50" i="3"/>
  <c r="R46" i="3"/>
  <c r="R42" i="3"/>
  <c r="R38" i="3"/>
  <c r="R34" i="3"/>
  <c r="R30" i="3"/>
  <c r="R26" i="3"/>
  <c r="R22" i="3"/>
  <c r="R18" i="3"/>
  <c r="R14" i="3"/>
  <c r="R10" i="3"/>
  <c r="R79" i="3"/>
  <c r="R75" i="3"/>
  <c r="R71" i="3"/>
  <c r="R67" i="3"/>
  <c r="R63" i="3"/>
  <c r="R59" i="3"/>
  <c r="R51" i="3"/>
  <c r="R47" i="3"/>
  <c r="R43" i="3"/>
  <c r="R35" i="3"/>
  <c r="R27" i="3"/>
  <c r="R19" i="3"/>
  <c r="R11" i="3"/>
  <c r="R81" i="3"/>
  <c r="R77" i="3"/>
  <c r="R73" i="3"/>
  <c r="R69" i="3"/>
  <c r="R65" i="3"/>
  <c r="R61" i="3"/>
  <c r="R57" i="3"/>
  <c r="R53" i="3"/>
  <c r="R49" i="3"/>
  <c r="R45" i="3"/>
  <c r="R41" i="3"/>
  <c r="R37" i="3"/>
  <c r="R33" i="3"/>
  <c r="R29" i="3"/>
  <c r="R25" i="3"/>
  <c r="R21" i="3"/>
  <c r="R17" i="3"/>
  <c r="R13" i="3"/>
  <c r="R9" i="3"/>
  <c r="R55" i="3"/>
  <c r="R39" i="3"/>
  <c r="R31" i="3"/>
  <c r="R23" i="3"/>
  <c r="R15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2" i="3"/>
  <c r="Q21" i="3"/>
  <c r="Q19" i="3"/>
  <c r="Q18" i="3"/>
  <c r="Q16" i="3"/>
  <c r="Q14" i="3"/>
  <c r="Q12" i="3"/>
  <c r="Q10" i="3"/>
  <c r="Q8" i="3"/>
  <c r="Q27" i="3"/>
  <c r="Q23" i="3"/>
  <c r="Q20" i="3"/>
  <c r="Q17" i="3"/>
  <c r="Q15" i="3"/>
  <c r="Q13" i="3"/>
  <c r="Q11" i="3"/>
  <c r="Q9" i="3"/>
  <c r="V42" i="3" l="1"/>
  <c r="B29" i="15"/>
  <c r="H29" i="15" s="1"/>
  <c r="D29" i="15" l="1"/>
  <c r="G29" i="15"/>
  <c r="F29" i="15"/>
  <c r="E29" i="15"/>
  <c r="C29" i="15"/>
  <c r="V12" i="3"/>
  <c r="V16" i="3"/>
  <c r="V20" i="3"/>
  <c r="V24" i="3"/>
  <c r="V28" i="3"/>
  <c r="V32" i="3"/>
  <c r="V36" i="3"/>
  <c r="V40" i="3"/>
  <c r="V44" i="3"/>
  <c r="V48" i="3"/>
  <c r="V52" i="3"/>
  <c r="V56" i="3"/>
  <c r="V60" i="3"/>
  <c r="V64" i="3"/>
  <c r="V68" i="3"/>
  <c r="V72" i="3"/>
  <c r="V76" i="3"/>
  <c r="V80" i="3"/>
  <c r="V8" i="3"/>
  <c r="U12" i="3"/>
  <c r="U16" i="3"/>
  <c r="U20" i="3"/>
  <c r="U24" i="3"/>
  <c r="U28" i="3"/>
  <c r="U32" i="3"/>
  <c r="U36" i="3"/>
  <c r="U40" i="3"/>
  <c r="U44" i="3"/>
  <c r="U48" i="3"/>
  <c r="U52" i="3"/>
  <c r="U56" i="3"/>
  <c r="U60" i="3"/>
  <c r="U64" i="3"/>
  <c r="U68" i="3"/>
  <c r="U72" i="3"/>
  <c r="U76" i="3"/>
  <c r="U80" i="3"/>
  <c r="U8" i="3"/>
  <c r="V15" i="3"/>
  <c r="V27" i="3"/>
  <c r="V39" i="3"/>
  <c r="V51" i="3"/>
  <c r="V63" i="3"/>
  <c r="V75" i="3"/>
  <c r="U11" i="3"/>
  <c r="U19" i="3"/>
  <c r="U31" i="3"/>
  <c r="U47" i="3"/>
  <c r="U55" i="3"/>
  <c r="U59" i="3"/>
  <c r="U71" i="3"/>
  <c r="V9" i="3"/>
  <c r="V13" i="3"/>
  <c r="V17" i="3"/>
  <c r="V21" i="3"/>
  <c r="V25" i="3"/>
  <c r="V29" i="3"/>
  <c r="V33" i="3"/>
  <c r="V37" i="3"/>
  <c r="V41" i="3"/>
  <c r="V45" i="3"/>
  <c r="V49" i="3"/>
  <c r="V53" i="3"/>
  <c r="V57" i="3"/>
  <c r="V61" i="3"/>
  <c r="V65" i="3"/>
  <c r="V69" i="3"/>
  <c r="V73" i="3"/>
  <c r="V77" i="3"/>
  <c r="V81" i="3"/>
  <c r="U9" i="3"/>
  <c r="U13" i="3"/>
  <c r="U17" i="3"/>
  <c r="U21" i="3"/>
  <c r="U25" i="3"/>
  <c r="U29" i="3"/>
  <c r="U33" i="3"/>
  <c r="U37" i="3"/>
  <c r="U41" i="3"/>
  <c r="U45" i="3"/>
  <c r="U49" i="3"/>
  <c r="U53" i="3"/>
  <c r="U57" i="3"/>
  <c r="U61" i="3"/>
  <c r="U65" i="3"/>
  <c r="U69" i="3"/>
  <c r="U73" i="3"/>
  <c r="U77" i="3"/>
  <c r="U81" i="3"/>
  <c r="V19" i="3"/>
  <c r="V31" i="3"/>
  <c r="V47" i="3"/>
  <c r="V55" i="3"/>
  <c r="V71" i="3"/>
  <c r="U23" i="3"/>
  <c r="U35" i="3"/>
  <c r="U43" i="3"/>
  <c r="U67" i="3"/>
  <c r="U79" i="3"/>
  <c r="V10" i="3"/>
  <c r="V14" i="3"/>
  <c r="V18" i="3"/>
  <c r="V22" i="3"/>
  <c r="V26" i="3"/>
  <c r="V30" i="3"/>
  <c r="V34" i="3"/>
  <c r="V38" i="3"/>
  <c r="V46" i="3"/>
  <c r="V50" i="3"/>
  <c r="V54" i="3"/>
  <c r="V58" i="3"/>
  <c r="V62" i="3"/>
  <c r="V66" i="3"/>
  <c r="V70" i="3"/>
  <c r="V74" i="3"/>
  <c r="V78" i="3"/>
  <c r="V82" i="3"/>
  <c r="U10" i="3"/>
  <c r="U14" i="3"/>
  <c r="U18" i="3"/>
  <c r="U22" i="3"/>
  <c r="U26" i="3"/>
  <c r="U30" i="3"/>
  <c r="U34" i="3"/>
  <c r="U38" i="3"/>
  <c r="U42" i="3"/>
  <c r="U46" i="3"/>
  <c r="U50" i="3"/>
  <c r="U54" i="3"/>
  <c r="U58" i="3"/>
  <c r="U62" i="3"/>
  <c r="U66" i="3"/>
  <c r="U70" i="3"/>
  <c r="U74" i="3"/>
  <c r="U78" i="3"/>
  <c r="U82" i="3"/>
  <c r="V11" i="3"/>
  <c r="V23" i="3"/>
  <c r="V35" i="3"/>
  <c r="V43" i="3"/>
  <c r="V59" i="3"/>
  <c r="V67" i="3"/>
  <c r="V79" i="3"/>
  <c r="U15" i="3"/>
  <c r="U27" i="3"/>
  <c r="U39" i="3"/>
  <c r="U51" i="3"/>
  <c r="U63" i="3"/>
  <c r="U75" i="3"/>
  <c r="AJ2" i="15" l="1"/>
  <c r="E47" i="15"/>
  <c r="D47" i="15"/>
  <c r="E43" i="15"/>
  <c r="D43" i="15"/>
  <c r="E39" i="15"/>
  <c r="D39" i="15"/>
  <c r="E35" i="15"/>
  <c r="D35" i="15"/>
  <c r="E46" i="15"/>
  <c r="E38" i="15"/>
  <c r="D46" i="15"/>
  <c r="D38" i="15"/>
  <c r="E45" i="15"/>
  <c r="E37" i="15"/>
  <c r="E41" i="15"/>
  <c r="E33" i="15"/>
  <c r="D41" i="15"/>
  <c r="D33" i="15"/>
  <c r="E42" i="15"/>
  <c r="E34" i="15"/>
  <c r="D45" i="15"/>
  <c r="D37" i="15"/>
  <c r="D42" i="15"/>
  <c r="D34" i="15"/>
  <c r="AK2" i="15"/>
  <c r="B29" i="12" l="1"/>
  <c r="C29" i="12" s="1"/>
  <c r="I29" i="12" l="1"/>
  <c r="G29" i="12"/>
  <c r="K29" i="12"/>
  <c r="F29" i="12"/>
  <c r="D29" i="12"/>
  <c r="J29" i="12"/>
  <c r="E29" i="12"/>
  <c r="H29" i="12"/>
  <c r="AL2" i="12" l="1"/>
  <c r="AM2" i="12"/>
</calcChain>
</file>

<file path=xl/sharedStrings.xml><?xml version="1.0" encoding="utf-8"?>
<sst xmlns="http://schemas.openxmlformats.org/spreadsheetml/2006/main" count="5530" uniqueCount="1205">
  <si>
    <t>7A1</t>
  </si>
  <si>
    <t>Betsi Cadwaladr University Health Board</t>
  </si>
  <si>
    <t>7A3</t>
  </si>
  <si>
    <t>7A4</t>
  </si>
  <si>
    <t>Cardiff and Vale University Health Board</t>
  </si>
  <si>
    <t>7A5</t>
  </si>
  <si>
    <t>Cwm Taf University Health Board</t>
  </si>
  <si>
    <t>7A6</t>
  </si>
  <si>
    <t>Aneurin Bevan University Health Board</t>
  </si>
  <si>
    <t>R0A</t>
  </si>
  <si>
    <t>Manchester University NHS Foundation Trust</t>
  </si>
  <si>
    <t>R1H</t>
  </si>
  <si>
    <t>Barts Health NHS Trust</t>
  </si>
  <si>
    <t>R1K</t>
  </si>
  <si>
    <t>London North West Healthcare NHS Trust</t>
  </si>
  <si>
    <t>RA9</t>
  </si>
  <si>
    <t>Torbay and South Devon NHS Foundation Trust</t>
  </si>
  <si>
    <t>RAE</t>
  </si>
  <si>
    <t>Bradford Teaching Hospitals NHS Foundation Trust</t>
  </si>
  <si>
    <t>RAJ</t>
  </si>
  <si>
    <t>Southend University Hospital NHS Foundation Trust</t>
  </si>
  <si>
    <t>RAL</t>
  </si>
  <si>
    <t>Royal Free London NHS Foundation Trust</t>
  </si>
  <si>
    <t>RBA</t>
  </si>
  <si>
    <t>Taunton and Somerset NHS Foundation Trust</t>
  </si>
  <si>
    <t>RBD</t>
  </si>
  <si>
    <t>Dorset County Hospital NHS Foundation Trust</t>
  </si>
  <si>
    <t>RBN</t>
  </si>
  <si>
    <t>St Helens &amp; Knowsley Teaching Hospitals NHS Trust</t>
  </si>
  <si>
    <t>RBZ</t>
  </si>
  <si>
    <t>Northern Devon Healthcare NHS Trust</t>
  </si>
  <si>
    <t>RC1</t>
  </si>
  <si>
    <t>Bedford Hospital NHS Trust</t>
  </si>
  <si>
    <t>RCB</t>
  </si>
  <si>
    <t>York Teaching Hospital NHS Foundation Trust</t>
  </si>
  <si>
    <t>RDD</t>
  </si>
  <si>
    <t>Basildon and Thurrock University Hospitals NHS Foundation Trust</t>
  </si>
  <si>
    <t>RDE</t>
  </si>
  <si>
    <t>RDU</t>
  </si>
  <si>
    <t>Frimley Health NHS Foundation Trust</t>
  </si>
  <si>
    <t>RDZ</t>
  </si>
  <si>
    <t>Royal Bournemouth and Christchurch Hospitals NHS Foundation Trust</t>
  </si>
  <si>
    <t>REF</t>
  </si>
  <si>
    <t>Royal Cornwall Hospitals NHS Trust</t>
  </si>
  <si>
    <t>REM</t>
  </si>
  <si>
    <t>RF4</t>
  </si>
  <si>
    <t>Barking, Havering And Redbridge University Hospitals NHS Trust</t>
  </si>
  <si>
    <t>RGN</t>
  </si>
  <si>
    <t>North West Anglia NHS Foundation Trust</t>
  </si>
  <si>
    <t>RGR</t>
  </si>
  <si>
    <t>West Suffolk NHS Foundation Trust</t>
  </si>
  <si>
    <t>RGT</t>
  </si>
  <si>
    <t>Cambridge University Hospitals NHS Foundation Trust</t>
  </si>
  <si>
    <t>RH8</t>
  </si>
  <si>
    <t>Royal Devon and Exeter NHS Foundation Trust</t>
  </si>
  <si>
    <t>RHM</t>
  </si>
  <si>
    <t>University Hospital Southampton NHS Foundation Trust</t>
  </si>
  <si>
    <t>RHQ</t>
  </si>
  <si>
    <t>Sheffield Teaching Hospitals NHS Foundation Trust</t>
  </si>
  <si>
    <t>RHU</t>
  </si>
  <si>
    <t>Portsmouth Hospitals NHS Trust</t>
  </si>
  <si>
    <t>RHW</t>
  </si>
  <si>
    <t>Royal Berkshire NHS Foundation Trust</t>
  </si>
  <si>
    <t>RJ1</t>
  </si>
  <si>
    <t>Guy's and St Thomas' NHS Foundation Trust</t>
  </si>
  <si>
    <t>RJ7</t>
  </si>
  <si>
    <t>St George's University Hospitals NHS Foundation Trust</t>
  </si>
  <si>
    <t>RJE</t>
  </si>
  <si>
    <t>University Hospital of North Midlands NHS Trust</t>
  </si>
  <si>
    <t>RJR</t>
  </si>
  <si>
    <t>Countess of Chester Hospital NHS Foundation Trust</t>
  </si>
  <si>
    <t>RJZ</t>
  </si>
  <si>
    <t>King's College Hospital NHS Foundation Trust</t>
  </si>
  <si>
    <t>RK9</t>
  </si>
  <si>
    <t>RKB</t>
  </si>
  <si>
    <t>University Hospitals Coventry and Warwickshire NHS Trust</t>
  </si>
  <si>
    <t>RL4</t>
  </si>
  <si>
    <t>Royal Wolverhampton Hospitals NHS Trust</t>
  </si>
  <si>
    <t>RLN</t>
  </si>
  <si>
    <t>City Hospitals Sunderland NHS Foundation Trust</t>
  </si>
  <si>
    <t>RM1</t>
  </si>
  <si>
    <t>Norfolk and Norwich University Hospitals NHS Foundation Trust</t>
  </si>
  <si>
    <t>RMC</t>
  </si>
  <si>
    <t>Bolton NHS Foundation Trust</t>
  </si>
  <si>
    <t>RNA</t>
  </si>
  <si>
    <t>The Dudley Group NHS Foundation Trust</t>
  </si>
  <si>
    <t>RNL</t>
  </si>
  <si>
    <t>North Cumbria University Hospitals NHS Trust</t>
  </si>
  <si>
    <t>RNS</t>
  </si>
  <si>
    <t>Northampton General Hospital NHS Trust</t>
  </si>
  <si>
    <t>RP5</t>
  </si>
  <si>
    <t>Doncaster and Bassetlaw Hospitals NHS Foundation Trust</t>
  </si>
  <si>
    <t>RPA</t>
  </si>
  <si>
    <t>Medway NHS Foundation Trust</t>
  </si>
  <si>
    <t>RQ6</t>
  </si>
  <si>
    <t>Royal Liverpool and Broadgreen University Hospitals NHS Trust</t>
  </si>
  <si>
    <t>RQ8</t>
  </si>
  <si>
    <t>Mid Essex Hospital Services NHS Trust</t>
  </si>
  <si>
    <t>RQW</t>
  </si>
  <si>
    <t>Princess Alexandra Hospital NHS Trust</t>
  </si>
  <si>
    <t>RR7</t>
  </si>
  <si>
    <t>Gateshead Health NHS Foundation Trust</t>
  </si>
  <si>
    <t>RR8</t>
  </si>
  <si>
    <t>Leeds Teaching Hospitals NHS Trust</t>
  </si>
  <si>
    <t>RRK</t>
  </si>
  <si>
    <t>University Hospitals Birmingham NHS Foundation Trust</t>
  </si>
  <si>
    <t>RRV</t>
  </si>
  <si>
    <t>University College London Hospitals NHS Foundation Trust</t>
  </si>
  <si>
    <t>RT3</t>
  </si>
  <si>
    <t>Royal Brompton &amp; Harefield NHS Foundation Trust</t>
  </si>
  <si>
    <t>RTD</t>
  </si>
  <si>
    <t>Newcastle upon Tyne Hospitals NHS Foundation Trust</t>
  </si>
  <si>
    <t>RTE</t>
  </si>
  <si>
    <t>Gloucestershire Hospitals NHS Foundation Trust</t>
  </si>
  <si>
    <t>RTG</t>
  </si>
  <si>
    <t>RTH</t>
  </si>
  <si>
    <t>Oxford University Hospitals NHS Trust</t>
  </si>
  <si>
    <t>RTK</t>
  </si>
  <si>
    <t>Ashford And St Peter's Hospitals NHS Foundation Trust</t>
  </si>
  <si>
    <t>RTR</t>
  </si>
  <si>
    <t>South Tees Hospitals NHS Foundation Trust</t>
  </si>
  <si>
    <t>RVJ</t>
  </si>
  <si>
    <t>North Bristol NHS Trust</t>
  </si>
  <si>
    <t>RVV</t>
  </si>
  <si>
    <t>East Kent Hospitals University NHS Foundation Trust</t>
  </si>
  <si>
    <t>RW6</t>
  </si>
  <si>
    <t>Pennine Acute Hospitals NHS Trust</t>
  </si>
  <si>
    <t>RWA</t>
  </si>
  <si>
    <t>Hull and East Yorkshire Hospitals NHS Trust</t>
  </si>
  <si>
    <t>RWD</t>
  </si>
  <si>
    <t>United Lincolnshire Hospitals NHS Trust</t>
  </si>
  <si>
    <t>RWE</t>
  </si>
  <si>
    <t>University Hospitals of Leicester NHS Trust</t>
  </si>
  <si>
    <t>RWG</t>
  </si>
  <si>
    <t>West Hertfordshire Hospitals NHS Trust</t>
  </si>
  <si>
    <t>RWH</t>
  </si>
  <si>
    <t>East and North Hertfordshire NHS Trust</t>
  </si>
  <si>
    <t>RWP</t>
  </si>
  <si>
    <t>Worcestershire Acute Hospitals NHS Trust</t>
  </si>
  <si>
    <t>RWY</t>
  </si>
  <si>
    <t>Calderdale and Huddersfield NHS Foundation Trust</t>
  </si>
  <si>
    <t>RX1</t>
  </si>
  <si>
    <t>Nottingham University Hospitals NHS Trust</t>
  </si>
  <si>
    <t>RXF</t>
  </si>
  <si>
    <t>Mid Yorkshire Hospitals NHS Trust</t>
  </si>
  <si>
    <t>RXH</t>
  </si>
  <si>
    <t>Brighton and Sussex University Hospitals NHS Trust</t>
  </si>
  <si>
    <t>RXN</t>
  </si>
  <si>
    <t>Lancashire Teaching Hospitals NHS Foundation Trust</t>
  </si>
  <si>
    <t>RXR</t>
  </si>
  <si>
    <t>East Lancashire Hospitals NHS Trust</t>
  </si>
  <si>
    <t>RXW</t>
  </si>
  <si>
    <t>Shrewsbury and Telford Hospital NHS Trust</t>
  </si>
  <si>
    <t>RYJ</t>
  </si>
  <si>
    <t>Imperial College Healthcare NHS Trust</t>
  </si>
  <si>
    <t>SA999</t>
  </si>
  <si>
    <t>NHS Ayrshire &amp; Arran</t>
  </si>
  <si>
    <t>SF999</t>
  </si>
  <si>
    <t>NHS Fife</t>
  </si>
  <si>
    <t>SG999</t>
  </si>
  <si>
    <t>NHS Greater Glasgow and Clyde</t>
  </si>
  <si>
    <t>SH999</t>
  </si>
  <si>
    <t>NHS Highland</t>
  </si>
  <si>
    <t>SL999</t>
  </si>
  <si>
    <t>NHS Lanarkshire</t>
  </si>
  <si>
    <t>SN999</t>
  </si>
  <si>
    <t>NHS Grampian</t>
  </si>
  <si>
    <t>SS999</t>
  </si>
  <si>
    <t>NHS Lothian</t>
  </si>
  <si>
    <t>ST999</t>
  </si>
  <si>
    <t>NHS Tayside</t>
  </si>
  <si>
    <t>SV999</t>
  </si>
  <si>
    <t>NHS Forth Valley</t>
  </si>
  <si>
    <t>ZT001</t>
  </si>
  <si>
    <t>Belfast Health and Social Care Trust</t>
  </si>
  <si>
    <t>Trust Name</t>
  </si>
  <si>
    <t>Trust code</t>
  </si>
  <si>
    <t>NVR cases</t>
  </si>
  <si>
    <t>Patients referred within 7 days of symptom</t>
  </si>
  <si>
    <t>Patients receiving surgery within 7 days of referral</t>
  </si>
  <si>
    <t>Patients receiving surgery within 14 days of symptom</t>
  </si>
  <si>
    <t>Median(IQR) length of stay (days)</t>
  </si>
  <si>
    <t>Symptomatic cases</t>
  </si>
  <si>
    <t>Median delay and IQR from index symptom to surgery (days)</t>
  </si>
  <si>
    <t>NVR Cases</t>
  </si>
  <si>
    <t>No. of EVAR</t>
  </si>
  <si>
    <t>% patients with anaesthetic review</t>
  </si>
  <si>
    <t>% patients undergoing pre-op CT/MR angiogram assessment</t>
  </si>
  <si>
    <t>%patients discussed at MDT</t>
  </si>
  <si>
    <t>Median delay and IQR from assessment to surgery (days)</t>
  </si>
  <si>
    <t>Median (IQR) length of stay for open repairs (days)</t>
  </si>
  <si>
    <t>Median (IQR) length of stay for EVAR (days)</t>
  </si>
  <si>
    <t>% patients with date of assessment</t>
  </si>
  <si>
    <t>Median (IQR) length of stay (days)</t>
  </si>
  <si>
    <t>% Adjusted in-hospital mortality</t>
  </si>
  <si>
    <t>Adjusted in-hospital mortality</t>
  </si>
  <si>
    <t>Swansea Bay University Health Board</t>
  </si>
  <si>
    <t>University Hospitals Plymouth NHS Trust</t>
  </si>
  <si>
    <t>East Suffolk and North Essex NHS Foundation Trust</t>
  </si>
  <si>
    <t>9 (6 - 14)</t>
  </si>
  <si>
    <t>10 (5 - 19)</t>
  </si>
  <si>
    <t>7 (3 - 15)</t>
  </si>
  <si>
    <t>9 (8 - 11)</t>
  </si>
  <si>
    <t>4 (3 - 7)</t>
  </si>
  <si>
    <t>4 (3 - 6)</t>
  </si>
  <si>
    <t>5 (3 - 8)</t>
  </si>
  <si>
    <t>7 (4 - 13)</t>
  </si>
  <si>
    <t>4 (2 - 6)</t>
  </si>
  <si>
    <t>7 (5 - 12)</t>
  </si>
  <si>
    <t>5 (3 - 7)</t>
  </si>
  <si>
    <t>2 (2 - 5)</t>
  </si>
  <si>
    <t>3 (2 - 6)</t>
  </si>
  <si>
    <t>4 (2 - 8)</t>
  </si>
  <si>
    <t>6 (5 - 8)</t>
  </si>
  <si>
    <t>3 (2 - 4)</t>
  </si>
  <si>
    <t>1 (1 - 4)</t>
  </si>
  <si>
    <t>6 (4 - 10)</t>
  </si>
  <si>
    <t>3 (1 - 9)</t>
  </si>
  <si>
    <t>6 (5 - 9)</t>
  </si>
  <si>
    <t>7 (5 - 9)</t>
  </si>
  <si>
    <t>3 (2 - 5)</t>
  </si>
  <si>
    <t>2 (1 - 4)</t>
  </si>
  <si>
    <t>3 (2 - 7)</t>
  </si>
  <si>
    <t>5 (3 - 9)</t>
  </si>
  <si>
    <t>8 (5 - 9)</t>
  </si>
  <si>
    <t>4 (2 - 7)</t>
  </si>
  <si>
    <t>3 (3 - 6)</t>
  </si>
  <si>
    <t>7 (6 - 7)</t>
  </si>
  <si>
    <t>4 (3 - 5)</t>
  </si>
  <si>
    <t>8 (5 - 11)</t>
  </si>
  <si>
    <t>1 (1 - 1)</t>
  </si>
  <si>
    <t>RXQ</t>
  </si>
  <si>
    <t>7 (4 - 12)</t>
  </si>
  <si>
    <t>8 (4 - 17)</t>
  </si>
  <si>
    <t>9 (4 - 21)</t>
  </si>
  <si>
    <t>6 (4 - 13)</t>
  </si>
  <si>
    <t>5 (3 - 10)</t>
  </si>
  <si>
    <t>6 (3 - 13)</t>
  </si>
  <si>
    <t>6 (3 - 14)</t>
  </si>
  <si>
    <t>8 (4 - 18)</t>
  </si>
  <si>
    <t>7 (4 - 16)</t>
  </si>
  <si>
    <t>6 (4 - 14)</t>
  </si>
  <si>
    <t>6 (3 - 11)</t>
  </si>
  <si>
    <t>7 (4 - 15)</t>
  </si>
  <si>
    <t>6 (3 - 12)</t>
  </si>
  <si>
    <t>7 (5 - 8)</t>
  </si>
  <si>
    <t>8 (4 - 15)</t>
  </si>
  <si>
    <t>6 (4 - 12)</t>
  </si>
  <si>
    <t>9 (6 - 18)</t>
  </si>
  <si>
    <t>8 (5 - 14)</t>
  </si>
  <si>
    <t>4 (2 - 11)</t>
  </si>
  <si>
    <t>4 (2 - 9)</t>
  </si>
  <si>
    <t>7 (5 - 13)</t>
  </si>
  <si>
    <t>RD8</t>
  </si>
  <si>
    <t>RN3</t>
  </si>
  <si>
    <t>RN5</t>
  </si>
  <si>
    <t>2 (0 - 10)</t>
  </si>
  <si>
    <t>0 (0 - 8)</t>
  </si>
  <si>
    <t>0 (0 - 0)</t>
  </si>
  <si>
    <t>0 (0 - 7)</t>
  </si>
  <si>
    <t>0 (0 - 2)</t>
  </si>
  <si>
    <t>0 (0 - 1)</t>
  </si>
  <si>
    <t>0 (0 - 4)</t>
  </si>
  <si>
    <t>2 (1 - 2)</t>
  </si>
  <si>
    <t>1 (1 - 5)</t>
  </si>
  <si>
    <t>1 (0 - 3)</t>
  </si>
  <si>
    <t>1 (0 - 10)</t>
  </si>
  <si>
    <t>0 (0 - 3)</t>
  </si>
  <si>
    <t>2 (1 - 7)</t>
  </si>
  <si>
    <t>3 (1 - 8)</t>
  </si>
  <si>
    <t>1 (1 - 3)</t>
  </si>
  <si>
    <t>3 (1 - 7)</t>
  </si>
  <si>
    <t>1 (0 - 5)</t>
  </si>
  <si>
    <t>0 (0 - 5)</t>
  </si>
  <si>
    <t>1 (1 - 8)</t>
  </si>
  <si>
    <t>1 (0 - 9)</t>
  </si>
  <si>
    <t>2 (1 - 5)</t>
  </si>
  <si>
    <t>5 (2 - 7)</t>
  </si>
  <si>
    <t>1 (0 - 14)</t>
  </si>
  <si>
    <t>0 (0 - 6)</t>
  </si>
  <si>
    <t>5 (2 - 12)</t>
  </si>
  <si>
    <t>10 (6 - 18)</t>
  </si>
  <si>
    <t>5 (2 - 8)</t>
  </si>
  <si>
    <t>2 (2 - 6)</t>
  </si>
  <si>
    <t>2 (1 - 3)</t>
  </si>
  <si>
    <t>3 (2 - 3)</t>
  </si>
  <si>
    <t>1 (1 - 2)</t>
  </si>
  <si>
    <t>6 (3 - 8)</t>
  </si>
  <si>
    <t>8 (6 - 10)</t>
  </si>
  <si>
    <t>3 (1 - 5)</t>
  </si>
  <si>
    <t>4 (3 - 8)</t>
  </si>
  <si>
    <t>2 (2 - 3)</t>
  </si>
  <si>
    <t>5 (2 - 10)</t>
  </si>
  <si>
    <t>8 (5 - 13)</t>
  </si>
  <si>
    <t>8 (6 - 11)</t>
  </si>
  <si>
    <t>2 (1 - 6)</t>
  </si>
  <si>
    <t>6 (2 - 11)</t>
  </si>
  <si>
    <t>9 (7 - 14)</t>
  </si>
  <si>
    <t>6 (3 - 10)</t>
  </si>
  <si>
    <t>3 (1 - 6)</t>
  </si>
  <si>
    <t>3 (3 - 4)</t>
  </si>
  <si>
    <t>3 (3 - 5)</t>
  </si>
  <si>
    <t>Adjusted in-hospital mortality (2016-2018)</t>
  </si>
  <si>
    <t>8 (7 - 13)</t>
  </si>
  <si>
    <t>2 (2 - 4)</t>
  </si>
  <si>
    <t>4 (2 - 5)</t>
  </si>
  <si>
    <t>6 (5 - 11)</t>
  </si>
  <si>
    <t>7 (6 - 9)</t>
  </si>
  <si>
    <t>6 (5 - 6)</t>
  </si>
  <si>
    <t>9 (8 - 10)</t>
  </si>
  <si>
    <t>7 (6 - 11)</t>
  </si>
  <si>
    <t>8 (6 - 9)</t>
  </si>
  <si>
    <t>7 (6 - 8)</t>
  </si>
  <si>
    <t>7 (6 - 12)</t>
  </si>
  <si>
    <t>6 (5 - 7)</t>
  </si>
  <si>
    <t>8 (7 - 9)</t>
  </si>
  <si>
    <t>7 (5 - 10)</t>
  </si>
  <si>
    <t>6 (4 - 7)</t>
  </si>
  <si>
    <t>12 (8 - 15)</t>
  </si>
  <si>
    <t>5 (5 - 6)</t>
  </si>
  <si>
    <t>8 (7 - 12)</t>
  </si>
  <si>
    <t>8 (7 - 10)</t>
  </si>
  <si>
    <t>9 (8 - 15)</t>
  </si>
  <si>
    <t>6 (3 - 9)</t>
  </si>
  <si>
    <t>8 (8 - 11)</t>
  </si>
  <si>
    <t>10 (8 - 11)</t>
  </si>
  <si>
    <t>7 (4 - 11)</t>
  </si>
  <si>
    <t>1 (0 - 1)</t>
  </si>
  <si>
    <t>6 (2 - 10)</t>
  </si>
  <si>
    <t>4 (1 - 7)</t>
  </si>
  <si>
    <t>5 (2 - 9)</t>
  </si>
  <si>
    <t>3 (0 - 7)</t>
  </si>
  <si>
    <t>7 (3 - 10)</t>
  </si>
  <si>
    <t>10 (7 - 15)</t>
  </si>
  <si>
    <t>4 (3 - 4)</t>
  </si>
  <si>
    <t>N/A</t>
  </si>
  <si>
    <t>6 (6 - 7)</t>
  </si>
  <si>
    <t>11 (8 - 12)</t>
  </si>
  <si>
    <t>9 (6 - 11)</t>
  </si>
  <si>
    <t>12 (9 - 23)</t>
  </si>
  <si>
    <t>8 (6 - 13)</t>
  </si>
  <si>
    <t>9 (8 - 14)</t>
  </si>
  <si>
    <t>Great Western Hospitals NHS Foundation Trust</t>
  </si>
  <si>
    <t>Hampshire Hospitals NHS Foundation Trust</t>
  </si>
  <si>
    <t>Buckinghamshire Healthcare NHS Trust</t>
  </si>
  <si>
    <t>&lt;5</t>
  </si>
  <si>
    <t>xx</t>
  </si>
  <si>
    <t>University Hospitals of Derby and Burton NHS Foundation Trust</t>
  </si>
  <si>
    <t>7 (2 - 13)</t>
  </si>
  <si>
    <t>Select Trust</t>
  </si>
  <si>
    <t>NATIONAL</t>
  </si>
  <si>
    <t>Trust N</t>
  </si>
  <si>
    <t>NICE</t>
  </si>
  <si>
    <t>Med Symproc</t>
  </si>
  <si>
    <t>LQErrorBar</t>
  </si>
  <si>
    <t>UQErrorBar</t>
  </si>
  <si>
    <t>AAAMortVol</t>
  </si>
  <si>
    <t>AAAMort</t>
  </si>
  <si>
    <t>LQ Error Bar</t>
  </si>
  <si>
    <t>UQ Error Bar</t>
  </si>
  <si>
    <t>procedure_type</t>
  </si>
  <si>
    <t>procedures</t>
  </si>
  <si>
    <t>cea</t>
  </si>
  <si>
    <t>ul998</t>
  </si>
  <si>
    <t>National</t>
  </si>
  <si>
    <t>trust_code</t>
  </si>
  <si>
    <t>surv_num</t>
  </si>
  <si>
    <t>Stroke/Death 30</t>
  </si>
  <si>
    <t>Med AssProc</t>
  </si>
  <si>
    <t>NAAASP</t>
  </si>
  <si>
    <t>RankN</t>
  </si>
  <si>
    <t>Metric</t>
  </si>
  <si>
    <t>Report Year</t>
  </si>
  <si>
    <t>Trust</t>
  </si>
  <si>
    <t>Quartile</t>
  </si>
  <si>
    <t>Choose Graph</t>
  </si>
  <si>
    <t>LQ AssProc</t>
  </si>
  <si>
    <t>UQ AssProc</t>
  </si>
  <si>
    <t>aaa</t>
  </si>
  <si>
    <t>Mortality Rate</t>
  </si>
  <si>
    <t>elec_ir_surv_num</t>
  </si>
  <si>
    <t>Min</t>
  </si>
  <si>
    <t>Q1</t>
  </si>
  <si>
    <t>Median</t>
  </si>
  <si>
    <t>Q3</t>
  </si>
  <si>
    <t>Max</t>
  </si>
  <si>
    <t>Date of Assessmet Quartile</t>
  </si>
  <si>
    <t>Anaesthetic Review Quartile</t>
  </si>
  <si>
    <t>Pre-op CT/MR Assessment Quartile</t>
  </si>
  <si>
    <t>MDT Quartile</t>
  </si>
  <si>
    <t>9 (8 - 16)</t>
  </si>
  <si>
    <t>8 (8 - 9)</t>
  </si>
  <si>
    <t>7 (4 - 8)</t>
  </si>
  <si>
    <t>7 (7 - 10)</t>
  </si>
  <si>
    <t>7 (6 - 10)</t>
  </si>
  <si>
    <t>10 (7 - 14)</t>
  </si>
  <si>
    <t>8 (7 - 11)</t>
  </si>
  <si>
    <t>9 (7 - 13)</t>
  </si>
  <si>
    <t>9 (7 - 11)</t>
  </si>
  <si>
    <t>3 (1 - 4)</t>
  </si>
  <si>
    <t>5 (4 - 7)</t>
  </si>
  <si>
    <t>Rank</t>
  </si>
  <si>
    <t>9 (7 - 12)</t>
  </si>
  <si>
    <t>8 (7 - 14)</t>
  </si>
  <si>
    <t>Standard</t>
  </si>
  <si>
    <t>CEAMortVol</t>
  </si>
  <si>
    <t>byp</t>
  </si>
  <si>
    <t>ang</t>
  </si>
  <si>
    <t>amp</t>
  </si>
  <si>
    <t>GraphData2</t>
  </si>
  <si>
    <t>Rank2</t>
  </si>
  <si>
    <t>Rank1</t>
  </si>
  <si>
    <t>GraphData1</t>
  </si>
  <si>
    <t>Graph L ErrorBar</t>
  </si>
  <si>
    <t>Graph U ErrorBar</t>
  </si>
  <si>
    <t>ll998</t>
  </si>
  <si>
    <t>Ashford and St Peter's Hospitals NHS Foundation Trust</t>
  </si>
  <si>
    <t>Barking, Havering and Redbridge University Hospitals NHS Trust</t>
  </si>
  <si>
    <t>Cwm Taf Morgannwg University Health Board</t>
  </si>
  <si>
    <t>Doncaster and Bassetlaw Teaching Hospitals NHS Foundation Trust</t>
  </si>
  <si>
    <t>Hull University Teaching Hospitals NHS Trust</t>
  </si>
  <si>
    <t>Liverpool University Hospitals NHS Foundation Trust</t>
  </si>
  <si>
    <t>London North West University Healthcare NHS Trust</t>
  </si>
  <si>
    <t>Milton Keynes University Hospital NHS Foundation Trust</t>
  </si>
  <si>
    <t>Oxford University Hospitals NHS Foundation Trust</t>
  </si>
  <si>
    <t>RD1</t>
  </si>
  <si>
    <t>Royal United Hospital Bath NHS Trust</t>
  </si>
  <si>
    <t>RVY</t>
  </si>
  <si>
    <t>Southport and Ormskirk Hospital NHS Trust</t>
  </si>
  <si>
    <t>RTP</t>
  </si>
  <si>
    <t>Surrey and Sussex Healthcare NHS Trust</t>
  </si>
  <si>
    <t>RRF</t>
  </si>
  <si>
    <t>Wrightington, Wigan And Leigh NHS Foundation Trust</t>
  </si>
  <si>
    <t>&lt;10</t>
  </si>
  <si>
    <t>1 (0 - 13)</t>
  </si>
  <si>
    <t>8 (4 - 13)</t>
  </si>
  <si>
    <t>2 (0 - 12)</t>
  </si>
  <si>
    <t>5 (1 - 16)</t>
  </si>
  <si>
    <t>1 (0 - 8)</t>
  </si>
  <si>
    <t>8 (6 - 15)</t>
  </si>
  <si>
    <t>2 (0 - 11)</t>
  </si>
  <si>
    <t>12 (8 - 20)</t>
  </si>
  <si>
    <t>1 (0 - 7)</t>
  </si>
  <si>
    <t>9 (5 - 13)</t>
  </si>
  <si>
    <t>9 (5 - 12)</t>
  </si>
  <si>
    <t>6 (2 - 9)</t>
  </si>
  <si>
    <t>8 (4 - 20)</t>
  </si>
  <si>
    <t>3 (2 - 13)</t>
  </si>
  <si>
    <t>8 (4 - 14)</t>
  </si>
  <si>
    <t>9 (5 - 17)</t>
  </si>
  <si>
    <t>5 (2 - 6)</t>
  </si>
  <si>
    <t>4 (3 - 10)</t>
  </si>
  <si>
    <t>4 (2 - 10)</t>
  </si>
  <si>
    <t>7 (6 - 14)</t>
  </si>
  <si>
    <t>7 (4 - 10)</t>
  </si>
  <si>
    <t>8 (3 - 14)</t>
  </si>
  <si>
    <t>9 (6 - 15)</t>
  </si>
  <si>
    <t>7 (3 - 11)</t>
  </si>
  <si>
    <t>12 (10 - 17)</t>
  </si>
  <si>
    <t>23 (13 - 37)</t>
  </si>
  <si>
    <t>16 (9 - 25)</t>
  </si>
  <si>
    <t>11 (8 - 17)</t>
  </si>
  <si>
    <t>9 (6 - 12)</t>
  </si>
  <si>
    <t>12 (8 - 21)</t>
  </si>
  <si>
    <t>15 (10 - 30)</t>
  </si>
  <si>
    <t>16 (11 - 32)</t>
  </si>
  <si>
    <t>12 (7 - 21)</t>
  </si>
  <si>
    <t>11 (6 - 16)</t>
  </si>
  <si>
    <t>12 (8 - 22)</t>
  </si>
  <si>
    <t>67 (41 - 99)</t>
  </si>
  <si>
    <t>108 (76 - 174)</t>
  </si>
  <si>
    <t>72 (46 - 128)</t>
  </si>
  <si>
    <t>48 (28 - 103)</t>
  </si>
  <si>
    <t>7 (7 - 12)</t>
  </si>
  <si>
    <t>94 (40 - 132)</t>
  </si>
  <si>
    <t>11 (8 - 23)</t>
  </si>
  <si>
    <t>59 (31 - 102)</t>
  </si>
  <si>
    <t>114 (67 - 212)</t>
  </si>
  <si>
    <t>9 (8 - 13)</t>
  </si>
  <si>
    <t>89 (60 - 158)</t>
  </si>
  <si>
    <t>48 (29 - 104)</t>
  </si>
  <si>
    <t>9 (9 - 14)</t>
  </si>
  <si>
    <t>80 (47 - 163)</t>
  </si>
  <si>
    <t>45 (27 - 84)</t>
  </si>
  <si>
    <t>5 (1 - 31)</t>
  </si>
  <si>
    <t>77 (42 - 128)</t>
  </si>
  <si>
    <t>68 (52 - 106)</t>
  </si>
  <si>
    <t>47 (25 - 82)</t>
  </si>
  <si>
    <t>76 (36 - 128)</t>
  </si>
  <si>
    <t>12 (5 - 14)</t>
  </si>
  <si>
    <t>111 (42 - 148)</t>
  </si>
  <si>
    <t>56 (35 - 110)</t>
  </si>
  <si>
    <t>67 (35 - 95)</t>
  </si>
  <si>
    <t>47 (30 - 85)</t>
  </si>
  <si>
    <t>53 (39 - 77)</t>
  </si>
  <si>
    <t>122 (65 - 190)</t>
  </si>
  <si>
    <t>8 (7 - 8)</t>
  </si>
  <si>
    <t>45 (28 - 90)</t>
  </si>
  <si>
    <t>35 (22 - 49)</t>
  </si>
  <si>
    <t>73 (46 - 138)</t>
  </si>
  <si>
    <t>63 (37 - 110)</t>
  </si>
  <si>
    <t>30 (11 - 76)</t>
  </si>
  <si>
    <t>4 (4 - 6)</t>
  </si>
  <si>
    <t>96 (68 - 131)</t>
  </si>
  <si>
    <t>40 (27 - 66)</t>
  </si>
  <si>
    <t>128 (57 - 186)</t>
  </si>
  <si>
    <t>46 (32 - 102)</t>
  </si>
  <si>
    <t>80 (42 - 124)</t>
  </si>
  <si>
    <t>103 (83 - 167)</t>
  </si>
  <si>
    <t>51 (30 - 91)</t>
  </si>
  <si>
    <t>60 (32 - 91)</t>
  </si>
  <si>
    <t>51 (27 - 76)</t>
  </si>
  <si>
    <t>64 (44 - 96)</t>
  </si>
  <si>
    <t>55 (33 - 102)</t>
  </si>
  <si>
    <t>56 (28 - 76)</t>
  </si>
  <si>
    <t>65 (52 - 141)</t>
  </si>
  <si>
    <t>10 (8 - 13)</t>
  </si>
  <si>
    <t>52 (30 - 91)</t>
  </si>
  <si>
    <t>39 (24 - 61)</t>
  </si>
  <si>
    <t>74 (28 - 99)</t>
  </si>
  <si>
    <t>7 (7 - 21)</t>
  </si>
  <si>
    <t>80 (39 - 119)</t>
  </si>
  <si>
    <t>7 (6 - 17)</t>
  </si>
  <si>
    <t>85 (53 - 132)</t>
  </si>
  <si>
    <t>87 (49 - 133)</t>
  </si>
  <si>
    <t>75 (42 - 126)</t>
  </si>
  <si>
    <t>91 (51 - 121)</t>
  </si>
  <si>
    <t>80 (52 - 113)</t>
  </si>
  <si>
    <t>75 (39 - 228)</t>
  </si>
  <si>
    <t>46 (27 - 100)</t>
  </si>
  <si>
    <t>15 (10 - 36)</t>
  </si>
  <si>
    <t>75 (47 - 142)</t>
  </si>
  <si>
    <t>7 (5 - 7)</t>
  </si>
  <si>
    <t>88 (66 - 136)</t>
  </si>
  <si>
    <t>9 (5 - 15)</t>
  </si>
  <si>
    <t>80 (55 - 116)</t>
  </si>
  <si>
    <t>45 (31 - 73)</t>
  </si>
  <si>
    <t>83 (47 - 127)</t>
  </si>
  <si>
    <t>80 (52 - 130)</t>
  </si>
  <si>
    <t>9 (7 - 20)</t>
  </si>
  <si>
    <t>69 (30 - 124)</t>
  </si>
  <si>
    <t>8 (8 - 12)</t>
  </si>
  <si>
    <t>79 (43 - 123)</t>
  </si>
  <si>
    <t>63 (42 - 90)</t>
  </si>
  <si>
    <t>56 (33 - 98)</t>
  </si>
  <si>
    <t>54 (28 - 65)</t>
  </si>
  <si>
    <t>10 (8 - 10)</t>
  </si>
  <si>
    <t>62 (36 - 89)</t>
  </si>
  <si>
    <t>73 (37 - 115)</t>
  </si>
  <si>
    <t>60 (35 - 103)</t>
  </si>
  <si>
    <t>5 (5 - 7)</t>
  </si>
  <si>
    <t>62 (34 - 120)</t>
  </si>
  <si>
    <t>75 (48 - 99)</t>
  </si>
  <si>
    <t>62 (30 - 85)</t>
  </si>
  <si>
    <t>42 (27 - 60)</t>
  </si>
  <si>
    <t>90 (41 - 135)</t>
  </si>
  <si>
    <t>47 (30 - 78)</t>
  </si>
  <si>
    <t>59 (21 - 144)</t>
  </si>
  <si>
    <t>3 (2 - 8)</t>
  </si>
  <si>
    <t>63 (33 - 89)</t>
  </si>
  <si>
    <t>77 (42 - 132)</t>
  </si>
  <si>
    <t>106 (71 - 155)</t>
  </si>
  <si>
    <t>80 (41 - 103)</t>
  </si>
  <si>
    <t>75 (54 - 144)</t>
  </si>
  <si>
    <t>11 (7 - 24)</t>
  </si>
  <si>
    <t>88 (64 - 151)</t>
  </si>
  <si>
    <t>62 (23 - 95)</t>
  </si>
  <si>
    <t>128 (86 - 190)</t>
  </si>
  <si>
    <t>11 (8 - 15)</t>
  </si>
  <si>
    <t>87 (43 - 135)</t>
  </si>
  <si>
    <t>13 (11 - 14)</t>
  </si>
  <si>
    <t>53 (21 - 83)</t>
  </si>
  <si>
    <t>95 (44 - 160)</t>
  </si>
  <si>
    <t>7 (6 - 9.5)</t>
  </si>
  <si>
    <t>50 (30 - 63)</t>
  </si>
  <si>
    <t>9 (7 - 10)</t>
  </si>
  <si>
    <t>69 (41 - 153)</t>
  </si>
  <si>
    <t>111 (35 - 161)</t>
  </si>
  <si>
    <t>51 (31 - 83)</t>
  </si>
  <si>
    <t>84 (36 - 128)</t>
  </si>
  <si>
    <t>57 (38 - 71)</t>
  </si>
  <si>
    <t>85 (39 - 120)</t>
  </si>
  <si>
    <t>8 (7 - 23)</t>
  </si>
  <si>
    <t>71 (40 - 97)</t>
  </si>
  <si>
    <t>55 (36 - 84)</t>
  </si>
  <si>
    <t>45 (31 - 62)</t>
  </si>
  <si>
    <t>67 (29 - 109)</t>
  </si>
  <si>
    <t>54 (31 - 91)</t>
  </si>
  <si>
    <t>40 (24 - 88)</t>
  </si>
  <si>
    <t>90 (50 - 174)</t>
  </si>
  <si>
    <t>78 (45 - 129)</t>
  </si>
  <si>
    <t>9 (7 - 18)</t>
  </si>
  <si>
    <t>60 (47 - 119)</t>
  </si>
  <si>
    <t>74 (9 - 222)</t>
  </si>
  <si>
    <t>5 (5 - 9)</t>
  </si>
  <si>
    <t>86 (59 - 134)</t>
  </si>
  <si>
    <t>8 (5 - 10)</t>
  </si>
  <si>
    <t>59 (42 - 99)</t>
  </si>
  <si>
    <t>61 (35 - 103)</t>
  </si>
  <si>
    <t>64 (32 - 128)</t>
  </si>
  <si>
    <t>58 (34 - 82)</t>
  </si>
  <si>
    <t>143 (98 - 220)</t>
  </si>
  <si>
    <t>56 (34 - 122)</t>
  </si>
  <si>
    <t>31 (24 - 76)</t>
  </si>
  <si>
    <t>82 (49 - 128)</t>
  </si>
  <si>
    <t>52 (27 - 96)</t>
  </si>
  <si>
    <t>57 (37 - 72)</t>
  </si>
  <si>
    <t>69 (36 - 133)</t>
  </si>
  <si>
    <t>11 (9 - 16)</t>
  </si>
  <si>
    <t>75 (41 - 99)</t>
  </si>
  <si>
    <t>47 (47 - 72)</t>
  </si>
  <si>
    <t>48 (24 - 94)</t>
  </si>
  <si>
    <t>41 (27 - 74)</t>
  </si>
  <si>
    <t>50 (34 - 88)</t>
  </si>
  <si>
    <t>59 (40 - 83)</t>
  </si>
  <si>
    <t>95 (60 - 113)</t>
  </si>
  <si>
    <t>8 (7 - 18)</t>
  </si>
  <si>
    <t>78 (35 - 123)</t>
  </si>
  <si>
    <t>55 (36 - 96)</t>
  </si>
  <si>
    <t>100 (63 - 140)</t>
  </si>
  <si>
    <t>3 (1 - 10)</t>
  </si>
  <si>
    <t>109 (62 - 167)</t>
  </si>
  <si>
    <t>25 (15 - 52)</t>
  </si>
  <si>
    <t>10 (4 - 12)</t>
  </si>
  <si>
    <t>132 (78 - 173)</t>
  </si>
  <si>
    <t>66 (38 - 106)</t>
  </si>
  <si>
    <t>84 (31 - 121)</t>
  </si>
  <si>
    <t>148 (92 - 234)</t>
  </si>
  <si>
    <t>140 (81 - 174)</t>
  </si>
  <si>
    <t>69 (29 - 114)</t>
  </si>
  <si>
    <t>9 (5 - 9)</t>
  </si>
  <si>
    <t>63 (34 - 125)</t>
  </si>
  <si>
    <t>8 (7 - 15)</t>
  </si>
  <si>
    <t>90 (66 - 145)</t>
  </si>
  <si>
    <t>58 (25 - 100)</t>
  </si>
  <si>
    <t>92 (53 - 151)</t>
  </si>
  <si>
    <t>70 (48 - 126)</t>
  </si>
  <si>
    <t>61 (35 - 90)</t>
  </si>
  <si>
    <t>54 (35 - 88)</t>
  </si>
  <si>
    <t>61 (38 - 72)</t>
  </si>
  <si>
    <t>65 (27 - 111)</t>
  </si>
  <si>
    <t>77 (42 - 111)</t>
  </si>
  <si>
    <t>64 (30 - 107)</t>
  </si>
  <si>
    <t>86 (60 - 123)</t>
  </si>
  <si>
    <t>54 (34 - 89)</t>
  </si>
  <si>
    <t>69 (41 - 138)</t>
  </si>
  <si>
    <t>63 (30 - 125)</t>
  </si>
  <si>
    <t>60 (22 - 134)</t>
  </si>
  <si>
    <t>61 (37 - 117)</t>
  </si>
  <si>
    <t>59 (41 - 101)</t>
  </si>
  <si>
    <t>Treated within 8 weeks lower CI</t>
  </si>
  <si>
    <t>Treated within 8 weeks upper CI</t>
  </si>
  <si>
    <t>Treated 8 weeks lower error bar</t>
  </si>
  <si>
    <t>Treated 8 weeks upper error bar</t>
  </si>
  <si>
    <t>Assessment to procedure rank</t>
  </si>
  <si>
    <t>Graph National Standard</t>
  </si>
  <si>
    <t>Treated national standard</t>
  </si>
  <si>
    <t>LQ Symproc</t>
  </si>
  <si>
    <t>LQ Error Bar Symproc</t>
  </si>
  <si>
    <t>UQ Symproc</t>
  </si>
  <si>
    <t>UQ Error Bar Symproc</t>
  </si>
  <si>
    <t>%14 Days LL</t>
  </si>
  <si>
    <t>%14 Days UL</t>
  </si>
  <si>
    <t>% 14 Days LL Error Bar</t>
  </si>
  <si>
    <t>% 14 Days UL Error Bar</t>
  </si>
  <si>
    <t>GraphData</t>
  </si>
  <si>
    <t>CLTI % within 5 days</t>
  </si>
  <si>
    <t>AKA:BKA Standard</t>
  </si>
  <si>
    <t>% of patients receiving surgery within 8 weeks of assessment</t>
  </si>
  <si>
    <t>% Treated within 8 weeks of assessment</t>
  </si>
  <si>
    <t>8 (3 - 16)</t>
  </si>
  <si>
    <t>3 (1 - 12)</t>
  </si>
  <si>
    <t>7 (2 - 12)</t>
  </si>
  <si>
    <t>% Adjusted in-hospital mortality (2018-2020)</t>
  </si>
  <si>
    <t>R0B</t>
  </si>
  <si>
    <t>South Tyneside and Sunderland NHS Foundation Trust</t>
  </si>
  <si>
    <t>9 (6 - 17)</t>
  </si>
  <si>
    <t>R0D</t>
  </si>
  <si>
    <t>University Hospitals Dorset NHS Foundation Trust</t>
  </si>
  <si>
    <t>9 (7 - 22)</t>
  </si>
  <si>
    <t>Mid and South Essex NHS Foundation Trust</t>
  </si>
  <si>
    <t>RBQ</t>
  </si>
  <si>
    <t>Liverpool Heart And Chest NHS Foundation Trust</t>
  </si>
  <si>
    <t>10 (9 - 14)</t>
  </si>
  <si>
    <t>8 (3 - 39)</t>
  </si>
  <si>
    <t>8 (2 - 31)</t>
  </si>
  <si>
    <t>7 (6 - 20)</t>
  </si>
  <si>
    <t>10 (7 - 10)</t>
  </si>
  <si>
    <t>18 (18 - 18)</t>
  </si>
  <si>
    <t>RH5</t>
  </si>
  <si>
    <t>Somerset NHS Foundation Trust</t>
  </si>
  <si>
    <t>11 (8 - 14)</t>
  </si>
  <si>
    <t>7 (7 - 7)</t>
  </si>
  <si>
    <t>10 (7 - 11)</t>
  </si>
  <si>
    <t>North Cumbria Integrated Care NHS Foundation Trust</t>
  </si>
  <si>
    <t>10 (9 - 12)</t>
  </si>
  <si>
    <t>1 (0 - 2)</t>
  </si>
  <si>
    <t>5 (4 - 5)</t>
  </si>
  <si>
    <t>8 (4 - 11)</t>
  </si>
  <si>
    <t>7 (6 - 21)</t>
  </si>
  <si>
    <t>13 (12 - 16)</t>
  </si>
  <si>
    <t>RYR</t>
  </si>
  <si>
    <t>University Hospital Sussex NHS Foundation Trust</t>
  </si>
  <si>
    <t>10 (9 - 16)</t>
  </si>
  <si>
    <t>19 (7 - 22)</t>
  </si>
  <si>
    <t>No. of open</t>
  </si>
  <si>
    <t>%EVAR</t>
  </si>
  <si>
    <t>%Open</t>
  </si>
  <si>
    <t>%EVAR Rank</t>
  </si>
  <si>
    <t>Quartiles plot value</t>
  </si>
  <si>
    <t>%EVAR value</t>
  </si>
  <si>
    <t>%EVAR rank</t>
  </si>
  <si>
    <t>All patients receiving surgery within 7 days of referral</t>
  </si>
  <si>
    <t>% Adjusted Stroke and/or death  rate (2018-2020)</t>
  </si>
  <si>
    <t>16 (12 - 36)</t>
  </si>
  <si>
    <t>14 (9 - 23)</t>
  </si>
  <si>
    <t>10 (8 - 15)</t>
  </si>
  <si>
    <t>11 (7 - 26)</t>
  </si>
  <si>
    <t>11 (9 - 14)</t>
  </si>
  <si>
    <t>14 (10 - 21)</t>
  </si>
  <si>
    <t>15 (7 - 35)</t>
  </si>
  <si>
    <t>14 (11 - 22)</t>
  </si>
  <si>
    <t>6 (3 - 15)</t>
  </si>
  <si>
    <t>15 (9 - 28)</t>
  </si>
  <si>
    <t>13 (8 - 20)</t>
  </si>
  <si>
    <t>14 (8 - 28)</t>
  </si>
  <si>
    <t>2 (1 - 8)</t>
  </si>
  <si>
    <t>22 (15 - 35)</t>
  </si>
  <si>
    <t>11 (7 - 18)</t>
  </si>
  <si>
    <t>16 (8 - 24)</t>
  </si>
  <si>
    <t>13 (10 - 15)</t>
  </si>
  <si>
    <t>26 (16 - 37)</t>
  </si>
  <si>
    <t>17 (11 - 27)</t>
  </si>
  <si>
    <t>12 (8 - 23)</t>
  </si>
  <si>
    <t>12 (7 - 34)</t>
  </si>
  <si>
    <t>12 (7 - 15)</t>
  </si>
  <si>
    <t>11 (6 - 15)</t>
  </si>
  <si>
    <t>11 (8 - 16)</t>
  </si>
  <si>
    <t>12 (6 - 16)</t>
  </si>
  <si>
    <t>15 (11 - 25)</t>
  </si>
  <si>
    <t>20 (18 - 20)</t>
  </si>
  <si>
    <t>5 (3 - 13)</t>
  </si>
  <si>
    <t>9 (7 - 19)</t>
  </si>
  <si>
    <t>15 (10 - 25)</t>
  </si>
  <si>
    <t>14 (7 - 33)</t>
  </si>
  <si>
    <t>10 (8 - 18)</t>
  </si>
  <si>
    <t>22 (13 - 33)</t>
  </si>
  <si>
    <t>11 (6 - 45)</t>
  </si>
  <si>
    <t>10 (4 - 24)</t>
  </si>
  <si>
    <t>16 (9 - 31)</t>
  </si>
  <si>
    <t>6 (4 - 9)</t>
  </si>
  <si>
    <t>4 (2 - 12)</t>
  </si>
  <si>
    <t>11 (6 - 17)</t>
  </si>
  <si>
    <t>21 (12 - 40)</t>
  </si>
  <si>
    <t>12 (8 - 18)</t>
  </si>
  <si>
    <t>13 (10 - 19)</t>
  </si>
  <si>
    <t>15 (12 - 20)</t>
  </si>
  <si>
    <t>10 (7 - 13)</t>
  </si>
  <si>
    <t>24 (17 - 51)</t>
  </si>
  <si>
    <t>11 (9 - 24)</t>
  </si>
  <si>
    <t>5 (4 - 9)</t>
  </si>
  <si>
    <t>12 (8 - 17)</t>
  </si>
  <si>
    <t>13 (7 - 25)</t>
  </si>
  <si>
    <t>NVR Cases 2019</t>
  </si>
  <si>
    <t>NVR Cases 2020</t>
  </si>
  <si>
    <t>NVR Cases 2018-2020</t>
  </si>
  <si>
    <t>Median (IQR delay from vascular assessment to ampuation (days) for non - elective admissions  2019</t>
  </si>
  <si>
    <t>Median (IQR delay from vascular assessment to ampuation (days) for non-elective admissions  2020</t>
  </si>
  <si>
    <t>Median (IQR) length of stay (days)  2019</t>
  </si>
  <si>
    <t>Median (IQR) length of stay (days)  2020</t>
  </si>
  <si>
    <t>AKA:BKA  2019</t>
  </si>
  <si>
    <t>AKA:BKA  2020</t>
  </si>
  <si>
    <t>% Consultant Present in Theatre 2019</t>
  </si>
  <si>
    <t>% Consultant Present in Theatre 2020</t>
  </si>
  <si>
    <t>% Prophylactic Antibiotics 2019</t>
  </si>
  <si>
    <t>% Prophylactic Antibiotics 2020</t>
  </si>
  <si>
    <t>% Adjusted 30 day in-hospital mortality 2018-2020</t>
  </si>
  <si>
    <t>12 (3  -  19)</t>
  </si>
  <si>
    <t>15 (5 - 30)</t>
  </si>
  <si>
    <t>23 (14 - 35)</t>
  </si>
  <si>
    <t>28 (20 - 41)</t>
  </si>
  <si>
    <t>8 (4  -  21)</t>
  </si>
  <si>
    <t>12 (5 - 22)</t>
  </si>
  <si>
    <t>22 (14 - 34)</t>
  </si>
  <si>
    <t>17 (11 - 34)</t>
  </si>
  <si>
    <t>6 (2  -  12)</t>
  </si>
  <si>
    <t>7 (2 - 16)</t>
  </si>
  <si>
    <t>38 (22 - 64)</t>
  </si>
  <si>
    <t>28 (13 - 48)</t>
  </si>
  <si>
    <t>6 (3  -  11)</t>
  </si>
  <si>
    <t>29 (18 - 48)</t>
  </si>
  <si>
    <t>14 (9 - 22)</t>
  </si>
  <si>
    <t>7 (3 - 17)</t>
  </si>
  <si>
    <t>4 (2 - 18)</t>
  </si>
  <si>
    <t>29 (20 - 45)</t>
  </si>
  <si>
    <t>17 (11 - 30)</t>
  </si>
  <si>
    <t>6 (2 - 14)</t>
  </si>
  <si>
    <t>7 (3 - 19)</t>
  </si>
  <si>
    <t>30 (21 - 56)</t>
  </si>
  <si>
    <t>20 (13 - 35)</t>
  </si>
  <si>
    <t>16 (10 - 21)</t>
  </si>
  <si>
    <t>17 (13 - 26)</t>
  </si>
  <si>
    <t>10 (2 - 30)</t>
  </si>
  <si>
    <t>8 (3 - 29)</t>
  </si>
  <si>
    <t>39 (28 - 69)</t>
  </si>
  <si>
    <t>30 (17 - 50)</t>
  </si>
  <si>
    <t>9 (4 - 18)</t>
  </si>
  <si>
    <t>6 (4 - 17)</t>
  </si>
  <si>
    <t>24 (16 - 29)</t>
  </si>
  <si>
    <t>22 (16 - 41)</t>
  </si>
  <si>
    <t>8 (3 - 13)</t>
  </si>
  <si>
    <t>27 (17 - 42)</t>
  </si>
  <si>
    <t>26 (12 - 33)</t>
  </si>
  <si>
    <t>11 (3 - 36)</t>
  </si>
  <si>
    <t>4 (1 - 15)</t>
  </si>
  <si>
    <t>22 (14 - 33)</t>
  </si>
  <si>
    <t>16 (9 - 21)</t>
  </si>
  <si>
    <t>9 (4 - 31)</t>
  </si>
  <si>
    <t>10 (5 - 26)</t>
  </si>
  <si>
    <t>30 (20 - 45)</t>
  </si>
  <si>
    <t>21 (13 - 30)</t>
  </si>
  <si>
    <t>16 (10 - 23)</t>
  </si>
  <si>
    <t>11 (4 - 124)</t>
  </si>
  <si>
    <t>4 (1 - 16)</t>
  </si>
  <si>
    <t>15 (9 - 27)</t>
  </si>
  <si>
    <t>20 (13 - 36)</t>
  </si>
  <si>
    <t>11 (4 - 30)</t>
  </si>
  <si>
    <t>4 (3 - 17)</t>
  </si>
  <si>
    <t>26 (16 - 36)</t>
  </si>
  <si>
    <t>7 (3 - 28)</t>
  </si>
  <si>
    <t>34 (17 - 54)</t>
  </si>
  <si>
    <t>21 (15 - 31)</t>
  </si>
  <si>
    <t>12 (6 - 26)</t>
  </si>
  <si>
    <t>5 (2 - 21)</t>
  </si>
  <si>
    <t>14 (12 - 28)</t>
  </si>
  <si>
    <t>18 (11 - 27)</t>
  </si>
  <si>
    <t>10 (4 - 18)</t>
  </si>
  <si>
    <t>31 (18 - 54)</t>
  </si>
  <si>
    <t>27 (15 - 43)</t>
  </si>
  <si>
    <t>6 (2 - 18)</t>
  </si>
  <si>
    <t>6 (2 - 27)</t>
  </si>
  <si>
    <t>46 (28 - 81)</t>
  </si>
  <si>
    <t>33 (21 - 56)</t>
  </si>
  <si>
    <t>16 (10 - 24)</t>
  </si>
  <si>
    <t>18 (12 - 27)</t>
  </si>
  <si>
    <t>10 (3 - 13)</t>
  </si>
  <si>
    <t>5 (1 - 35)</t>
  </si>
  <si>
    <t>24 (21 - 31)</t>
  </si>
  <si>
    <t>17 (11 - 25)</t>
  </si>
  <si>
    <t>7 (5 - 29)</t>
  </si>
  <si>
    <t>22 (12 - 32)</t>
  </si>
  <si>
    <t>21 (13 - 36)</t>
  </si>
  <si>
    <t>7 (7 - 42)</t>
  </si>
  <si>
    <t>15 (11 - 33)</t>
  </si>
  <si>
    <t>24 (17 - 30)</t>
  </si>
  <si>
    <t>7 (3 - 26)</t>
  </si>
  <si>
    <t>55 (35 - 75)</t>
  </si>
  <si>
    <t>48 (29 - 66)</t>
  </si>
  <si>
    <t>18 (9 - 31)</t>
  </si>
  <si>
    <t>18 (10 - 24)</t>
  </si>
  <si>
    <t>5 (1 - 10)</t>
  </si>
  <si>
    <t>26 (17 - 43)</t>
  </si>
  <si>
    <t>19 (12 - 32)</t>
  </si>
  <si>
    <t>7 (2 - 17)</t>
  </si>
  <si>
    <t>22 (14 - 32)</t>
  </si>
  <si>
    <t>21 (12 - 30)</t>
  </si>
  <si>
    <t>58 (33 - 61)</t>
  </si>
  <si>
    <t>28 (25 - 40)</t>
  </si>
  <si>
    <t>13 (5 - 25)</t>
  </si>
  <si>
    <t>12 (4 - 41)</t>
  </si>
  <si>
    <t>16 (10 - 28)</t>
  </si>
  <si>
    <t>12 (9 - 20)</t>
  </si>
  <si>
    <t>9 (4 - 28)</t>
  </si>
  <si>
    <t>17 (9 - 38)</t>
  </si>
  <si>
    <t>19 (11 - 33)</t>
  </si>
  <si>
    <t>6 (3 - 21)</t>
  </si>
  <si>
    <t>10 (4 - 34)</t>
  </si>
  <si>
    <t>15 (10 - 23)</t>
  </si>
  <si>
    <t>15 (8 - 25)</t>
  </si>
  <si>
    <t>6 (3 - 23)</t>
  </si>
  <si>
    <t>23 (15 - 33)</t>
  </si>
  <si>
    <t>20 (10 - 36)</t>
  </si>
  <si>
    <t>23 (14 - 33)</t>
  </si>
  <si>
    <t>17 (9 - 31)</t>
  </si>
  <si>
    <t>13 (2 - 18)</t>
  </si>
  <si>
    <t>16 (9 - 39)</t>
  </si>
  <si>
    <t>3 (2 - 9)</t>
  </si>
  <si>
    <t>13 (7 - 16)</t>
  </si>
  <si>
    <t>27 (23 - 30)</t>
  </si>
  <si>
    <t>13 (8 - 32)</t>
  </si>
  <si>
    <t>7 (2 - 9)</t>
  </si>
  <si>
    <t>54 (34 - 74)</t>
  </si>
  <si>
    <t>23 (13 - 29)</t>
  </si>
  <si>
    <t>5 (2 - 11)</t>
  </si>
  <si>
    <t>16 (11 - 30)</t>
  </si>
  <si>
    <t>18 (12 - 25)</t>
  </si>
  <si>
    <t>6 (2 - 16)</t>
  </si>
  <si>
    <t>25 (14 - 46)</t>
  </si>
  <si>
    <t>7 (2 - 10)</t>
  </si>
  <si>
    <t>7 (3 - 27)</t>
  </si>
  <si>
    <t>24 (14 - 34)</t>
  </si>
  <si>
    <t>17 (12 - 24)</t>
  </si>
  <si>
    <t>15 (12 - 23)</t>
  </si>
  <si>
    <t>13 (10 - 32)</t>
  </si>
  <si>
    <t>17 (12 - 28)</t>
  </si>
  <si>
    <t>15 (10 - 19)</t>
  </si>
  <si>
    <t>6 (3 - 20)</t>
  </si>
  <si>
    <t>5 (2 - 14)</t>
  </si>
  <si>
    <t>26 (12 - 37)</t>
  </si>
  <si>
    <t>13 (7 - 24)</t>
  </si>
  <si>
    <t>7 (3 - 14)</t>
  </si>
  <si>
    <t>8 (3 - 26)</t>
  </si>
  <si>
    <t>19 (14 - 28)</t>
  </si>
  <si>
    <t>14 (11 - 24)</t>
  </si>
  <si>
    <t>7 (3 - 16)</t>
  </si>
  <si>
    <t>16 (9 - 34)</t>
  </si>
  <si>
    <t>12 (9 - 21)</t>
  </si>
  <si>
    <t>9 (3 - 17)</t>
  </si>
  <si>
    <t>9 (5 - 25)</t>
  </si>
  <si>
    <t>20 (11 - 32)</t>
  </si>
  <si>
    <t>25 (15 - 35)</t>
  </si>
  <si>
    <t>28 (16 - 47)</t>
  </si>
  <si>
    <t>20 (13 - 33)</t>
  </si>
  <si>
    <t>9 (4 - 44)</t>
  </si>
  <si>
    <t>10 (4 - 32)</t>
  </si>
  <si>
    <t>16 (11 - 23)</t>
  </si>
  <si>
    <t>12 (4 - 25)</t>
  </si>
  <si>
    <t>24 (15 - 35)</t>
  </si>
  <si>
    <t>20 (10 - 30)</t>
  </si>
  <si>
    <t>9 (3 - 28)</t>
  </si>
  <si>
    <t>7 (3 - 18)</t>
  </si>
  <si>
    <t>16 (11 - 22)</t>
  </si>
  <si>
    <t>13 (7 - 15)</t>
  </si>
  <si>
    <t>5 (5 - 5)</t>
  </si>
  <si>
    <t>9 (3 - 31)</t>
  </si>
  <si>
    <t>12 (8 - 16)</t>
  </si>
  <si>
    <t>18 (12 - 49)</t>
  </si>
  <si>
    <t>6 (2 - 15)</t>
  </si>
  <si>
    <t>16 (12 - 41)</t>
  </si>
  <si>
    <t>20 (12 - 32)</t>
  </si>
  <si>
    <t>14 (11 - 28)</t>
  </si>
  <si>
    <t>5 (2 - 15)</t>
  </si>
  <si>
    <t>19 (12 - 31)</t>
  </si>
  <si>
    <t>22 (11 - 36)</t>
  </si>
  <si>
    <t>25 (17 - 41)</t>
  </si>
  <si>
    <t>19 (11 - 32)</t>
  </si>
  <si>
    <t>7 (2 - 15)</t>
  </si>
  <si>
    <t>7 (2 - 29)</t>
  </si>
  <si>
    <t>22 (14 - 36)</t>
  </si>
  <si>
    <t>16 (11 - 27)</t>
  </si>
  <si>
    <t>5 (2 - 26)</t>
  </si>
  <si>
    <t>21 (13 - 28)</t>
  </si>
  <si>
    <t>15 (10 - 18)</t>
  </si>
  <si>
    <t>11 (2 - 30)</t>
  </si>
  <si>
    <t>9 (1 - 19)</t>
  </si>
  <si>
    <t>33 (28 - 57)</t>
  </si>
  <si>
    <t>26 (16 - 39)</t>
  </si>
  <si>
    <t>11 (4 - 38)</t>
  </si>
  <si>
    <t>18 (11 - 34)</t>
  </si>
  <si>
    <t>17 (12 - 26)</t>
  </si>
  <si>
    <t>73 (73 - 73)</t>
  </si>
  <si>
    <t>36 (19 - 74)</t>
  </si>
  <si>
    <t>4 (1 - 9)</t>
  </si>
  <si>
    <t>35 (23 - 48)</t>
  </si>
  <si>
    <t>30 (10 - 89)</t>
  </si>
  <si>
    <t>11 (3 - 33)</t>
  </si>
  <si>
    <t>31 (18 - 62)</t>
  </si>
  <si>
    <t>29 (16 - 46)</t>
  </si>
  <si>
    <t>28 (23 - 34)</t>
  </si>
  <si>
    <t>13 (13 - 13)</t>
  </si>
  <si>
    <t>SY999</t>
  </si>
  <si>
    <t>NHS Dumfries and Galloway</t>
  </si>
  <si>
    <t>11 (4 - 31)</t>
  </si>
  <si>
    <t>18 (11 - 26)</t>
  </si>
  <si>
    <t>14 (8 - 23)</t>
  </si>
  <si>
    <t>Consultant present in theatre 2020 quartile</t>
  </si>
  <si>
    <t>Consultant present in theatre 2019 quartile</t>
  </si>
  <si>
    <t>Prophylactic antibiotics 2020 quartile</t>
  </si>
  <si>
    <t>Prophylactic antibiotics 2019 quartile</t>
  </si>
  <si>
    <t>NVR Cases in 2020</t>
  </si>
  <si>
    <t>Median (IQR delay from vascular assessment to ampuation (days) for non-elective admissions (2020)</t>
  </si>
  <si>
    <t>AKA:BKA
(2020)</t>
  </si>
  <si>
    <t>% Consultant Present in Theatre
(2020)</t>
  </si>
  <si>
    <t>% Prophylactic Antibiotics (2020)</t>
  </si>
  <si>
    <t>Adjusted 30 day in-hospital mortality
(2018-2020)</t>
  </si>
  <si>
    <t>7 (3-17)</t>
  </si>
  <si>
    <t>19 (11-32)</t>
  </si>
  <si>
    <t>Median (IQR) length of stay (days)
(2020)</t>
  </si>
  <si>
    <t>Med Assessment to amputation 2020</t>
  </si>
  <si>
    <t>LQ Assessment to amputation 2020</t>
  </si>
  <si>
    <t>LQ Error Assessment to amputation 2020</t>
  </si>
  <si>
    <t>UQ Assessment to amputation 2020</t>
  </si>
  <si>
    <t>UQ Error Assessment to amputation 2020</t>
  </si>
  <si>
    <t>Assessment to amputation rank 2020</t>
  </si>
  <si>
    <t>Med Assessment to amputation 2019</t>
  </si>
  <si>
    <t>LQ Assessment to amputation 2019</t>
  </si>
  <si>
    <t>LQ Error Assessment to amputation 2019</t>
  </si>
  <si>
    <t>UQ Assessment to amputation 2019</t>
  </si>
  <si>
    <t>UQ Error Assessment to amputation 2019</t>
  </si>
  <si>
    <t>Assessment to amputation rank 2019</t>
  </si>
  <si>
    <t>Plot 1 Value</t>
  </si>
  <si>
    <t>Plot 1 LQErrorBar</t>
  </si>
  <si>
    <t>Plot 1 UQErrorBar</t>
  </si>
  <si>
    <t>Plot 1 Trust N</t>
  </si>
  <si>
    <t>EVARUpperErrorBar</t>
  </si>
  <si>
    <t>EVARLowerErrorBar</t>
  </si>
  <si>
    <t>Trust Code</t>
  </si>
  <si>
    <t>NVR cases 2018-2020</t>
  </si>
  <si>
    <t>NVR cases 2018</t>
  </si>
  <si>
    <t>NVR cases 2019</t>
  </si>
  <si>
    <t>NVR cases 2020</t>
  </si>
  <si>
    <t>Median (IQR) length of stay (days) 2019</t>
  </si>
  <si>
    <t>Median (IQR) length of stay (days) 2020</t>
  </si>
  <si>
    <t>No. elective cases 2019</t>
  </si>
  <si>
    <t>Day Cases 2019</t>
  </si>
  <si>
    <t>No elective cases 2020</t>
  </si>
  <si>
    <t>Day Cases 2020</t>
  </si>
  <si>
    <t>CLTI cases 2019</t>
  </si>
  <si>
    <t>CLTI waiting tIme (IQR) (days) 2019</t>
  </si>
  <si>
    <t>Treated within 5 days 2019</t>
  </si>
  <si>
    <t>CLTI cases 2020</t>
  </si>
  <si>
    <t>CLTI waiting tIme (IQR) (days) 2020</t>
  </si>
  <si>
    <t>Treated within 5 days 2020</t>
  </si>
  <si>
    <t>Readmission denominator 2019</t>
  </si>
  <si>
    <t>30-day readmission 2019</t>
  </si>
  <si>
    <t>Readmission denominator 2020</t>
  </si>
  <si>
    <t>30-day readmission 2020</t>
  </si>
  <si>
    <t>10 (1 - 24)</t>
  </si>
  <si>
    <t>6 (1 - 14)</t>
  </si>
  <si>
    <t>8 (6 - 12)</t>
  </si>
  <si>
    <t>10 (5 - 12)</t>
  </si>
  <si>
    <t>3.5 (1 - 13)</t>
  </si>
  <si>
    <t>8 (1 - 30)</t>
  </si>
  <si>
    <t>4 (1 - 13)</t>
  </si>
  <si>
    <t>1 (0 - 6)</t>
  </si>
  <si>
    <t>8 (1 - 17.5)</t>
  </si>
  <si>
    <t>2 (0 - 6)</t>
  </si>
  <si>
    <t>8 (0 - 23)</t>
  </si>
  <si>
    <t>8 (1 - 19)</t>
  </si>
  <si>
    <t>5 (1 - 22)</t>
  </si>
  <si>
    <t>2 (0 - 5)</t>
  </si>
  <si>
    <t>4 (0 - 6)</t>
  </si>
  <si>
    <t>1 (1 - 7)</t>
  </si>
  <si>
    <t>8 (6 - 17)</t>
  </si>
  <si>
    <t>7 (1 - 17)</t>
  </si>
  <si>
    <t>0 (0 - 6.5)</t>
  </si>
  <si>
    <t>1 (0 - 12)</t>
  </si>
  <si>
    <t>2 (1 - 14)</t>
  </si>
  <si>
    <t>2 (0 - 15)</t>
  </si>
  <si>
    <t>2 (0 - 17)</t>
  </si>
  <si>
    <t>5 (1 - 13)</t>
  </si>
  <si>
    <t>6 (1 - 15)</t>
  </si>
  <si>
    <t>3 (0 - 5)</t>
  </si>
  <si>
    <t>1 (1 - 11)</t>
  </si>
  <si>
    <t>3 (2 - 16)</t>
  </si>
  <si>
    <t>0 (0 - 9)</t>
  </si>
  <si>
    <t>5 (3 - 12)</t>
  </si>
  <si>
    <t>2 (1 - 19)</t>
  </si>
  <si>
    <t>2 (1 - 18)</t>
  </si>
  <si>
    <t>5 (0 - 12)</t>
  </si>
  <si>
    <t>5 (3 - 14)</t>
  </si>
  <si>
    <t>2 (0 - 4)</t>
  </si>
  <si>
    <t>1 (1 - 20)</t>
  </si>
  <si>
    <t>4 (0 - 18)</t>
  </si>
  <si>
    <t>0 (0 - 10)</t>
  </si>
  <si>
    <t>6 (5 - 12)</t>
  </si>
  <si>
    <t>NVR cases
2020</t>
  </si>
  <si>
    <t>Day Cases
2020</t>
  </si>
  <si>
    <t>Median (IQR) length of stay (days)
2020</t>
  </si>
  <si>
    <t>% Adjusted in-hospital mortality
2018-2020</t>
  </si>
  <si>
    <t>Readmission within 30 days
2020</t>
  </si>
  <si>
    <t>CLTI waiting time cases
2020</t>
  </si>
  <si>
    <t>Median (IQR) CLTI waiting time (days)
2020</t>
  </si>
  <si>
    <t>% CLTI treated within 5 days
2020</t>
  </si>
  <si>
    <t>NVR cases
2018-2020</t>
  </si>
  <si>
    <t>Graph Rank</t>
  </si>
  <si>
    <t>Graph Value 2020</t>
  </si>
  <si>
    <t>Graph Value 2019</t>
  </si>
  <si>
    <t>% Day Cases</t>
  </si>
  <si>
    <t>Plot N</t>
  </si>
  <si>
    <t>Plot 2020</t>
  </si>
  <si>
    <t>Plot 2019</t>
  </si>
  <si>
    <t>CLTI % Within 5 days 2020 for graph</t>
  </si>
  <si>
    <t>CLTI % Within 5 days 2019 for graph</t>
  </si>
  <si>
    <t>% Day Cases 2020 for graph</t>
  </si>
  <si>
    <t>% Day Cases 2019 for graph</t>
  </si>
  <si>
    <t>2020UpperErrorBar</t>
  </si>
  <si>
    <t>2020LowerErrorBar</t>
  </si>
  <si>
    <t>Graph1 L ErrorBar</t>
  </si>
  <si>
    <t>Graph1 U ErrorBar</t>
  </si>
  <si>
    <t>AKA:BKA2020LowerErrorBar</t>
  </si>
  <si>
    <t>AKA:BKA2020UpperErrorBar</t>
  </si>
  <si>
    <t>AKA:BKA 2020
Rank</t>
  </si>
  <si>
    <t>Plot 2 Value</t>
  </si>
  <si>
    <t>Plot 2 Trust N</t>
  </si>
  <si>
    <t>Plot 2 LErrorBar</t>
  </si>
  <si>
    <t>Plot 2 UErrorBar</t>
  </si>
  <si>
    <t>PlotLErrorBar</t>
  </si>
  <si>
    <t>PlotUErrorBar</t>
  </si>
  <si>
    <t>% Readmission within  30 days</t>
  </si>
  <si>
    <t>14 (7 - 24)</t>
  </si>
  <si>
    <t>13 (6 - 22)</t>
  </si>
  <si>
    <t>12 (5 - 25)</t>
  </si>
  <si>
    <t>8 (4 - 23)</t>
  </si>
  <si>
    <t>7 (4 - 17)</t>
  </si>
  <si>
    <t>9 (5 - 21)</t>
  </si>
  <si>
    <t>7 (3 - 13)</t>
  </si>
  <si>
    <t>13 (7 - 26)</t>
  </si>
  <si>
    <t>9 (4 - 15)</t>
  </si>
  <si>
    <t>8 (5 - 17)</t>
  </si>
  <si>
    <t>NA</t>
  </si>
  <si>
    <t>12 (6 - 24)</t>
  </si>
  <si>
    <t>9 (4 - 17)</t>
  </si>
  <si>
    <t>8 (5 - 15)</t>
  </si>
  <si>
    <t>9 (5 - 22)</t>
  </si>
  <si>
    <t>11 (7 - 21)</t>
  </si>
  <si>
    <t>9 (5 - 18)</t>
  </si>
  <si>
    <t>8 (5 - 18)</t>
  </si>
  <si>
    <t xml:space="preserve">Bypass CLTI cases 2019 </t>
  </si>
  <si>
    <t>Bypass CLTI waiting tIme (IQR) (days) 2019</t>
  </si>
  <si>
    <t>Bypass treated within 5 days 2019</t>
  </si>
  <si>
    <t>Bypass CLTI cases 2020</t>
  </si>
  <si>
    <t>Bypass CLTI waiting tIme (IQR) (days) 2020</t>
  </si>
  <si>
    <t>Bypass treated within 5 days 2020</t>
  </si>
  <si>
    <t>12 (9 - 16)</t>
  </si>
  <si>
    <t>4 (1 - 5)</t>
  </si>
  <si>
    <t>5 (1.5 - 9)</t>
  </si>
  <si>
    <t>7 (6 - 15)</t>
  </si>
  <si>
    <t>4 (0 - 12)</t>
  </si>
  <si>
    <t>6 (1 - 12)</t>
  </si>
  <si>
    <t>5 (4 - 6)</t>
  </si>
  <si>
    <t>6 (1 - 8)</t>
  </si>
  <si>
    <t>5 (0 - 8)</t>
  </si>
  <si>
    <t>6 (2 - 6)</t>
  </si>
  <si>
    <t>8 (3 - 10)</t>
  </si>
  <si>
    <t>10 (6 - 15)</t>
  </si>
  <si>
    <t>8 (4 - 24)</t>
  </si>
  <si>
    <t>6 (2 - 19)</t>
  </si>
  <si>
    <t>9 (3 - 21)</t>
  </si>
  <si>
    <t>6 (2 - 7)</t>
  </si>
  <si>
    <t>4 (1 - 6)</t>
  </si>
  <si>
    <t>7 (2 - 11)</t>
  </si>
  <si>
    <t>6 (0 - 8)</t>
  </si>
  <si>
    <t>3 (0 - 9)</t>
  </si>
  <si>
    <t>6 (4 - 8)</t>
  </si>
  <si>
    <t>6 (3 - 7)</t>
  </si>
  <si>
    <t>7 (3 - 8)</t>
  </si>
  <si>
    <t>4 (1 - 8)</t>
  </si>
  <si>
    <t>8 (5 - 21)</t>
  </si>
  <si>
    <t>4 (1 - 12)</t>
  </si>
  <si>
    <t>CLTI waiting time cases 2020</t>
  </si>
  <si>
    <t>% CLTI treated within 5 days 2020</t>
  </si>
  <si>
    <t>2020 CLTI %&lt;5Days</t>
  </si>
  <si>
    <t>2020 Rank</t>
  </si>
  <si>
    <t>L ErrorBar</t>
  </si>
  <si>
    <t>U ErrorBar</t>
  </si>
  <si>
    <t>CLTI Rank</t>
  </si>
  <si>
    <t>CLTI Upper Error Bar</t>
  </si>
  <si>
    <t>CLTI Lower Error Bar</t>
  </si>
  <si>
    <t>Median (IQR) length of stay (days)
2018-2020</t>
  </si>
  <si>
    <t>% Adjusted in-hospital mortality 2018-2020</t>
  </si>
  <si>
    <t>Readmission within 30 days
2018-2020</t>
  </si>
  <si>
    <t>4 (2 -8)</t>
  </si>
  <si>
    <t>All CLTI cases 2019</t>
  </si>
  <si>
    <t>All CLTI cases 2020</t>
  </si>
  <si>
    <t>7 (5 - 11)</t>
  </si>
  <si>
    <t>8 (2 - 21)</t>
  </si>
  <si>
    <t>4 (1 - 11)</t>
  </si>
  <si>
    <t>3 (0 - 8)</t>
  </si>
  <si>
    <t>2 (0 - 7)</t>
  </si>
  <si>
    <t>5 (0 - 7)</t>
  </si>
  <si>
    <t>Milton Keynes Hospital NHS Foundation Trust</t>
  </si>
  <si>
    <t>8 (5 - 12)</t>
  </si>
  <si>
    <t>6 (1 - 9)</t>
  </si>
  <si>
    <t>6 (2 - 8)</t>
  </si>
  <si>
    <t>5 (2 - 13)</t>
  </si>
  <si>
    <t>6 (1 - 17)</t>
  </si>
  <si>
    <t>8 (3 - 20)</t>
  </si>
  <si>
    <t>8 (2 - 11)</t>
  </si>
  <si>
    <t>6 (2 - 12)</t>
  </si>
  <si>
    <t>7 (3 - 9)</t>
  </si>
  <si>
    <t>All revascularisations procedures treated within 5 days 2019</t>
  </si>
  <si>
    <t>All revascularisations procedures treated within 5 days 2020</t>
  </si>
  <si>
    <t>CLTI waiting tIme (IQR) (days) 
2020</t>
  </si>
  <si>
    <t>CLTI waiting time cases 2019</t>
  </si>
  <si>
    <t>CLTI waiting tIme (IQR) (days) 
2019</t>
  </si>
  <si>
    <t>% CLTI treated within 5 days 2019</t>
  </si>
  <si>
    <t>Total lower limb revascularisation procedures
2019-2020</t>
  </si>
  <si>
    <t>Lower limb bypasses
2019-2020</t>
  </si>
  <si>
    <t>Hybrid lower limb procedures
2019-2020</t>
  </si>
  <si>
    <t>Lower limb angioplasties
2019-2020</t>
  </si>
  <si>
    <t>Angios 2019-2020</t>
  </si>
  <si>
    <t>Bypasses 2019-2020</t>
  </si>
  <si>
    <t>Hybrids 2019-2020</t>
  </si>
  <si>
    <t>Total Revasc</t>
  </si>
  <si>
    <t>% Open</t>
  </si>
  <si>
    <t>% Hybrid</t>
  </si>
  <si>
    <t>% Endovascular</t>
  </si>
  <si>
    <t>Show in plot?</t>
  </si>
  <si>
    <t>Order</t>
  </si>
  <si>
    <t>Revasc TrustN</t>
  </si>
  <si>
    <t>Trust % Open</t>
  </si>
  <si>
    <t>Trust % Hybrid</t>
  </si>
  <si>
    <t>Trust % Endo</t>
  </si>
  <si>
    <t>Risk-adjusted in-hospital mortality (2018-2020)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</si>
</sst>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\%"/>
  </numFmts>
  <fonts count="1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2" fillId="0" borderId="0"/>
    <xf numFmtId="0" fontId="12" fillId="0" borderId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NumberFormat="1"/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164" fontId="0" fillId="0" borderId="2" xfId="0" applyNumberFormat="1" applyBorder="1"/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1" fillId="0" borderId="0" xfId="0" applyFont="1"/>
    <xf numFmtId="0" fontId="7" fillId="2" borderId="0" xfId="0" applyFont="1" applyFill="1"/>
    <xf numFmtId="0" fontId="9" fillId="0" borderId="0" xfId="0" applyFont="1" applyFill="1" applyBorder="1" applyAlignment="1">
      <alignment horizontal="center" vertical="center"/>
    </xf>
    <xf numFmtId="165" fontId="0" fillId="0" borderId="0" xfId="0" applyNumberFormat="1"/>
    <xf numFmtId="0" fontId="9" fillId="0" borderId="0" xfId="0" applyFont="1" applyBorder="1" applyAlignment="1">
      <alignment horizontal="center" vertical="center" wrapText="1"/>
    </xf>
    <xf numFmtId="10" fontId="0" fillId="0" borderId="0" xfId="0" applyNumberFormat="1"/>
    <xf numFmtId="0" fontId="1" fillId="0" borderId="0" xfId="0" applyFont="1" applyAlignment="1">
      <alignment wrapText="1"/>
    </xf>
    <xf numFmtId="9" fontId="10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/>
    <xf numFmtId="9" fontId="0" fillId="0" borderId="2" xfId="0" applyNumberFormat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2" fontId="0" fillId="0" borderId="2" xfId="0" applyNumberFormat="1" applyBorder="1" applyAlignment="1">
      <alignment horizontal="right"/>
    </xf>
    <xf numFmtId="0" fontId="1" fillId="0" borderId="0" xfId="0" applyFont="1" applyFill="1" applyAlignment="1">
      <alignment wrapText="1"/>
    </xf>
    <xf numFmtId="9" fontId="10" fillId="0" borderId="0" xfId="0" applyNumberFormat="1" applyFont="1" applyFill="1"/>
    <xf numFmtId="0" fontId="10" fillId="0" borderId="0" xfId="0" applyNumberFormat="1" applyFont="1"/>
    <xf numFmtId="164" fontId="10" fillId="0" borderId="0" xfId="0" applyNumberFormat="1" applyFont="1"/>
    <xf numFmtId="0" fontId="13" fillId="0" borderId="0" xfId="0" applyFont="1"/>
    <xf numFmtId="0" fontId="14" fillId="0" borderId="0" xfId="0" applyFont="1"/>
    <xf numFmtId="0" fontId="10" fillId="0" borderId="0" xfId="0" applyFont="1" applyBorder="1" applyAlignment="1">
      <alignment horizontal="right" vertical="center"/>
    </xf>
    <xf numFmtId="9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10" fontId="10" fillId="0" borderId="0" xfId="0" applyNumberFormat="1" applyFont="1"/>
    <xf numFmtId="3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/>
    <xf numFmtId="9" fontId="10" fillId="0" borderId="2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9" fontId="0" fillId="0" borderId="0" xfId="0" applyNumberFormat="1"/>
    <xf numFmtId="9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/>
    <xf numFmtId="0" fontId="3" fillId="0" borderId="1" xfId="0" applyFont="1" applyBorder="1" applyAlignment="1">
      <alignment vertical="center" wrapText="1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9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1" fontId="0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2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9" fontId="5" fillId="0" borderId="0" xfId="3" applyNumberFormat="1" applyFont="1" applyAlignment="1">
      <alignment horizontal="center"/>
    </xf>
    <xf numFmtId="164" fontId="5" fillId="0" borderId="0" xfId="3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0" fillId="0" borderId="2" xfId="0" applyNumberFormat="1" applyFont="1" applyBorder="1"/>
    <xf numFmtId="0" fontId="0" fillId="0" borderId="2" xfId="0" applyFont="1" applyBorder="1" applyAlignment="1">
      <alignment horizontal="righ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164" fontId="8" fillId="0" borderId="0" xfId="3" applyNumberFormat="1" applyFont="1" applyAlignment="1">
      <alignment horizontal="center" vertical="center" wrapText="1"/>
    </xf>
    <xf numFmtId="9" fontId="8" fillId="0" borderId="0" xfId="3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4" borderId="0" xfId="0" applyFill="1"/>
    <xf numFmtId="9" fontId="0" fillId="0" borderId="2" xfId="0" applyNumberFormat="1" applyFont="1" applyBorder="1" applyAlignment="1">
      <alignment horizontal="right"/>
    </xf>
    <xf numFmtId="9" fontId="0" fillId="0" borderId="2" xfId="0" applyNumberFormat="1" applyFont="1" applyBorder="1" applyAlignment="1">
      <alignment horizontal="center"/>
    </xf>
    <xf numFmtId="0" fontId="10" fillId="0" borderId="0" xfId="0" applyNumberFormat="1" applyFont="1" applyFill="1"/>
    <xf numFmtId="0" fontId="8" fillId="0" borderId="0" xfId="3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3" fontId="0" fillId="0" borderId="2" xfId="0" applyNumberFormat="1" applyFont="1" applyBorder="1" applyAlignment="1">
      <alignment horizontal="right"/>
    </xf>
    <xf numFmtId="10" fontId="0" fillId="0" borderId="0" xfId="0" applyNumberFormat="1" applyFont="1"/>
    <xf numFmtId="0" fontId="18" fillId="0" borderId="0" xfId="0" applyFont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1" fillId="0" borderId="0" xfId="0" applyNumberFormat="1" applyFont="1"/>
    <xf numFmtId="0" fontId="11" fillId="0" borderId="0" xfId="0" applyFont="1" applyBorder="1"/>
    <xf numFmtId="0" fontId="0" fillId="0" borderId="0" xfId="0" applyAlignment="1">
      <alignment horizontal="left"/>
    </xf>
    <xf numFmtId="3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right"/>
    </xf>
    <xf numFmtId="164" fontId="0" fillId="0" borderId="2" xfId="0" applyNumberFormat="1" applyFont="1" applyFill="1" applyBorder="1"/>
    <xf numFmtId="10" fontId="0" fillId="0" borderId="0" xfId="1" applyNumberFormat="1" applyFont="1" applyAlignment="1">
      <alignment horizontal="center" vertical="center"/>
    </xf>
    <xf numFmtId="9" fontId="0" fillId="0" borderId="2" xfId="0" applyNumberFormat="1" applyFont="1" applyFill="1" applyBorder="1" applyAlignment="1">
      <alignment horizontal="right"/>
    </xf>
    <xf numFmtId="9" fontId="0" fillId="0" borderId="2" xfId="0" applyNumberFormat="1" applyFont="1" applyFill="1" applyBorder="1"/>
    <xf numFmtId="0" fontId="1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1" fillId="0" borderId="2" xfId="0" applyFont="1" applyBorder="1" applyAlignment="1">
      <alignment horizontal="right"/>
    </xf>
    <xf numFmtId="9" fontId="0" fillId="0" borderId="2" xfId="0" applyNumberFormat="1" applyFill="1" applyBorder="1"/>
    <xf numFmtId="0" fontId="0" fillId="0" borderId="2" xfId="0" applyNumberForma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3" borderId="0" xfId="0" applyFont="1" applyFill="1" applyAlignment="1"/>
    <xf numFmtId="0" fontId="7" fillId="3" borderId="0" xfId="0" applyFont="1" applyFill="1"/>
    <xf numFmtId="0" fontId="18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Alignment="1"/>
    <xf numFmtId="9" fontId="11" fillId="0" borderId="0" xfId="1" applyNumberFormat="1" applyFont="1" applyAlignment="1">
      <alignment horizontal="center"/>
    </xf>
    <xf numFmtId="0" fontId="18" fillId="0" borderId="0" xfId="3" applyFon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NumberFormat="1" applyFont="1" applyAlignment="1">
      <alignment wrapText="1"/>
    </xf>
    <xf numFmtId="9" fontId="11" fillId="0" borderId="0" xfId="0" applyNumberFormat="1" applyFont="1"/>
    <xf numFmtId="0" fontId="11" fillId="0" borderId="0" xfId="0" applyFont="1" applyFill="1"/>
    <xf numFmtId="0" fontId="17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'AAA Summary'!$L$3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'AAA Summary'!$AH$1</c:f>
              <c:strCache>
                <c:ptCount val="1"/>
                <c:pt idx="0">
                  <c:v>%EVAR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'AAA Summary'!$AE$2:$AE$71</c:f>
              <c:strCache>
                <c:ptCount val="70"/>
                <c:pt idx="0">
                  <c:v>R1K</c:v>
                </c:pt>
                <c:pt idx="1">
                  <c:v>RT3</c:v>
                </c:pt>
                <c:pt idx="2">
                  <c:v>RA9</c:v>
                </c:pt>
                <c:pt idx="3">
                  <c:v>RF4</c:v>
                </c:pt>
                <c:pt idx="4">
                  <c:v>RC1</c:v>
                </c:pt>
                <c:pt idx="5">
                  <c:v>RJ7</c:v>
                </c:pt>
                <c:pt idx="6">
                  <c:v>RAJ</c:v>
                </c:pt>
                <c:pt idx="7">
                  <c:v>RYJ</c:v>
                </c:pt>
                <c:pt idx="8">
                  <c:v>7A4</c:v>
                </c:pt>
                <c:pt idx="9">
                  <c:v>RDE</c:v>
                </c:pt>
                <c:pt idx="10">
                  <c:v>RDU</c:v>
                </c:pt>
                <c:pt idx="11">
                  <c:v>R0B</c:v>
                </c:pt>
                <c:pt idx="12">
                  <c:v>RYR</c:v>
                </c:pt>
                <c:pt idx="13">
                  <c:v>RVV</c:v>
                </c:pt>
                <c:pt idx="14">
                  <c:v>RW6</c:v>
                </c:pt>
                <c:pt idx="15">
                  <c:v>RJR</c:v>
                </c:pt>
                <c:pt idx="16">
                  <c:v>RJ1</c:v>
                </c:pt>
                <c:pt idx="17">
                  <c:v>SG999</c:v>
                </c:pt>
                <c:pt idx="18">
                  <c:v>RNS</c:v>
                </c:pt>
                <c:pt idx="19">
                  <c:v>RWG</c:v>
                </c:pt>
                <c:pt idx="20">
                  <c:v>RRK</c:v>
                </c:pt>
                <c:pt idx="21">
                  <c:v>SN999</c:v>
                </c:pt>
                <c:pt idx="22">
                  <c:v>SL999</c:v>
                </c:pt>
                <c:pt idx="23">
                  <c:v>RNA</c:v>
                </c:pt>
                <c:pt idx="24">
                  <c:v>RXN</c:v>
                </c:pt>
                <c:pt idx="25">
                  <c:v>R0A</c:v>
                </c:pt>
                <c:pt idx="26">
                  <c:v>RXW</c:v>
                </c:pt>
                <c:pt idx="27">
                  <c:v>RKB</c:v>
                </c:pt>
                <c:pt idx="28">
                  <c:v>RXR</c:v>
                </c:pt>
                <c:pt idx="29">
                  <c:v>RH5</c:v>
                </c:pt>
                <c:pt idx="30">
                  <c:v>RTR</c:v>
                </c:pt>
                <c:pt idx="31">
                  <c:v>RTK</c:v>
                </c:pt>
                <c:pt idx="32">
                  <c:v>RVJ</c:v>
                </c:pt>
                <c:pt idx="33">
                  <c:v>RAL</c:v>
                </c:pt>
                <c:pt idx="34">
                  <c:v>7A6</c:v>
                </c:pt>
                <c:pt idx="35">
                  <c:v>RR8</c:v>
                </c:pt>
                <c:pt idx="36">
                  <c:v>R0D</c:v>
                </c:pt>
                <c:pt idx="37">
                  <c:v>R1H</c:v>
                </c:pt>
                <c:pt idx="38">
                  <c:v>RWA</c:v>
                </c:pt>
                <c:pt idx="39">
                  <c:v>RTG</c:v>
                </c:pt>
                <c:pt idx="40">
                  <c:v>RWE</c:v>
                </c:pt>
                <c:pt idx="41">
                  <c:v>RHM</c:v>
                </c:pt>
                <c:pt idx="42">
                  <c:v>RQW</c:v>
                </c:pt>
                <c:pt idx="43">
                  <c:v>RWP</c:v>
                </c:pt>
                <c:pt idx="44">
                  <c:v>REF</c:v>
                </c:pt>
                <c:pt idx="45">
                  <c:v>7A1</c:v>
                </c:pt>
                <c:pt idx="46">
                  <c:v>RWH</c:v>
                </c:pt>
                <c:pt idx="47">
                  <c:v>RP5</c:v>
                </c:pt>
                <c:pt idx="48">
                  <c:v>RX1</c:v>
                </c:pt>
                <c:pt idx="49">
                  <c:v>RJE</c:v>
                </c:pt>
                <c:pt idx="50">
                  <c:v>RNL</c:v>
                </c:pt>
                <c:pt idx="51">
                  <c:v>RGT</c:v>
                </c:pt>
                <c:pt idx="52">
                  <c:v>RTE</c:v>
                </c:pt>
                <c:pt idx="53">
                  <c:v>REM</c:v>
                </c:pt>
                <c:pt idx="54">
                  <c:v>ZT001</c:v>
                </c:pt>
                <c:pt idx="55">
                  <c:v>RM1</c:v>
                </c:pt>
                <c:pt idx="56">
                  <c:v>RHQ</c:v>
                </c:pt>
                <c:pt idx="57">
                  <c:v>RK9</c:v>
                </c:pt>
                <c:pt idx="58">
                  <c:v>7A3</c:v>
                </c:pt>
                <c:pt idx="59">
                  <c:v>RTD</c:v>
                </c:pt>
                <c:pt idx="60">
                  <c:v>RTH</c:v>
                </c:pt>
                <c:pt idx="61">
                  <c:v>RBQ</c:v>
                </c:pt>
                <c:pt idx="62">
                  <c:v>SS999</c:v>
                </c:pt>
                <c:pt idx="63">
                  <c:v>RCB</c:v>
                </c:pt>
                <c:pt idx="64">
                  <c:v>SH999</c:v>
                </c:pt>
                <c:pt idx="65">
                  <c:v>RH8</c:v>
                </c:pt>
                <c:pt idx="66">
                  <c:v>RWD</c:v>
                </c:pt>
                <c:pt idx="67">
                  <c:v>RAE</c:v>
                </c:pt>
                <c:pt idx="68">
                  <c:v>SA999</c:v>
                </c:pt>
                <c:pt idx="69">
                  <c:v>ST999</c:v>
                </c:pt>
              </c:strCache>
            </c:strRef>
          </c:cat>
          <c:val>
            <c:numRef>
              <c:f>'AAA Summary'!$AH$2:$AH$71</c:f>
              <c:numCache>
                <c:formatCode>0%</c:formatCode>
                <c:ptCount val="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0.94117647058823528</c:v>
                </c:pt>
                <c:pt idx="4">
                  <c:v>0.92105263157894735</c:v>
                </c:pt>
                <c:pt idx="5">
                  <c:v>0.87804878048780488</c:v>
                </c:pt>
                <c:pt idx="6">
                  <c:v>0.83333333333333337</c:v>
                </c:pt>
                <c:pt idx="7">
                  <c:v>0.81481481481481477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0.79487179487179482</c:v>
                </c:pt>
                <c:pt idx="12">
                  <c:v>0.78688524590163933</c:v>
                </c:pt>
                <c:pt idx="13">
                  <c:v>0.77777777777777779</c:v>
                </c:pt>
                <c:pt idx="14">
                  <c:v>0.77777777777777779</c:v>
                </c:pt>
                <c:pt idx="15">
                  <c:v>0.77551020408163263</c:v>
                </c:pt>
                <c:pt idx="16">
                  <c:v>0.75806451612903225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0.72222222222222221</c:v>
                </c:pt>
                <c:pt idx="21">
                  <c:v>0.70588235294117652</c:v>
                </c:pt>
                <c:pt idx="22">
                  <c:v>0.7</c:v>
                </c:pt>
                <c:pt idx="23">
                  <c:v>0.66666666666666663</c:v>
                </c:pt>
                <c:pt idx="24">
                  <c:v>0.6607142857142857</c:v>
                </c:pt>
                <c:pt idx="25">
                  <c:v>0.65454545454545454</c:v>
                </c:pt>
                <c:pt idx="26">
                  <c:v>0.64</c:v>
                </c:pt>
                <c:pt idx="27">
                  <c:v>0.63636363636363635</c:v>
                </c:pt>
                <c:pt idx="28">
                  <c:v>0.625</c:v>
                </c:pt>
                <c:pt idx="29">
                  <c:v>0.6097560975609756</c:v>
                </c:pt>
                <c:pt idx="30">
                  <c:v>0.60869565217391308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0.58333333333333337</c:v>
                </c:pt>
                <c:pt idx="35">
                  <c:v>0.58333333333333337</c:v>
                </c:pt>
                <c:pt idx="36">
                  <c:v>0.57999999999999996</c:v>
                </c:pt>
                <c:pt idx="37">
                  <c:v>0.57894736842105265</c:v>
                </c:pt>
                <c:pt idx="38">
                  <c:v>0.56521739130434778</c:v>
                </c:pt>
                <c:pt idx="39">
                  <c:v>0.56521739130434778</c:v>
                </c:pt>
                <c:pt idx="40">
                  <c:v>0.5641025641025641</c:v>
                </c:pt>
                <c:pt idx="41">
                  <c:v>0.55263157894736847</c:v>
                </c:pt>
                <c:pt idx="42">
                  <c:v>0.54545454545454541</c:v>
                </c:pt>
                <c:pt idx="43">
                  <c:v>0.54166666666666663</c:v>
                </c:pt>
                <c:pt idx="44">
                  <c:v>0.53846153846153844</c:v>
                </c:pt>
                <c:pt idx="45">
                  <c:v>0.53333333333333333</c:v>
                </c:pt>
                <c:pt idx="46">
                  <c:v>0.53333333333333333</c:v>
                </c:pt>
                <c:pt idx="47">
                  <c:v>0.5</c:v>
                </c:pt>
                <c:pt idx="48">
                  <c:v>0.5</c:v>
                </c:pt>
                <c:pt idx="49">
                  <c:v>0.4925373134328358</c:v>
                </c:pt>
                <c:pt idx="50">
                  <c:v>0.47619047619047616</c:v>
                </c:pt>
                <c:pt idx="51">
                  <c:v>0.47457627118644069</c:v>
                </c:pt>
                <c:pt idx="52">
                  <c:v>0.47058823529411764</c:v>
                </c:pt>
                <c:pt idx="53">
                  <c:v>0.45652173913043476</c:v>
                </c:pt>
                <c:pt idx="54">
                  <c:v>0.45333333333333331</c:v>
                </c:pt>
                <c:pt idx="55">
                  <c:v>0.43137254901960786</c:v>
                </c:pt>
                <c:pt idx="56">
                  <c:v>0.41666666666666669</c:v>
                </c:pt>
                <c:pt idx="57">
                  <c:v>0.41666666666666669</c:v>
                </c:pt>
                <c:pt idx="58">
                  <c:v>0.40740740740740738</c:v>
                </c:pt>
                <c:pt idx="59">
                  <c:v>0.4</c:v>
                </c:pt>
                <c:pt idx="60">
                  <c:v>0.37777777777777777</c:v>
                </c:pt>
                <c:pt idx="61">
                  <c:v>0.375</c:v>
                </c:pt>
                <c:pt idx="62">
                  <c:v>0.33333333333333331</c:v>
                </c:pt>
                <c:pt idx="63">
                  <c:v>0.26923076923076922</c:v>
                </c:pt>
                <c:pt idx="64">
                  <c:v>0.25</c:v>
                </c:pt>
                <c:pt idx="65">
                  <c:v>0.21212121212121213</c:v>
                </c:pt>
                <c:pt idx="66">
                  <c:v>0.16666666666666666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E-4078-9FBD-71A63982E0D1}"/>
            </c:ext>
          </c:extLst>
        </c:ser>
        <c:ser>
          <c:idx val="1"/>
          <c:order val="1"/>
          <c:tx>
            <c:strRef>
              <c:f>'AAA Summary'!$AI$1</c:f>
              <c:strCache>
                <c:ptCount val="1"/>
                <c:pt idx="0">
                  <c:v>%Open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val>
            <c:numRef>
              <c:f>'AAA Summary'!$AI$2:$AI$71</c:f>
              <c:numCache>
                <c:formatCode>0%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5.8823529411764705E-2</c:v>
                </c:pt>
                <c:pt idx="4">
                  <c:v>7.8947368421052627E-2</c:v>
                </c:pt>
                <c:pt idx="5">
                  <c:v>0.12195121951219512</c:v>
                </c:pt>
                <c:pt idx="6">
                  <c:v>0.16666666666666666</c:v>
                </c:pt>
                <c:pt idx="7">
                  <c:v>0.18518518518518517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0.20512820512820512</c:v>
                </c:pt>
                <c:pt idx="12">
                  <c:v>0.21311475409836064</c:v>
                </c:pt>
                <c:pt idx="13">
                  <c:v>0.22222222222222221</c:v>
                </c:pt>
                <c:pt idx="14">
                  <c:v>0.22222222222222221</c:v>
                </c:pt>
                <c:pt idx="15">
                  <c:v>0.22448979591836735</c:v>
                </c:pt>
                <c:pt idx="16">
                  <c:v>0.24193548387096775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0.27777777777777779</c:v>
                </c:pt>
                <c:pt idx="21">
                  <c:v>0.29411764705882354</c:v>
                </c:pt>
                <c:pt idx="22">
                  <c:v>0.3</c:v>
                </c:pt>
                <c:pt idx="23">
                  <c:v>0.33333333333333331</c:v>
                </c:pt>
                <c:pt idx="24">
                  <c:v>0.3392857142857143</c:v>
                </c:pt>
                <c:pt idx="25">
                  <c:v>0.34545454545454546</c:v>
                </c:pt>
                <c:pt idx="26">
                  <c:v>0.36</c:v>
                </c:pt>
                <c:pt idx="27">
                  <c:v>0.36363636363636365</c:v>
                </c:pt>
                <c:pt idx="28">
                  <c:v>0.375</c:v>
                </c:pt>
                <c:pt idx="29">
                  <c:v>0.3902439024390244</c:v>
                </c:pt>
                <c:pt idx="30">
                  <c:v>0.39130434782608697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0.41666666666666669</c:v>
                </c:pt>
                <c:pt idx="35">
                  <c:v>0.41666666666666669</c:v>
                </c:pt>
                <c:pt idx="36">
                  <c:v>0.42</c:v>
                </c:pt>
                <c:pt idx="37">
                  <c:v>0.42105263157894735</c:v>
                </c:pt>
                <c:pt idx="38">
                  <c:v>0.43478260869565216</c:v>
                </c:pt>
                <c:pt idx="39">
                  <c:v>0.43478260869565216</c:v>
                </c:pt>
                <c:pt idx="40">
                  <c:v>0.4358974358974359</c:v>
                </c:pt>
                <c:pt idx="41">
                  <c:v>0.44736842105263158</c:v>
                </c:pt>
                <c:pt idx="42">
                  <c:v>0.45454545454545453</c:v>
                </c:pt>
                <c:pt idx="43">
                  <c:v>0.45833333333333331</c:v>
                </c:pt>
                <c:pt idx="44">
                  <c:v>0.46153846153846156</c:v>
                </c:pt>
                <c:pt idx="45">
                  <c:v>0.46666666666666667</c:v>
                </c:pt>
                <c:pt idx="46">
                  <c:v>0.46666666666666667</c:v>
                </c:pt>
                <c:pt idx="47">
                  <c:v>0.5</c:v>
                </c:pt>
                <c:pt idx="48">
                  <c:v>0.5</c:v>
                </c:pt>
                <c:pt idx="49">
                  <c:v>0.5074626865671642</c:v>
                </c:pt>
                <c:pt idx="50">
                  <c:v>0.52380952380952384</c:v>
                </c:pt>
                <c:pt idx="51">
                  <c:v>0.52542372881355937</c:v>
                </c:pt>
                <c:pt idx="52">
                  <c:v>0.52941176470588236</c:v>
                </c:pt>
                <c:pt idx="53">
                  <c:v>0.54347826086956519</c:v>
                </c:pt>
                <c:pt idx="54">
                  <c:v>0.54666666666666663</c:v>
                </c:pt>
                <c:pt idx="55">
                  <c:v>0.56862745098039214</c:v>
                </c:pt>
                <c:pt idx="56">
                  <c:v>0.58333333333333337</c:v>
                </c:pt>
                <c:pt idx="57">
                  <c:v>0.58333333333333337</c:v>
                </c:pt>
                <c:pt idx="58">
                  <c:v>0.59259259259259256</c:v>
                </c:pt>
                <c:pt idx="59">
                  <c:v>0.6</c:v>
                </c:pt>
                <c:pt idx="60">
                  <c:v>0.62222222222222223</c:v>
                </c:pt>
                <c:pt idx="61">
                  <c:v>0.625</c:v>
                </c:pt>
                <c:pt idx="62">
                  <c:v>0.66666666666666663</c:v>
                </c:pt>
                <c:pt idx="63">
                  <c:v>0.73076923076923073</c:v>
                </c:pt>
                <c:pt idx="64">
                  <c:v>0.75</c:v>
                </c:pt>
                <c:pt idx="65">
                  <c:v>0.78787878787878785</c:v>
                </c:pt>
                <c:pt idx="66">
                  <c:v>0.83333333333333337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E-4078-9FBD-71A63982E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186136"/>
        <c:axId val="606183840"/>
      </c:barChart>
      <c:scatterChart>
        <c:scatterStyle val="lineMarker"/>
        <c:varyColors val="0"/>
        <c:ser>
          <c:idx val="2"/>
          <c:order val="2"/>
          <c:tx>
            <c:strRef>
              <c:f>'AAA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1"/>
            <c:val val="1"/>
            <c:spPr>
              <a:noFill/>
              <a:ln w="73025" cap="flat" cmpd="sng" algn="ctr">
                <a:solidFill>
                  <a:schemeClr val="tx1">
                    <a:lumMod val="65000"/>
                    <a:lumOff val="35000"/>
                    <a:alpha val="40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'AAA Summary'!$AD$2</c:f>
              <c:numCache>
                <c:formatCode>General</c:formatCode>
                <c:ptCount val="1"/>
                <c:pt idx="0">
                  <c:v>35</c:v>
                </c:pt>
              </c:numCache>
            </c:numRef>
          </c:xVal>
          <c:yVal>
            <c:numRef>
              <c:f>'AAA Summary'!$AB$2</c:f>
              <c:numCache>
                <c:formatCode>General</c:formatCode>
                <c:ptCount val="1"/>
                <c:pt idx="0">
                  <c:v>0.58333333333333337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DE-4078-9FBD-71A63982E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'Amputation Summary'!$F$2</c:f>
          <c:strCache>
            <c:ptCount val="1"/>
            <c:pt idx="0">
              <c:v>Median (IQR delay from vascular assessment to ampuation (days) for non-elective admissions  2020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'Amputation Summary'!$F$2</c:f>
              <c:strCache>
                <c:ptCount val="1"/>
                <c:pt idx="0">
                  <c:v>Median (IQR delay from vascular assessment to ampuation (days) for non-elective admissions 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'Major Lower Limb Amputation'!$AM$8:$AM$76</c:f>
                <c:numCache>
                  <c:formatCode>General</c:formatCode>
                  <c:ptCount val="69"/>
                  <c:pt idx="0">
                    <c:v>4</c:v>
                  </c:pt>
                  <c:pt idx="1">
                    <c:v>21</c:v>
                  </c:pt>
                  <c:pt idx="2">
                    <c:v>21</c:v>
                  </c:pt>
                  <c:pt idx="3">
                    <c:v>6</c:v>
                  </c:pt>
                  <c:pt idx="4">
                    <c:v>20</c:v>
                  </c:pt>
                  <c:pt idx="5">
                    <c:v>15</c:v>
                  </c:pt>
                  <c:pt idx="6">
                    <c:v>6</c:v>
                  </c:pt>
                  <c:pt idx="7">
                    <c:v>7</c:v>
                  </c:pt>
                  <c:pt idx="8">
                    <c:v>9</c:v>
                  </c:pt>
                  <c:pt idx="9">
                    <c:v>5</c:v>
                  </c:pt>
                  <c:pt idx="10">
                    <c:v>5</c:v>
                  </c:pt>
                  <c:pt idx="11">
                    <c:v>9</c:v>
                  </c:pt>
                  <c:pt idx="12">
                    <c:v>16</c:v>
                  </c:pt>
                  <c:pt idx="13">
                    <c:v>22</c:v>
                  </c:pt>
                  <c:pt idx="14">
                    <c:v>13</c:v>
                  </c:pt>
                  <c:pt idx="15">
                    <c:v>7</c:v>
                  </c:pt>
                  <c:pt idx="16">
                    <c:v>10</c:v>
                  </c:pt>
                  <c:pt idx="17">
                    <c:v>19</c:v>
                  </c:pt>
                  <c:pt idx="18">
                    <c:v>22</c:v>
                  </c:pt>
                  <c:pt idx="19">
                    <c:v>10</c:v>
                  </c:pt>
                  <c:pt idx="20">
                    <c:v>12</c:v>
                  </c:pt>
                  <c:pt idx="21">
                    <c:v>6</c:v>
                  </c:pt>
                  <c:pt idx="22">
                    <c:v>5</c:v>
                  </c:pt>
                  <c:pt idx="23">
                    <c:v>8</c:v>
                  </c:pt>
                  <c:pt idx="24">
                    <c:v>11</c:v>
                  </c:pt>
                  <c:pt idx="25">
                    <c:v>14</c:v>
                  </c:pt>
                  <c:pt idx="26">
                    <c:v>3</c:v>
                  </c:pt>
                  <c:pt idx="27">
                    <c:v>11</c:v>
                  </c:pt>
                  <c:pt idx="28">
                    <c:v>20</c:v>
                  </c:pt>
                  <c:pt idx="29">
                    <c:v>0</c:v>
                  </c:pt>
                  <c:pt idx="30">
                    <c:v>6</c:v>
                  </c:pt>
                  <c:pt idx="31">
                    <c:v>5</c:v>
                  </c:pt>
                  <c:pt idx="32">
                    <c:v>6</c:v>
                  </c:pt>
                  <c:pt idx="33">
                    <c:v>22</c:v>
                  </c:pt>
                  <c:pt idx="34">
                    <c:v>0</c:v>
                  </c:pt>
                  <c:pt idx="35">
                    <c:v>0</c:v>
                  </c:pt>
                  <c:pt idx="36">
                    <c:v>24</c:v>
                  </c:pt>
                  <c:pt idx="37">
                    <c:v>9</c:v>
                  </c:pt>
                  <c:pt idx="38">
                    <c:v>17</c:v>
                  </c:pt>
                  <c:pt idx="39">
                    <c:v>4</c:v>
                  </c:pt>
                  <c:pt idx="40">
                    <c:v>10</c:v>
                  </c:pt>
                  <c:pt idx="41">
                    <c:v>9</c:v>
                  </c:pt>
                  <c:pt idx="42">
                    <c:v>3</c:v>
                  </c:pt>
                  <c:pt idx="43">
                    <c:v>2</c:v>
                  </c:pt>
                  <c:pt idx="44">
                    <c:v>16</c:v>
                  </c:pt>
                  <c:pt idx="45">
                    <c:v>22</c:v>
                  </c:pt>
                  <c:pt idx="46">
                    <c:v>16</c:v>
                  </c:pt>
                  <c:pt idx="47">
                    <c:v>35</c:v>
                  </c:pt>
                  <c:pt idx="48">
                    <c:v>21</c:v>
                  </c:pt>
                  <c:pt idx="49">
                    <c:v>30</c:v>
                  </c:pt>
                  <c:pt idx="50">
                    <c:v>18</c:v>
                  </c:pt>
                  <c:pt idx="51">
                    <c:v>12</c:v>
                  </c:pt>
                  <c:pt idx="52">
                    <c:v>4</c:v>
                  </c:pt>
                  <c:pt idx="53">
                    <c:v>10</c:v>
                  </c:pt>
                  <c:pt idx="54">
                    <c:v>11</c:v>
                  </c:pt>
                  <c:pt idx="55">
                    <c:v>0</c:v>
                  </c:pt>
                  <c:pt idx="56">
                    <c:v>12</c:v>
                  </c:pt>
                  <c:pt idx="57">
                    <c:v>5</c:v>
                  </c:pt>
                  <c:pt idx="58">
                    <c:v>3</c:v>
                  </c:pt>
                  <c:pt idx="59">
                    <c:v>9</c:v>
                  </c:pt>
                  <c:pt idx="60">
                    <c:v>10</c:v>
                  </c:pt>
                  <c:pt idx="61">
                    <c:v>19</c:v>
                  </c:pt>
                  <c:pt idx="62">
                    <c:v>6</c:v>
                  </c:pt>
                  <c:pt idx="63">
                    <c:v>1</c:v>
                  </c:pt>
                  <c:pt idx="64">
                    <c:v>11</c:v>
                  </c:pt>
                  <c:pt idx="65">
                    <c:v>29</c:v>
                  </c:pt>
                  <c:pt idx="66">
                    <c:v>22</c:v>
                  </c:pt>
                  <c:pt idx="67">
                    <c:v>3</c:v>
                  </c:pt>
                  <c:pt idx="68">
                    <c:v>12</c:v>
                  </c:pt>
                </c:numCache>
              </c:numRef>
            </c:plus>
            <c:minus>
              <c:numRef>
                <c:f>'Major Lower Limb Amputation'!$AL$8:$AL$76</c:f>
                <c:numCache>
                  <c:formatCode>General</c:formatCode>
                  <c:ptCount val="69"/>
                  <c:pt idx="0">
                    <c:v>2</c:v>
                  </c:pt>
                  <c:pt idx="1">
                    <c:v>4</c:v>
                  </c:pt>
                  <c:pt idx="2">
                    <c:v>5</c:v>
                  </c:pt>
                  <c:pt idx="3">
                    <c:v>3</c:v>
                  </c:pt>
                  <c:pt idx="4">
                    <c:v>7</c:v>
                  </c:pt>
                  <c:pt idx="5">
                    <c:v>10</c:v>
                  </c:pt>
                  <c:pt idx="6">
                    <c:v>5</c:v>
                  </c:pt>
                  <c:pt idx="7">
                    <c:v>3</c:v>
                  </c:pt>
                  <c:pt idx="8">
                    <c:v>5</c:v>
                  </c:pt>
                  <c:pt idx="9">
                    <c:v>3</c:v>
                  </c:pt>
                  <c:pt idx="10">
                    <c:v>3</c:v>
                  </c:pt>
                  <c:pt idx="11">
                    <c:v>4</c:v>
                  </c:pt>
                  <c:pt idx="12">
                    <c:v>4</c:v>
                  </c:pt>
                  <c:pt idx="13">
                    <c:v>5</c:v>
                  </c:pt>
                  <c:pt idx="14">
                    <c:v>1</c:v>
                  </c:pt>
                  <c:pt idx="15">
                    <c:v>3</c:v>
                  </c:pt>
                  <c:pt idx="16">
                    <c:v>4</c:v>
                  </c:pt>
                  <c:pt idx="17">
                    <c:v>4</c:v>
                  </c:pt>
                  <c:pt idx="18">
                    <c:v>6</c:v>
                  </c:pt>
                  <c:pt idx="19">
                    <c:v>8</c:v>
                  </c:pt>
                  <c:pt idx="20">
                    <c:v>5</c:v>
                  </c:pt>
                  <c:pt idx="21">
                    <c:v>5</c:v>
                  </c:pt>
                  <c:pt idx="22">
                    <c:v>4</c:v>
                  </c:pt>
                  <c:pt idx="23">
                    <c:v>6</c:v>
                  </c:pt>
                  <c:pt idx="24">
                    <c:v>2</c:v>
                  </c:pt>
                  <c:pt idx="25">
                    <c:v>2</c:v>
                  </c:pt>
                  <c:pt idx="26">
                    <c:v>6</c:v>
                  </c:pt>
                  <c:pt idx="27">
                    <c:v>3</c:v>
                  </c:pt>
                  <c:pt idx="28">
                    <c:v>4</c:v>
                  </c:pt>
                  <c:pt idx="29">
                    <c:v>0</c:v>
                  </c:pt>
                  <c:pt idx="30">
                    <c:v>1</c:v>
                  </c:pt>
                  <c:pt idx="31">
                    <c:v>5</c:v>
                  </c:pt>
                  <c:pt idx="32">
                    <c:v>2</c:v>
                  </c:pt>
                  <c:pt idx="33">
                    <c:v>8</c:v>
                  </c:pt>
                  <c:pt idx="34">
                    <c:v>0</c:v>
                  </c:pt>
                  <c:pt idx="35">
                    <c:v>0</c:v>
                  </c:pt>
                  <c:pt idx="36">
                    <c:v>6</c:v>
                  </c:pt>
                  <c:pt idx="37">
                    <c:v>4</c:v>
                  </c:pt>
                  <c:pt idx="38">
                    <c:v>3</c:v>
                  </c:pt>
                  <c:pt idx="39">
                    <c:v>4</c:v>
                  </c:pt>
                  <c:pt idx="40">
                    <c:v>3</c:v>
                  </c:pt>
                  <c:pt idx="41">
                    <c:v>3</c:v>
                  </c:pt>
                  <c:pt idx="42">
                    <c:v>2</c:v>
                  </c:pt>
                  <c:pt idx="43">
                    <c:v>5</c:v>
                  </c:pt>
                  <c:pt idx="44">
                    <c:v>3</c:v>
                  </c:pt>
                  <c:pt idx="45">
                    <c:v>2</c:v>
                  </c:pt>
                  <c:pt idx="46">
                    <c:v>5</c:v>
                  </c:pt>
                  <c:pt idx="47">
                    <c:v>0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4</c:v>
                  </c:pt>
                  <c:pt idx="52">
                    <c:v>0</c:v>
                  </c:pt>
                  <c:pt idx="53">
                    <c:v>7</c:v>
                  </c:pt>
                  <c:pt idx="54">
                    <c:v>3</c:v>
                  </c:pt>
                  <c:pt idx="55">
                    <c:v>0</c:v>
                  </c:pt>
                  <c:pt idx="56">
                    <c:v>4</c:v>
                  </c:pt>
                  <c:pt idx="57">
                    <c:v>4</c:v>
                  </c:pt>
                  <c:pt idx="58">
                    <c:v>4</c:v>
                  </c:pt>
                  <c:pt idx="59">
                    <c:v>3</c:v>
                  </c:pt>
                  <c:pt idx="60">
                    <c:v>4</c:v>
                  </c:pt>
                  <c:pt idx="61">
                    <c:v>5</c:v>
                  </c:pt>
                  <c:pt idx="62">
                    <c:v>2</c:v>
                  </c:pt>
                  <c:pt idx="63">
                    <c:v>1</c:v>
                  </c:pt>
                  <c:pt idx="64">
                    <c:v>4</c:v>
                  </c:pt>
                  <c:pt idx="65">
                    <c:v>8</c:v>
                  </c:pt>
                  <c:pt idx="66">
                    <c:v>6</c:v>
                  </c:pt>
                  <c:pt idx="67">
                    <c:v>2</c:v>
                  </c:pt>
                  <c:pt idx="68">
                    <c:v>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'Major Lower Limb Amputation'!$AJ$8:$AJ$76</c:f>
              <c:numCache>
                <c:formatCode>General</c:formatCode>
                <c:ptCount val="69"/>
                <c:pt idx="0">
                  <c:v>11</c:v>
                </c:pt>
                <c:pt idx="1">
                  <c:v>26</c:v>
                </c:pt>
                <c:pt idx="2">
                  <c:v>48</c:v>
                </c:pt>
                <c:pt idx="3">
                  <c:v>50</c:v>
                </c:pt>
                <c:pt idx="4">
                  <c:v>61</c:v>
                </c:pt>
                <c:pt idx="5">
                  <c:v>65</c:v>
                </c:pt>
                <c:pt idx="6">
                  <c:v>46</c:v>
                </c:pt>
                <c:pt idx="7">
                  <c:v>17</c:v>
                </c:pt>
                <c:pt idx="8">
                  <c:v>34</c:v>
                </c:pt>
                <c:pt idx="9">
                  <c:v>27</c:v>
                </c:pt>
                <c:pt idx="10">
                  <c:v>49</c:v>
                </c:pt>
                <c:pt idx="11">
                  <c:v>22</c:v>
                </c:pt>
                <c:pt idx="12">
                  <c:v>55</c:v>
                </c:pt>
                <c:pt idx="13">
                  <c:v>35</c:v>
                </c:pt>
                <c:pt idx="14">
                  <c:v>13</c:v>
                </c:pt>
                <c:pt idx="15">
                  <c:v>28</c:v>
                </c:pt>
                <c:pt idx="16">
                  <c:v>23</c:v>
                </c:pt>
                <c:pt idx="17">
                  <c:v>41</c:v>
                </c:pt>
                <c:pt idx="18">
                  <c:v>57</c:v>
                </c:pt>
                <c:pt idx="19">
                  <c:v>51</c:v>
                </c:pt>
                <c:pt idx="20">
                  <c:v>53</c:v>
                </c:pt>
                <c:pt idx="21">
                  <c:v>33</c:v>
                </c:pt>
                <c:pt idx="22">
                  <c:v>14</c:v>
                </c:pt>
                <c:pt idx="23">
                  <c:v>56</c:v>
                </c:pt>
                <c:pt idx="24">
                  <c:v>30</c:v>
                </c:pt>
                <c:pt idx="25">
                  <c:v>12</c:v>
                </c:pt>
                <c:pt idx="26">
                  <c:v>64</c:v>
                </c:pt>
                <c:pt idx="27">
                  <c:v>6</c:v>
                </c:pt>
                <c:pt idx="28">
                  <c:v>42</c:v>
                </c:pt>
                <c:pt idx="29">
                  <c:v>0</c:v>
                </c:pt>
                <c:pt idx="30">
                  <c:v>1</c:v>
                </c:pt>
                <c:pt idx="31">
                  <c:v>32</c:v>
                </c:pt>
                <c:pt idx="32">
                  <c:v>4</c:v>
                </c:pt>
                <c:pt idx="33">
                  <c:v>60</c:v>
                </c:pt>
                <c:pt idx="34">
                  <c:v>0</c:v>
                </c:pt>
                <c:pt idx="35">
                  <c:v>0</c:v>
                </c:pt>
                <c:pt idx="36">
                  <c:v>58</c:v>
                </c:pt>
                <c:pt idx="37">
                  <c:v>38</c:v>
                </c:pt>
                <c:pt idx="38">
                  <c:v>29</c:v>
                </c:pt>
                <c:pt idx="39">
                  <c:v>37</c:v>
                </c:pt>
                <c:pt idx="40">
                  <c:v>19</c:v>
                </c:pt>
                <c:pt idx="41">
                  <c:v>18</c:v>
                </c:pt>
                <c:pt idx="42">
                  <c:v>9</c:v>
                </c:pt>
                <c:pt idx="43">
                  <c:v>31</c:v>
                </c:pt>
                <c:pt idx="44">
                  <c:v>20</c:v>
                </c:pt>
                <c:pt idx="45">
                  <c:v>44</c:v>
                </c:pt>
                <c:pt idx="46">
                  <c:v>59</c:v>
                </c:pt>
                <c:pt idx="47">
                  <c:v>45</c:v>
                </c:pt>
                <c:pt idx="48">
                  <c:v>21</c:v>
                </c:pt>
                <c:pt idx="49">
                  <c:v>16</c:v>
                </c:pt>
                <c:pt idx="50">
                  <c:v>47</c:v>
                </c:pt>
                <c:pt idx="51">
                  <c:v>40</c:v>
                </c:pt>
                <c:pt idx="52">
                  <c:v>3</c:v>
                </c:pt>
                <c:pt idx="53">
                  <c:v>63</c:v>
                </c:pt>
                <c:pt idx="54">
                  <c:v>7</c:v>
                </c:pt>
                <c:pt idx="55">
                  <c:v>0</c:v>
                </c:pt>
                <c:pt idx="56">
                  <c:v>25</c:v>
                </c:pt>
                <c:pt idx="57">
                  <c:v>15</c:v>
                </c:pt>
                <c:pt idx="58">
                  <c:v>36</c:v>
                </c:pt>
                <c:pt idx="59">
                  <c:v>43</c:v>
                </c:pt>
                <c:pt idx="60">
                  <c:v>24</c:v>
                </c:pt>
                <c:pt idx="61">
                  <c:v>54</c:v>
                </c:pt>
                <c:pt idx="62">
                  <c:v>5</c:v>
                </c:pt>
                <c:pt idx="63">
                  <c:v>2</c:v>
                </c:pt>
                <c:pt idx="64">
                  <c:v>39</c:v>
                </c:pt>
                <c:pt idx="65">
                  <c:v>62</c:v>
                </c:pt>
                <c:pt idx="66">
                  <c:v>52</c:v>
                </c:pt>
                <c:pt idx="67">
                  <c:v>10</c:v>
                </c:pt>
                <c:pt idx="68">
                  <c:v>8</c:v>
                </c:pt>
              </c:numCache>
            </c:numRef>
          </c:xVal>
          <c:yVal>
            <c:numRef>
              <c:f>'Major Lower Limb Amputation'!$AK$8:$AK$76</c:f>
              <c:numCache>
                <c:formatCode>General</c:formatCode>
                <c:ptCount val="69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15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5</c:v>
                </c:pt>
                <c:pt idx="23">
                  <c:v>10</c:v>
                </c:pt>
                <c:pt idx="24">
                  <c:v>6</c:v>
                </c:pt>
                <c:pt idx="25">
                  <c:v>4</c:v>
                </c:pt>
                <c:pt idx="26">
                  <c:v>13</c:v>
                </c:pt>
                <c:pt idx="27">
                  <c:v>4</c:v>
                </c:pt>
                <c:pt idx="28">
                  <c:v>7</c:v>
                </c:pt>
                <c:pt idx="29">
                  <c:v>0</c:v>
                </c:pt>
                <c:pt idx="30">
                  <c:v>1</c:v>
                </c:pt>
                <c:pt idx="31">
                  <c:v>7</c:v>
                </c:pt>
                <c:pt idx="32">
                  <c:v>3</c:v>
                </c:pt>
                <c:pt idx="33">
                  <c:v>11</c:v>
                </c:pt>
                <c:pt idx="34">
                  <c:v>0</c:v>
                </c:pt>
                <c:pt idx="35">
                  <c:v>0</c:v>
                </c:pt>
                <c:pt idx="36">
                  <c:v>10</c:v>
                </c:pt>
                <c:pt idx="37">
                  <c:v>7</c:v>
                </c:pt>
                <c:pt idx="38">
                  <c:v>6</c:v>
                </c:pt>
                <c:pt idx="39">
                  <c:v>7</c:v>
                </c:pt>
                <c:pt idx="40">
                  <c:v>5</c:v>
                </c:pt>
                <c:pt idx="41">
                  <c:v>5</c:v>
                </c:pt>
                <c:pt idx="42">
                  <c:v>4</c:v>
                </c:pt>
                <c:pt idx="43">
                  <c:v>7</c:v>
                </c:pt>
                <c:pt idx="44">
                  <c:v>5</c:v>
                </c:pt>
                <c:pt idx="45">
                  <c:v>7</c:v>
                </c:pt>
                <c:pt idx="46">
                  <c:v>10</c:v>
                </c:pt>
                <c:pt idx="47">
                  <c:v>7</c:v>
                </c:pt>
                <c:pt idx="48">
                  <c:v>5</c:v>
                </c:pt>
                <c:pt idx="49">
                  <c:v>5</c:v>
                </c:pt>
                <c:pt idx="50">
                  <c:v>8</c:v>
                </c:pt>
                <c:pt idx="51">
                  <c:v>7</c:v>
                </c:pt>
                <c:pt idx="52">
                  <c:v>2</c:v>
                </c:pt>
                <c:pt idx="53">
                  <c:v>12</c:v>
                </c:pt>
                <c:pt idx="54">
                  <c:v>4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7</c:v>
                </c:pt>
                <c:pt idx="59">
                  <c:v>7</c:v>
                </c:pt>
                <c:pt idx="60">
                  <c:v>6</c:v>
                </c:pt>
                <c:pt idx="61">
                  <c:v>9</c:v>
                </c:pt>
                <c:pt idx="62">
                  <c:v>3</c:v>
                </c:pt>
                <c:pt idx="63">
                  <c:v>2</c:v>
                </c:pt>
                <c:pt idx="64">
                  <c:v>7</c:v>
                </c:pt>
                <c:pt idx="65">
                  <c:v>12</c:v>
                </c:pt>
                <c:pt idx="66">
                  <c:v>9</c:v>
                </c:pt>
                <c:pt idx="67">
                  <c:v>4</c:v>
                </c:pt>
                <c:pt idx="68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07-4BEF-A997-1ACCCCC0F591}"/>
            </c:ext>
          </c:extLst>
        </c:ser>
        <c:ser>
          <c:idx val="1"/>
          <c:order val="1"/>
          <c:tx>
            <c:strRef>
              <c:f>'Amputation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'Amputation Summary'!$AC$2</c:f>
                <c:numCache>
                  <c:formatCode>General</c:formatCode>
                  <c:ptCount val="1"/>
                  <c:pt idx="0">
                    <c:v>4</c:v>
                  </c:pt>
                </c:numCache>
              </c:numRef>
            </c:plus>
            <c:minus>
              <c:numRef>
                <c:f>'Amputation Summary'!$AB$2</c:f>
                <c:numCache>
                  <c:formatCode>General</c:formatCode>
                  <c:ptCount val="1"/>
                  <c:pt idx="0">
                    <c:v>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'Amputation Summary'!$AD$2</c:f>
              <c:numCache>
                <c:formatCode>General</c:formatCode>
                <c:ptCount val="1"/>
                <c:pt idx="0">
                  <c:v>11</c:v>
                </c:pt>
              </c:numCache>
            </c:numRef>
          </c:xVal>
          <c:yVal>
            <c:numRef>
              <c:f>'Amputation Summary'!$AA$2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7-4BEF-A997-1ACCCCC0F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65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'Major Lower Limb Amputation'!$P$7</c:f>
              <c:strCache>
                <c:ptCount val="1"/>
                <c:pt idx="0">
                  <c:v>% Adjusted 30 day in-hospital mortality 2018-2020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alpha val="9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'Major Lower Limb Amputation'!$E$8:$E$76</c:f>
              <c:numCache>
                <c:formatCode>0</c:formatCode>
                <c:ptCount val="69"/>
                <c:pt idx="0">
                  <c:v>131</c:v>
                </c:pt>
                <c:pt idx="1">
                  <c:v>103</c:v>
                </c:pt>
                <c:pt idx="2">
                  <c:v>173</c:v>
                </c:pt>
                <c:pt idx="3">
                  <c:v>112</c:v>
                </c:pt>
                <c:pt idx="4">
                  <c:v>333</c:v>
                </c:pt>
                <c:pt idx="5">
                  <c:v>146</c:v>
                </c:pt>
                <c:pt idx="6">
                  <c:v>98</c:v>
                </c:pt>
                <c:pt idx="7">
                  <c:v>197</c:v>
                </c:pt>
                <c:pt idx="8">
                  <c:v>133</c:v>
                </c:pt>
                <c:pt idx="9">
                  <c:v>243</c:v>
                </c:pt>
                <c:pt idx="10">
                  <c:v>75</c:v>
                </c:pt>
                <c:pt idx="11">
                  <c:v>52</c:v>
                </c:pt>
                <c:pt idx="12">
                  <c:v>96</c:v>
                </c:pt>
                <c:pt idx="13">
                  <c:v>119</c:v>
                </c:pt>
                <c:pt idx="14">
                  <c:v>89</c:v>
                </c:pt>
                <c:pt idx="15">
                  <c:v>164</c:v>
                </c:pt>
                <c:pt idx="16">
                  <c:v>138</c:v>
                </c:pt>
                <c:pt idx="17">
                  <c:v>168</c:v>
                </c:pt>
                <c:pt idx="18">
                  <c:v>225</c:v>
                </c:pt>
                <c:pt idx="19">
                  <c:v>131</c:v>
                </c:pt>
                <c:pt idx="20">
                  <c:v>23</c:v>
                </c:pt>
                <c:pt idx="21">
                  <c:v>238</c:v>
                </c:pt>
                <c:pt idx="22">
                  <c:v>213</c:v>
                </c:pt>
                <c:pt idx="23">
                  <c:v>228</c:v>
                </c:pt>
                <c:pt idx="24">
                  <c:v>66</c:v>
                </c:pt>
                <c:pt idx="25">
                  <c:v>85</c:v>
                </c:pt>
                <c:pt idx="26">
                  <c:v>39</c:v>
                </c:pt>
                <c:pt idx="27">
                  <c:v>151</c:v>
                </c:pt>
                <c:pt idx="28">
                  <c:v>311</c:v>
                </c:pt>
                <c:pt idx="29">
                  <c:v>22</c:v>
                </c:pt>
                <c:pt idx="30">
                  <c:v>7</c:v>
                </c:pt>
                <c:pt idx="31">
                  <c:v>16</c:v>
                </c:pt>
                <c:pt idx="32">
                  <c:v>75</c:v>
                </c:pt>
                <c:pt idx="33">
                  <c:v>249</c:v>
                </c:pt>
                <c:pt idx="34">
                  <c:v>5</c:v>
                </c:pt>
                <c:pt idx="35">
                  <c:v>16</c:v>
                </c:pt>
                <c:pt idx="36">
                  <c:v>207</c:v>
                </c:pt>
                <c:pt idx="37">
                  <c:v>192</c:v>
                </c:pt>
                <c:pt idx="38">
                  <c:v>127</c:v>
                </c:pt>
                <c:pt idx="39">
                  <c:v>118</c:v>
                </c:pt>
                <c:pt idx="40">
                  <c:v>226</c:v>
                </c:pt>
                <c:pt idx="41">
                  <c:v>125</c:v>
                </c:pt>
                <c:pt idx="42">
                  <c:v>212</c:v>
                </c:pt>
                <c:pt idx="43">
                  <c:v>16</c:v>
                </c:pt>
                <c:pt idx="44">
                  <c:v>116</c:v>
                </c:pt>
                <c:pt idx="45">
                  <c:v>120</c:v>
                </c:pt>
                <c:pt idx="46">
                  <c:v>167</c:v>
                </c:pt>
                <c:pt idx="47">
                  <c:v>67</c:v>
                </c:pt>
                <c:pt idx="48">
                  <c:v>106</c:v>
                </c:pt>
                <c:pt idx="49">
                  <c:v>64</c:v>
                </c:pt>
                <c:pt idx="50">
                  <c:v>177</c:v>
                </c:pt>
                <c:pt idx="51">
                  <c:v>221</c:v>
                </c:pt>
                <c:pt idx="52">
                  <c:v>132</c:v>
                </c:pt>
                <c:pt idx="53">
                  <c:v>309</c:v>
                </c:pt>
                <c:pt idx="54">
                  <c:v>187</c:v>
                </c:pt>
                <c:pt idx="55">
                  <c:v>7</c:v>
                </c:pt>
                <c:pt idx="56">
                  <c:v>131</c:v>
                </c:pt>
                <c:pt idx="57">
                  <c:v>258</c:v>
                </c:pt>
                <c:pt idx="58">
                  <c:v>223</c:v>
                </c:pt>
                <c:pt idx="59">
                  <c:v>281</c:v>
                </c:pt>
                <c:pt idx="60">
                  <c:v>296</c:v>
                </c:pt>
                <c:pt idx="61">
                  <c:v>86</c:v>
                </c:pt>
                <c:pt idx="62">
                  <c:v>87</c:v>
                </c:pt>
                <c:pt idx="63">
                  <c:v>111</c:v>
                </c:pt>
                <c:pt idx="64">
                  <c:v>114</c:v>
                </c:pt>
                <c:pt idx="65">
                  <c:v>78</c:v>
                </c:pt>
                <c:pt idx="66">
                  <c:v>17</c:v>
                </c:pt>
                <c:pt idx="67">
                  <c:v>113</c:v>
                </c:pt>
                <c:pt idx="68">
                  <c:v>91</c:v>
                </c:pt>
              </c:numCache>
            </c:numRef>
          </c:xVal>
          <c:yVal>
            <c:numRef>
              <c:f>'Major Lower Limb Amputation'!$P$8:$P$76</c:f>
              <c:numCache>
                <c:formatCode>0.0%</c:formatCode>
                <c:ptCount val="69"/>
                <c:pt idx="0">
                  <c:v>4.9000000000000002E-2</c:v>
                </c:pt>
                <c:pt idx="1">
                  <c:v>0.112</c:v>
                </c:pt>
                <c:pt idx="2">
                  <c:v>8.8999999999999996E-2</c:v>
                </c:pt>
                <c:pt idx="3">
                  <c:v>4.8000000000000001E-2</c:v>
                </c:pt>
                <c:pt idx="4">
                  <c:v>4.9000000000000002E-2</c:v>
                </c:pt>
                <c:pt idx="5">
                  <c:v>0.106</c:v>
                </c:pt>
                <c:pt idx="6">
                  <c:v>6.7000000000000004E-2</c:v>
                </c:pt>
                <c:pt idx="7">
                  <c:v>7.5999999999999998E-2</c:v>
                </c:pt>
                <c:pt idx="8">
                  <c:v>0.05</c:v>
                </c:pt>
                <c:pt idx="9">
                  <c:v>5.6000000000000001E-2</c:v>
                </c:pt>
                <c:pt idx="10">
                  <c:v>7.1999999999999995E-2</c:v>
                </c:pt>
                <c:pt idx="11">
                  <c:v>2.1000000000000001E-2</c:v>
                </c:pt>
                <c:pt idx="12">
                  <c:v>4.2999999999999997E-2</c:v>
                </c:pt>
                <c:pt idx="13">
                  <c:v>7.8E-2</c:v>
                </c:pt>
                <c:pt idx="14">
                  <c:v>5.3999999999999999E-2</c:v>
                </c:pt>
                <c:pt idx="15">
                  <c:v>6.3E-2</c:v>
                </c:pt>
                <c:pt idx="16">
                  <c:v>7.8E-2</c:v>
                </c:pt>
                <c:pt idx="17">
                  <c:v>0.10199999999999999</c:v>
                </c:pt>
                <c:pt idx="18">
                  <c:v>9.9000000000000005E-2</c:v>
                </c:pt>
                <c:pt idx="19">
                  <c:v>7.3999999999999996E-2</c:v>
                </c:pt>
                <c:pt idx="20">
                  <c:v>5.1999999999999998E-2</c:v>
                </c:pt>
                <c:pt idx="21">
                  <c:v>5.1999999999999998E-2</c:v>
                </c:pt>
                <c:pt idx="22">
                  <c:v>7.2999999999999995E-2</c:v>
                </c:pt>
                <c:pt idx="23">
                  <c:v>6.8000000000000005E-2</c:v>
                </c:pt>
                <c:pt idx="24">
                  <c:v>5.0999999999999997E-2</c:v>
                </c:pt>
                <c:pt idx="25">
                  <c:v>8.2000000000000003E-2</c:v>
                </c:pt>
                <c:pt idx="26">
                  <c:v>0.08</c:v>
                </c:pt>
                <c:pt idx="27">
                  <c:v>8.6999999999999994E-2</c:v>
                </c:pt>
                <c:pt idx="28">
                  <c:v>6.3E-2</c:v>
                </c:pt>
                <c:pt idx="29">
                  <c:v>0.08</c:v>
                </c:pt>
                <c:pt idx="30">
                  <c:v>0.1</c:v>
                </c:pt>
                <c:pt idx="31">
                  <c:v>6.7000000000000004E-2</c:v>
                </c:pt>
                <c:pt idx="32">
                  <c:v>0.127</c:v>
                </c:pt>
                <c:pt idx="33">
                  <c:v>4.5999999999999999E-2</c:v>
                </c:pt>
                <c:pt idx="34">
                  <c:v>0</c:v>
                </c:pt>
                <c:pt idx="35">
                  <c:v>0</c:v>
                </c:pt>
                <c:pt idx="36">
                  <c:v>2.8000000000000001E-2</c:v>
                </c:pt>
                <c:pt idx="37">
                  <c:v>2.3E-2</c:v>
                </c:pt>
                <c:pt idx="38">
                  <c:v>7.5999999999999998E-2</c:v>
                </c:pt>
                <c:pt idx="39">
                  <c:v>3.5999999999999997E-2</c:v>
                </c:pt>
                <c:pt idx="40">
                  <c:v>7.5999999999999998E-2</c:v>
                </c:pt>
                <c:pt idx="41">
                  <c:v>6.4000000000000001E-2</c:v>
                </c:pt>
                <c:pt idx="42">
                  <c:v>8.4000000000000005E-2</c:v>
                </c:pt>
                <c:pt idx="43">
                  <c:v>0.248</c:v>
                </c:pt>
                <c:pt idx="44">
                  <c:v>3.5000000000000003E-2</c:v>
                </c:pt>
                <c:pt idx="45">
                  <c:v>3.5999999999999997E-2</c:v>
                </c:pt>
                <c:pt idx="46">
                  <c:v>7.1999999999999995E-2</c:v>
                </c:pt>
                <c:pt idx="47">
                  <c:v>3.5000000000000003E-2</c:v>
                </c:pt>
                <c:pt idx="48">
                  <c:v>5.0999999999999997E-2</c:v>
                </c:pt>
                <c:pt idx="49">
                  <c:v>5.5E-2</c:v>
                </c:pt>
                <c:pt idx="50">
                  <c:v>1.9E-2</c:v>
                </c:pt>
                <c:pt idx="51">
                  <c:v>4.5999999999999999E-2</c:v>
                </c:pt>
                <c:pt idx="52">
                  <c:v>0.04</c:v>
                </c:pt>
                <c:pt idx="53">
                  <c:v>6.8000000000000005E-2</c:v>
                </c:pt>
                <c:pt idx="54">
                  <c:v>8.1000000000000003E-2</c:v>
                </c:pt>
                <c:pt idx="55">
                  <c:v>0.188</c:v>
                </c:pt>
                <c:pt idx="56">
                  <c:v>8.2000000000000003E-2</c:v>
                </c:pt>
                <c:pt idx="57">
                  <c:v>7.2999999999999995E-2</c:v>
                </c:pt>
                <c:pt idx="58">
                  <c:v>2.3E-2</c:v>
                </c:pt>
                <c:pt idx="59">
                  <c:v>2.1999999999999999E-2</c:v>
                </c:pt>
                <c:pt idx="60">
                  <c:v>7.4999999999999997E-2</c:v>
                </c:pt>
                <c:pt idx="61">
                  <c:v>0.128</c:v>
                </c:pt>
                <c:pt idx="62">
                  <c:v>2.4E-2</c:v>
                </c:pt>
                <c:pt idx="63">
                  <c:v>0.05</c:v>
                </c:pt>
                <c:pt idx="64">
                  <c:v>5.8999999999999997E-2</c:v>
                </c:pt>
                <c:pt idx="65">
                  <c:v>5.6000000000000001E-2</c:v>
                </c:pt>
                <c:pt idx="66">
                  <c:v>7.0999999999999994E-2</c:v>
                </c:pt>
                <c:pt idx="67">
                  <c:v>7.0000000000000007E-2</c:v>
                </c:pt>
                <c:pt idx="68">
                  <c:v>8.3000000000000004E-2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12-4B75-AF85-49F97078E3D4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'Amp Funnel'!$B$2:$B$66</c:f>
              <c:numCache>
                <c:formatCode>0</c:formatCode>
                <c:ptCount val="65"/>
                <c:pt idx="0" formatCode="General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17</c:v>
                </c:pt>
                <c:pt idx="4">
                  <c:v>22</c:v>
                </c:pt>
                <c:pt idx="5">
                  <c:v>23</c:v>
                </c:pt>
                <c:pt idx="6">
                  <c:v>39</c:v>
                </c:pt>
                <c:pt idx="7">
                  <c:v>52</c:v>
                </c:pt>
                <c:pt idx="8">
                  <c:v>64</c:v>
                </c:pt>
                <c:pt idx="9">
                  <c:v>66</c:v>
                </c:pt>
                <c:pt idx="10">
                  <c:v>67</c:v>
                </c:pt>
                <c:pt idx="11">
                  <c:v>75</c:v>
                </c:pt>
                <c:pt idx="12">
                  <c:v>78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89</c:v>
                </c:pt>
                <c:pt idx="17">
                  <c:v>91</c:v>
                </c:pt>
                <c:pt idx="18">
                  <c:v>96</c:v>
                </c:pt>
                <c:pt idx="19">
                  <c:v>98</c:v>
                </c:pt>
                <c:pt idx="20">
                  <c:v>103</c:v>
                </c:pt>
                <c:pt idx="21">
                  <c:v>106</c:v>
                </c:pt>
                <c:pt idx="22">
                  <c:v>111</c:v>
                </c:pt>
                <c:pt idx="23">
                  <c:v>112</c:v>
                </c:pt>
                <c:pt idx="24">
                  <c:v>113</c:v>
                </c:pt>
                <c:pt idx="25">
                  <c:v>114</c:v>
                </c:pt>
                <c:pt idx="26">
                  <c:v>116</c:v>
                </c:pt>
                <c:pt idx="27">
                  <c:v>118</c:v>
                </c:pt>
                <c:pt idx="28">
                  <c:v>119</c:v>
                </c:pt>
                <c:pt idx="29">
                  <c:v>120</c:v>
                </c:pt>
                <c:pt idx="30">
                  <c:v>125</c:v>
                </c:pt>
                <c:pt idx="31">
                  <c:v>127</c:v>
                </c:pt>
                <c:pt idx="32">
                  <c:v>131</c:v>
                </c:pt>
                <c:pt idx="33">
                  <c:v>131</c:v>
                </c:pt>
                <c:pt idx="34">
                  <c:v>131</c:v>
                </c:pt>
                <c:pt idx="35">
                  <c:v>132</c:v>
                </c:pt>
                <c:pt idx="36">
                  <c:v>133</c:v>
                </c:pt>
                <c:pt idx="37">
                  <c:v>138</c:v>
                </c:pt>
                <c:pt idx="38">
                  <c:v>146</c:v>
                </c:pt>
                <c:pt idx="39">
                  <c:v>151</c:v>
                </c:pt>
                <c:pt idx="40">
                  <c:v>164</c:v>
                </c:pt>
                <c:pt idx="41">
                  <c:v>167</c:v>
                </c:pt>
                <c:pt idx="42">
                  <c:v>168</c:v>
                </c:pt>
                <c:pt idx="43">
                  <c:v>173</c:v>
                </c:pt>
                <c:pt idx="44">
                  <c:v>177</c:v>
                </c:pt>
                <c:pt idx="45">
                  <c:v>187</c:v>
                </c:pt>
                <c:pt idx="46">
                  <c:v>192</c:v>
                </c:pt>
                <c:pt idx="47">
                  <c:v>197</c:v>
                </c:pt>
                <c:pt idx="48">
                  <c:v>207</c:v>
                </c:pt>
                <c:pt idx="49">
                  <c:v>212</c:v>
                </c:pt>
                <c:pt idx="50">
                  <c:v>213</c:v>
                </c:pt>
                <c:pt idx="51">
                  <c:v>221</c:v>
                </c:pt>
                <c:pt idx="52">
                  <c:v>223</c:v>
                </c:pt>
                <c:pt idx="53">
                  <c:v>225</c:v>
                </c:pt>
                <c:pt idx="54">
                  <c:v>226</c:v>
                </c:pt>
                <c:pt idx="55">
                  <c:v>228</c:v>
                </c:pt>
                <c:pt idx="56">
                  <c:v>238</c:v>
                </c:pt>
                <c:pt idx="57">
                  <c:v>243</c:v>
                </c:pt>
                <c:pt idx="58">
                  <c:v>249</c:v>
                </c:pt>
                <c:pt idx="59">
                  <c:v>258</c:v>
                </c:pt>
                <c:pt idx="60">
                  <c:v>281</c:v>
                </c:pt>
                <c:pt idx="61">
                  <c:v>296</c:v>
                </c:pt>
                <c:pt idx="62">
                  <c:v>309</c:v>
                </c:pt>
                <c:pt idx="63">
                  <c:v>311</c:v>
                </c:pt>
                <c:pt idx="64">
                  <c:v>333</c:v>
                </c:pt>
              </c:numCache>
            </c:numRef>
          </c:xVal>
          <c:yVal>
            <c:numRef>
              <c:f>'Amp Funnel'!$D$2:$D$66</c:f>
              <c:numCache>
                <c:formatCode>0.0%</c:formatCode>
                <c:ptCount val="65"/>
                <c:pt idx="0">
                  <c:v>6.0999999999999999E-2</c:v>
                </c:pt>
                <c:pt idx="1">
                  <c:v>6.0999999999999999E-2</c:v>
                </c:pt>
                <c:pt idx="2">
                  <c:v>6.0999999999999999E-2</c:v>
                </c:pt>
                <c:pt idx="3">
                  <c:v>6.0999999999999999E-2</c:v>
                </c:pt>
                <c:pt idx="4">
                  <c:v>6.0999999999999999E-2</c:v>
                </c:pt>
                <c:pt idx="5">
                  <c:v>6.0999999999999999E-2</c:v>
                </c:pt>
                <c:pt idx="6">
                  <c:v>6.0999999999999999E-2</c:v>
                </c:pt>
                <c:pt idx="7">
                  <c:v>6.0999999999999999E-2</c:v>
                </c:pt>
                <c:pt idx="8">
                  <c:v>6.0999999999999999E-2</c:v>
                </c:pt>
                <c:pt idx="9">
                  <c:v>6.0999999999999999E-2</c:v>
                </c:pt>
                <c:pt idx="10">
                  <c:v>6.0999999999999999E-2</c:v>
                </c:pt>
                <c:pt idx="11">
                  <c:v>6.0999999999999999E-2</c:v>
                </c:pt>
                <c:pt idx="12">
                  <c:v>6.0999999999999999E-2</c:v>
                </c:pt>
                <c:pt idx="13">
                  <c:v>6.0999999999999999E-2</c:v>
                </c:pt>
                <c:pt idx="14">
                  <c:v>6.0999999999999999E-2</c:v>
                </c:pt>
                <c:pt idx="15">
                  <c:v>6.0999999999999999E-2</c:v>
                </c:pt>
                <c:pt idx="16">
                  <c:v>6.0999999999999999E-2</c:v>
                </c:pt>
                <c:pt idx="17">
                  <c:v>6.0999999999999999E-2</c:v>
                </c:pt>
                <c:pt idx="18">
                  <c:v>6.0999999999999999E-2</c:v>
                </c:pt>
                <c:pt idx="19">
                  <c:v>6.0999999999999999E-2</c:v>
                </c:pt>
                <c:pt idx="20">
                  <c:v>6.0999999999999999E-2</c:v>
                </c:pt>
                <c:pt idx="21">
                  <c:v>6.0999999999999999E-2</c:v>
                </c:pt>
                <c:pt idx="22">
                  <c:v>6.0999999999999999E-2</c:v>
                </c:pt>
                <c:pt idx="23">
                  <c:v>6.0999999999999999E-2</c:v>
                </c:pt>
                <c:pt idx="24">
                  <c:v>6.0999999999999999E-2</c:v>
                </c:pt>
                <c:pt idx="25">
                  <c:v>6.0999999999999999E-2</c:v>
                </c:pt>
                <c:pt idx="26">
                  <c:v>6.0999999999999999E-2</c:v>
                </c:pt>
                <c:pt idx="27">
                  <c:v>6.0999999999999999E-2</c:v>
                </c:pt>
                <c:pt idx="28">
                  <c:v>6.0999999999999999E-2</c:v>
                </c:pt>
                <c:pt idx="29">
                  <c:v>6.0999999999999999E-2</c:v>
                </c:pt>
                <c:pt idx="30">
                  <c:v>6.0999999999999999E-2</c:v>
                </c:pt>
                <c:pt idx="31">
                  <c:v>6.0999999999999999E-2</c:v>
                </c:pt>
                <c:pt idx="32">
                  <c:v>6.0999999999999999E-2</c:v>
                </c:pt>
                <c:pt idx="33">
                  <c:v>6.0999999999999999E-2</c:v>
                </c:pt>
                <c:pt idx="34">
                  <c:v>6.0999999999999999E-2</c:v>
                </c:pt>
                <c:pt idx="35">
                  <c:v>6.0999999999999999E-2</c:v>
                </c:pt>
                <c:pt idx="36">
                  <c:v>6.0999999999999999E-2</c:v>
                </c:pt>
                <c:pt idx="37">
                  <c:v>6.0999999999999999E-2</c:v>
                </c:pt>
                <c:pt idx="38">
                  <c:v>6.0999999999999999E-2</c:v>
                </c:pt>
                <c:pt idx="39">
                  <c:v>6.0999999999999999E-2</c:v>
                </c:pt>
                <c:pt idx="40">
                  <c:v>6.0999999999999999E-2</c:v>
                </c:pt>
                <c:pt idx="41">
                  <c:v>6.0999999999999999E-2</c:v>
                </c:pt>
                <c:pt idx="42">
                  <c:v>6.0999999999999999E-2</c:v>
                </c:pt>
                <c:pt idx="43">
                  <c:v>6.0999999999999999E-2</c:v>
                </c:pt>
                <c:pt idx="44">
                  <c:v>6.0999999999999999E-2</c:v>
                </c:pt>
                <c:pt idx="45">
                  <c:v>6.0999999999999999E-2</c:v>
                </c:pt>
                <c:pt idx="46">
                  <c:v>6.0999999999999999E-2</c:v>
                </c:pt>
                <c:pt idx="47">
                  <c:v>6.0999999999999999E-2</c:v>
                </c:pt>
                <c:pt idx="48">
                  <c:v>6.0999999999999999E-2</c:v>
                </c:pt>
                <c:pt idx="49">
                  <c:v>6.0999999999999999E-2</c:v>
                </c:pt>
                <c:pt idx="50">
                  <c:v>6.0999999999999999E-2</c:v>
                </c:pt>
                <c:pt idx="51">
                  <c:v>6.0999999999999999E-2</c:v>
                </c:pt>
                <c:pt idx="52">
                  <c:v>6.0999999999999999E-2</c:v>
                </c:pt>
                <c:pt idx="53">
                  <c:v>6.0999999999999999E-2</c:v>
                </c:pt>
                <c:pt idx="54">
                  <c:v>6.0999999999999999E-2</c:v>
                </c:pt>
                <c:pt idx="55">
                  <c:v>6.0999999999999999E-2</c:v>
                </c:pt>
                <c:pt idx="56">
                  <c:v>6.0999999999999999E-2</c:v>
                </c:pt>
                <c:pt idx="57">
                  <c:v>6.0999999999999999E-2</c:v>
                </c:pt>
                <c:pt idx="58">
                  <c:v>6.0999999999999999E-2</c:v>
                </c:pt>
                <c:pt idx="59">
                  <c:v>6.0999999999999999E-2</c:v>
                </c:pt>
                <c:pt idx="60">
                  <c:v>6.0999999999999999E-2</c:v>
                </c:pt>
                <c:pt idx="61">
                  <c:v>6.0999999999999999E-2</c:v>
                </c:pt>
                <c:pt idx="62">
                  <c:v>6.0999999999999999E-2</c:v>
                </c:pt>
                <c:pt idx="63">
                  <c:v>6.0999999999999999E-2</c:v>
                </c:pt>
                <c:pt idx="64">
                  <c:v>6.0999999999999999E-2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12-4B75-AF85-49F97078E3D4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'Amp Funnel'!$B$2:$B$66</c:f>
              <c:numCache>
                <c:formatCode>0</c:formatCode>
                <c:ptCount val="65"/>
                <c:pt idx="0" formatCode="General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17</c:v>
                </c:pt>
                <c:pt idx="4">
                  <c:v>22</c:v>
                </c:pt>
                <c:pt idx="5">
                  <c:v>23</c:v>
                </c:pt>
                <c:pt idx="6">
                  <c:v>39</c:v>
                </c:pt>
                <c:pt idx="7">
                  <c:v>52</c:v>
                </c:pt>
                <c:pt idx="8">
                  <c:v>64</c:v>
                </c:pt>
                <c:pt idx="9">
                  <c:v>66</c:v>
                </c:pt>
                <c:pt idx="10">
                  <c:v>67</c:v>
                </c:pt>
                <c:pt idx="11">
                  <c:v>75</c:v>
                </c:pt>
                <c:pt idx="12">
                  <c:v>78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89</c:v>
                </c:pt>
                <c:pt idx="17">
                  <c:v>91</c:v>
                </c:pt>
                <c:pt idx="18">
                  <c:v>96</c:v>
                </c:pt>
                <c:pt idx="19">
                  <c:v>98</c:v>
                </c:pt>
                <c:pt idx="20">
                  <c:v>103</c:v>
                </c:pt>
                <c:pt idx="21">
                  <c:v>106</c:v>
                </c:pt>
                <c:pt idx="22">
                  <c:v>111</c:v>
                </c:pt>
                <c:pt idx="23">
                  <c:v>112</c:v>
                </c:pt>
                <c:pt idx="24">
                  <c:v>113</c:v>
                </c:pt>
                <c:pt idx="25">
                  <c:v>114</c:v>
                </c:pt>
                <c:pt idx="26">
                  <c:v>116</c:v>
                </c:pt>
                <c:pt idx="27">
                  <c:v>118</c:v>
                </c:pt>
                <c:pt idx="28">
                  <c:v>119</c:v>
                </c:pt>
                <c:pt idx="29">
                  <c:v>120</c:v>
                </c:pt>
                <c:pt idx="30">
                  <c:v>125</c:v>
                </c:pt>
                <c:pt idx="31">
                  <c:v>127</c:v>
                </c:pt>
                <c:pt idx="32">
                  <c:v>131</c:v>
                </c:pt>
                <c:pt idx="33">
                  <c:v>131</c:v>
                </c:pt>
                <c:pt idx="34">
                  <c:v>131</c:v>
                </c:pt>
                <c:pt idx="35">
                  <c:v>132</c:v>
                </c:pt>
                <c:pt idx="36">
                  <c:v>133</c:v>
                </c:pt>
                <c:pt idx="37">
                  <c:v>138</c:v>
                </c:pt>
                <c:pt idx="38">
                  <c:v>146</c:v>
                </c:pt>
                <c:pt idx="39">
                  <c:v>151</c:v>
                </c:pt>
                <c:pt idx="40">
                  <c:v>164</c:v>
                </c:pt>
                <c:pt idx="41">
                  <c:v>167</c:v>
                </c:pt>
                <c:pt idx="42">
                  <c:v>168</c:v>
                </c:pt>
                <c:pt idx="43">
                  <c:v>173</c:v>
                </c:pt>
                <c:pt idx="44">
                  <c:v>177</c:v>
                </c:pt>
                <c:pt idx="45">
                  <c:v>187</c:v>
                </c:pt>
                <c:pt idx="46">
                  <c:v>192</c:v>
                </c:pt>
                <c:pt idx="47">
                  <c:v>197</c:v>
                </c:pt>
                <c:pt idx="48">
                  <c:v>207</c:v>
                </c:pt>
                <c:pt idx="49">
                  <c:v>212</c:v>
                </c:pt>
                <c:pt idx="50">
                  <c:v>213</c:v>
                </c:pt>
                <c:pt idx="51">
                  <c:v>221</c:v>
                </c:pt>
                <c:pt idx="52">
                  <c:v>223</c:v>
                </c:pt>
                <c:pt idx="53">
                  <c:v>225</c:v>
                </c:pt>
                <c:pt idx="54">
                  <c:v>226</c:v>
                </c:pt>
                <c:pt idx="55">
                  <c:v>228</c:v>
                </c:pt>
                <c:pt idx="56">
                  <c:v>238</c:v>
                </c:pt>
                <c:pt idx="57">
                  <c:v>243</c:v>
                </c:pt>
                <c:pt idx="58">
                  <c:v>249</c:v>
                </c:pt>
                <c:pt idx="59">
                  <c:v>258</c:v>
                </c:pt>
                <c:pt idx="60">
                  <c:v>281</c:v>
                </c:pt>
                <c:pt idx="61">
                  <c:v>296</c:v>
                </c:pt>
                <c:pt idx="62">
                  <c:v>309</c:v>
                </c:pt>
                <c:pt idx="63">
                  <c:v>311</c:v>
                </c:pt>
                <c:pt idx="64">
                  <c:v>333</c:v>
                </c:pt>
              </c:numCache>
            </c:numRef>
          </c:xVal>
          <c:yVal>
            <c:numRef>
              <c:f>'Amp Funnel'!$C$2:$C$66</c:f>
              <c:numCache>
                <c:formatCode>0.00%</c:formatCode>
                <c:ptCount val="65"/>
                <c:pt idx="0">
                  <c:v>0.6</c:v>
                </c:pt>
                <c:pt idx="1">
                  <c:v>0.5</c:v>
                </c:pt>
                <c:pt idx="2">
                  <c:v>0.4</c:v>
                </c:pt>
                <c:pt idx="3">
                  <c:v>0.3</c:v>
                </c:pt>
                <c:pt idx="4">
                  <c:v>0.29399999999999998</c:v>
                </c:pt>
                <c:pt idx="5">
                  <c:v>0.29399999999999998</c:v>
                </c:pt>
                <c:pt idx="6">
                  <c:v>0.223</c:v>
                </c:pt>
                <c:pt idx="7">
                  <c:v>0.19600000000000001</c:v>
                </c:pt>
                <c:pt idx="8">
                  <c:v>0.18099999999999999</c:v>
                </c:pt>
                <c:pt idx="9">
                  <c:v>0.183</c:v>
                </c:pt>
                <c:pt idx="10">
                  <c:v>0.17699999999999999</c:v>
                </c:pt>
                <c:pt idx="11">
                  <c:v>0.17100000000000001</c:v>
                </c:pt>
                <c:pt idx="12">
                  <c:v>0.16800000000000001</c:v>
                </c:pt>
                <c:pt idx="13">
                  <c:v>0.16300000000000001</c:v>
                </c:pt>
                <c:pt idx="14">
                  <c:v>0.161</c:v>
                </c:pt>
                <c:pt idx="15">
                  <c:v>0.16</c:v>
                </c:pt>
                <c:pt idx="16">
                  <c:v>0.159</c:v>
                </c:pt>
                <c:pt idx="17">
                  <c:v>0.159</c:v>
                </c:pt>
                <c:pt idx="18">
                  <c:v>0.155</c:v>
                </c:pt>
                <c:pt idx="19">
                  <c:v>0.153</c:v>
                </c:pt>
                <c:pt idx="20">
                  <c:v>0.153</c:v>
                </c:pt>
                <c:pt idx="21">
                  <c:v>0.152</c:v>
                </c:pt>
                <c:pt idx="22">
                  <c:v>0.14799999999999999</c:v>
                </c:pt>
                <c:pt idx="23">
                  <c:v>0.14699999999999999</c:v>
                </c:pt>
                <c:pt idx="24">
                  <c:v>0.14799999999999999</c:v>
                </c:pt>
                <c:pt idx="25">
                  <c:v>0.14599999999999999</c:v>
                </c:pt>
                <c:pt idx="26">
                  <c:v>0.14699999999999999</c:v>
                </c:pt>
                <c:pt idx="27">
                  <c:v>0.14399999999999999</c:v>
                </c:pt>
                <c:pt idx="28">
                  <c:v>0.14699999999999999</c:v>
                </c:pt>
                <c:pt idx="29">
                  <c:v>0.14299999999999999</c:v>
                </c:pt>
                <c:pt idx="30">
                  <c:v>0.14299999999999999</c:v>
                </c:pt>
                <c:pt idx="31">
                  <c:v>0.14199999999999999</c:v>
                </c:pt>
                <c:pt idx="32">
                  <c:v>0.14000000000000001</c:v>
                </c:pt>
                <c:pt idx="33">
                  <c:v>0.14199999999999999</c:v>
                </c:pt>
                <c:pt idx="34">
                  <c:v>0.13900000000000001</c:v>
                </c:pt>
                <c:pt idx="35">
                  <c:v>0.13900000000000001</c:v>
                </c:pt>
                <c:pt idx="36">
                  <c:v>0.13800000000000001</c:v>
                </c:pt>
                <c:pt idx="37">
                  <c:v>0.13700000000000001</c:v>
                </c:pt>
                <c:pt idx="38">
                  <c:v>0.13600000000000001</c:v>
                </c:pt>
                <c:pt idx="39">
                  <c:v>0.13300000000000001</c:v>
                </c:pt>
                <c:pt idx="40">
                  <c:v>0.13</c:v>
                </c:pt>
                <c:pt idx="41">
                  <c:v>0.13</c:v>
                </c:pt>
                <c:pt idx="42">
                  <c:v>0.129</c:v>
                </c:pt>
                <c:pt idx="43">
                  <c:v>0.13</c:v>
                </c:pt>
                <c:pt idx="44">
                  <c:v>0.127</c:v>
                </c:pt>
                <c:pt idx="45">
                  <c:v>0.126</c:v>
                </c:pt>
                <c:pt idx="46">
                  <c:v>0.125</c:v>
                </c:pt>
                <c:pt idx="47">
                  <c:v>0.123</c:v>
                </c:pt>
                <c:pt idx="48">
                  <c:v>0.121</c:v>
                </c:pt>
                <c:pt idx="49">
                  <c:v>0.121</c:v>
                </c:pt>
                <c:pt idx="50">
                  <c:v>0.121</c:v>
                </c:pt>
                <c:pt idx="51">
                  <c:v>0.11899999999999999</c:v>
                </c:pt>
                <c:pt idx="52">
                  <c:v>0.11899999999999999</c:v>
                </c:pt>
                <c:pt idx="53">
                  <c:v>0.11799999999999999</c:v>
                </c:pt>
                <c:pt idx="54">
                  <c:v>0.11899999999999999</c:v>
                </c:pt>
                <c:pt idx="55">
                  <c:v>0.11899999999999999</c:v>
                </c:pt>
                <c:pt idx="56">
                  <c:v>0.11700000000000001</c:v>
                </c:pt>
                <c:pt idx="57">
                  <c:v>0.11700000000000001</c:v>
                </c:pt>
                <c:pt idx="58">
                  <c:v>0.11600000000000001</c:v>
                </c:pt>
                <c:pt idx="59">
                  <c:v>0.115</c:v>
                </c:pt>
                <c:pt idx="60">
                  <c:v>0.112</c:v>
                </c:pt>
                <c:pt idx="61">
                  <c:v>0.111</c:v>
                </c:pt>
                <c:pt idx="62">
                  <c:v>0.109</c:v>
                </c:pt>
                <c:pt idx="63">
                  <c:v>0.11</c:v>
                </c:pt>
                <c:pt idx="64">
                  <c:v>0.108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12-4B75-AF85-49F97078E3D4}"/>
            </c:ext>
          </c:extLst>
        </c:ser>
        <c:ser>
          <c:idx val="3"/>
          <c:order val="3"/>
          <c:tx>
            <c:strRef>
              <c:f>'Amputation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alpha val="9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>
                    <a:alpha val="93000"/>
                  </a:srgbClr>
                </a:solidFill>
                <a:ln w="1270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08D-48B7-B7A4-FDB4EBEF9E33}"/>
              </c:ext>
            </c:extLst>
          </c:dPt>
          <c:xVal>
            <c:numRef>
              <c:f>'Amputation Summary'!$D$29</c:f>
              <c:numCache>
                <c:formatCode>General</c:formatCode>
                <c:ptCount val="1"/>
                <c:pt idx="0">
                  <c:v>37</c:v>
                </c:pt>
              </c:numCache>
            </c:numRef>
          </c:xVal>
          <c:yVal>
            <c:numRef>
              <c:f>'Amputation Summary'!$J$29</c:f>
              <c:numCache>
                <c:formatCode>0.0%</c:formatCode>
                <c:ptCount val="1"/>
                <c:pt idx="0">
                  <c:v>4.9000000000000002E-2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12-4B75-AF85-49F97078E3D4}"/>
            </c:ext>
          </c:extLst>
        </c:ser>
        <c:ser>
          <c:idx val="4"/>
          <c:order val="4"/>
          <c:tx>
            <c:v>Lower Funnel Limit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19050">
                <a:noFill/>
                <a:prstDash val="dash"/>
              </a:ln>
              <a:effectLst/>
            </c:spPr>
          </c:marker>
          <c:xVal>
            <c:numRef>
              <c:f>'Amp Funnel'!$B$2:$B$66</c:f>
              <c:numCache>
                <c:formatCode>0</c:formatCode>
                <c:ptCount val="65"/>
                <c:pt idx="0" formatCode="General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17</c:v>
                </c:pt>
                <c:pt idx="4">
                  <c:v>22</c:v>
                </c:pt>
                <c:pt idx="5">
                  <c:v>23</c:v>
                </c:pt>
                <c:pt idx="6">
                  <c:v>39</c:v>
                </c:pt>
                <c:pt idx="7">
                  <c:v>52</c:v>
                </c:pt>
                <c:pt idx="8">
                  <c:v>64</c:v>
                </c:pt>
                <c:pt idx="9">
                  <c:v>66</c:v>
                </c:pt>
                <c:pt idx="10">
                  <c:v>67</c:v>
                </c:pt>
                <c:pt idx="11">
                  <c:v>75</c:v>
                </c:pt>
                <c:pt idx="12">
                  <c:v>78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89</c:v>
                </c:pt>
                <c:pt idx="17">
                  <c:v>91</c:v>
                </c:pt>
                <c:pt idx="18">
                  <c:v>96</c:v>
                </c:pt>
                <c:pt idx="19">
                  <c:v>98</c:v>
                </c:pt>
                <c:pt idx="20">
                  <c:v>103</c:v>
                </c:pt>
                <c:pt idx="21">
                  <c:v>106</c:v>
                </c:pt>
                <c:pt idx="22">
                  <c:v>111</c:v>
                </c:pt>
                <c:pt idx="23">
                  <c:v>112</c:v>
                </c:pt>
                <c:pt idx="24">
                  <c:v>113</c:v>
                </c:pt>
                <c:pt idx="25">
                  <c:v>114</c:v>
                </c:pt>
                <c:pt idx="26">
                  <c:v>116</c:v>
                </c:pt>
                <c:pt idx="27">
                  <c:v>118</c:v>
                </c:pt>
                <c:pt idx="28">
                  <c:v>119</c:v>
                </c:pt>
                <c:pt idx="29">
                  <c:v>120</c:v>
                </c:pt>
                <c:pt idx="30">
                  <c:v>125</c:v>
                </c:pt>
                <c:pt idx="31">
                  <c:v>127</c:v>
                </c:pt>
                <c:pt idx="32">
                  <c:v>131</c:v>
                </c:pt>
                <c:pt idx="33">
                  <c:v>131</c:v>
                </c:pt>
                <c:pt idx="34">
                  <c:v>131</c:v>
                </c:pt>
                <c:pt idx="35">
                  <c:v>132</c:v>
                </c:pt>
                <c:pt idx="36">
                  <c:v>133</c:v>
                </c:pt>
                <c:pt idx="37">
                  <c:v>138</c:v>
                </c:pt>
                <c:pt idx="38">
                  <c:v>146</c:v>
                </c:pt>
                <c:pt idx="39">
                  <c:v>151</c:v>
                </c:pt>
                <c:pt idx="40">
                  <c:v>164</c:v>
                </c:pt>
                <c:pt idx="41">
                  <c:v>167</c:v>
                </c:pt>
                <c:pt idx="42">
                  <c:v>168</c:v>
                </c:pt>
                <c:pt idx="43">
                  <c:v>173</c:v>
                </c:pt>
                <c:pt idx="44">
                  <c:v>177</c:v>
                </c:pt>
                <c:pt idx="45">
                  <c:v>187</c:v>
                </c:pt>
                <c:pt idx="46">
                  <c:v>192</c:v>
                </c:pt>
                <c:pt idx="47">
                  <c:v>197</c:v>
                </c:pt>
                <c:pt idx="48">
                  <c:v>207</c:v>
                </c:pt>
                <c:pt idx="49">
                  <c:v>212</c:v>
                </c:pt>
                <c:pt idx="50">
                  <c:v>213</c:v>
                </c:pt>
                <c:pt idx="51">
                  <c:v>221</c:v>
                </c:pt>
                <c:pt idx="52">
                  <c:v>223</c:v>
                </c:pt>
                <c:pt idx="53">
                  <c:v>225</c:v>
                </c:pt>
                <c:pt idx="54">
                  <c:v>226</c:v>
                </c:pt>
                <c:pt idx="55">
                  <c:v>228</c:v>
                </c:pt>
                <c:pt idx="56">
                  <c:v>238</c:v>
                </c:pt>
                <c:pt idx="57">
                  <c:v>243</c:v>
                </c:pt>
                <c:pt idx="58">
                  <c:v>249</c:v>
                </c:pt>
                <c:pt idx="59">
                  <c:v>258</c:v>
                </c:pt>
                <c:pt idx="60">
                  <c:v>281</c:v>
                </c:pt>
                <c:pt idx="61">
                  <c:v>296</c:v>
                </c:pt>
                <c:pt idx="62">
                  <c:v>309</c:v>
                </c:pt>
                <c:pt idx="63">
                  <c:v>311</c:v>
                </c:pt>
                <c:pt idx="64">
                  <c:v>333</c:v>
                </c:pt>
              </c:numCache>
            </c:numRef>
          </c:xVal>
          <c:yVal>
            <c:numRef>
              <c:f>'Amp Funnel'!$E$2:$E$66</c:f>
              <c:numCache>
                <c:formatCode>General</c:formatCode>
                <c:ptCount val="65"/>
                <c:pt idx="27" formatCode="0.00%">
                  <c:v>1E-3</c:v>
                </c:pt>
                <c:pt idx="28" formatCode="0.00%">
                  <c:v>0</c:v>
                </c:pt>
                <c:pt idx="29" formatCode="0.00%">
                  <c:v>1E-3</c:v>
                </c:pt>
                <c:pt idx="30" formatCode="0.00%">
                  <c:v>1E-3</c:v>
                </c:pt>
                <c:pt idx="31" formatCode="0.00%">
                  <c:v>1E-3</c:v>
                </c:pt>
                <c:pt idx="32" formatCode="0.00%">
                  <c:v>2E-3</c:v>
                </c:pt>
                <c:pt idx="33" formatCode="0.00%">
                  <c:v>1E-3</c:v>
                </c:pt>
                <c:pt idx="34" formatCode="0.00%">
                  <c:v>2E-3</c:v>
                </c:pt>
                <c:pt idx="35" formatCode="0.00%">
                  <c:v>2E-3</c:v>
                </c:pt>
                <c:pt idx="36" formatCode="0.00%">
                  <c:v>3.0000000000000001E-3</c:v>
                </c:pt>
                <c:pt idx="37" formatCode="0.00%">
                  <c:v>4.0000000000000001E-3</c:v>
                </c:pt>
                <c:pt idx="38" formatCode="0.00%">
                  <c:v>5.0000000000000001E-3</c:v>
                </c:pt>
                <c:pt idx="39" formatCode="0.00%">
                  <c:v>7.0000000000000001E-3</c:v>
                </c:pt>
                <c:pt idx="40" formatCode="0.00%">
                  <c:v>8.0000000000000002E-3</c:v>
                </c:pt>
                <c:pt idx="41" formatCode="0.00%">
                  <c:v>8.0000000000000002E-3</c:v>
                </c:pt>
                <c:pt idx="42" formatCode="0.00%">
                  <c:v>8.9999999999999993E-3</c:v>
                </c:pt>
                <c:pt idx="43" formatCode="0.00%">
                  <c:v>8.0000000000000002E-3</c:v>
                </c:pt>
                <c:pt idx="44" formatCode="0.00%">
                  <c:v>1.0999999999999999E-2</c:v>
                </c:pt>
                <c:pt idx="45" formatCode="0.00%">
                  <c:v>1.0999999999999999E-2</c:v>
                </c:pt>
                <c:pt idx="46" formatCode="0.00%">
                  <c:v>1.2E-2</c:v>
                </c:pt>
                <c:pt idx="47" formatCode="0.00%">
                  <c:v>1.2E-2</c:v>
                </c:pt>
                <c:pt idx="48" formatCode="0.00%">
                  <c:v>1.4E-2</c:v>
                </c:pt>
                <c:pt idx="49" formatCode="0.00%">
                  <c:v>1.4999999999999999E-2</c:v>
                </c:pt>
                <c:pt idx="50" formatCode="0.00%">
                  <c:v>1.4999999999999999E-2</c:v>
                </c:pt>
                <c:pt idx="51" formatCode="0.00%">
                  <c:v>1.4999999999999999E-2</c:v>
                </c:pt>
                <c:pt idx="52" formatCode="0.00%">
                  <c:v>1.4999999999999999E-2</c:v>
                </c:pt>
                <c:pt idx="53" formatCode="0.00%">
                  <c:v>1.4999999999999999E-2</c:v>
                </c:pt>
                <c:pt idx="54" formatCode="0.00%">
                  <c:v>1.4999999999999999E-2</c:v>
                </c:pt>
                <c:pt idx="55" formatCode="0.00%">
                  <c:v>1.4999999999999999E-2</c:v>
                </c:pt>
                <c:pt idx="56" formatCode="0.00%">
                  <c:v>1.6E-2</c:v>
                </c:pt>
                <c:pt idx="57" formatCode="0.00%">
                  <c:v>1.7000000000000001E-2</c:v>
                </c:pt>
                <c:pt idx="58" formatCode="0.00%">
                  <c:v>1.7000000000000001E-2</c:v>
                </c:pt>
                <c:pt idx="59" formatCode="0.00%">
                  <c:v>1.7999999999999999E-2</c:v>
                </c:pt>
                <c:pt idx="60" formatCode="0.00%">
                  <c:v>0.02</c:v>
                </c:pt>
                <c:pt idx="61" formatCode="0.00%">
                  <c:v>0.02</c:v>
                </c:pt>
                <c:pt idx="62" formatCode="0.00%">
                  <c:v>2.1000000000000001E-2</c:v>
                </c:pt>
                <c:pt idx="63" formatCode="0.00%">
                  <c:v>2.1000000000000001E-2</c:v>
                </c:pt>
                <c:pt idx="64" formatCode="0.00%">
                  <c:v>2.3E-2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9B-43B5-98F2-CC766CE0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25"/>
      </c:valAx>
      <c:valAx>
        <c:axId val="578493408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30 day in hospital deaths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'Amputation Summary'!$K$32</c:f>
          <c:strCache>
            <c:ptCount val="1"/>
            <c:pt idx="0">
              <c:v>% Prophylactic Antibiotics 2020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'Amputation Summary'!$K$32</c:f>
              <c:strCache>
                <c:ptCount val="1"/>
                <c:pt idx="0">
                  <c:v>% Prophylactic Antibiotics 2020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'Major Lower Limb Amputation'!$V$8:$V$76</c:f>
              <c:numCache>
                <c:formatCode>General</c:formatCode>
                <c:ptCount val="69"/>
                <c:pt idx="0">
                  <c:v>21</c:v>
                </c:pt>
                <c:pt idx="1">
                  <c:v>1</c:v>
                </c:pt>
                <c:pt idx="2">
                  <c:v>30</c:v>
                </c:pt>
                <c:pt idx="3">
                  <c:v>48</c:v>
                </c:pt>
                <c:pt idx="4">
                  <c:v>17</c:v>
                </c:pt>
                <c:pt idx="5">
                  <c:v>20</c:v>
                </c:pt>
                <c:pt idx="6">
                  <c:v>16</c:v>
                </c:pt>
                <c:pt idx="7">
                  <c:v>6</c:v>
                </c:pt>
                <c:pt idx="8">
                  <c:v>46</c:v>
                </c:pt>
                <c:pt idx="9">
                  <c:v>22</c:v>
                </c:pt>
                <c:pt idx="10">
                  <c:v>44</c:v>
                </c:pt>
                <c:pt idx="11">
                  <c:v>24</c:v>
                </c:pt>
                <c:pt idx="12">
                  <c:v>42</c:v>
                </c:pt>
                <c:pt idx="13">
                  <c:v>7</c:v>
                </c:pt>
                <c:pt idx="14">
                  <c:v>18</c:v>
                </c:pt>
                <c:pt idx="15">
                  <c:v>54</c:v>
                </c:pt>
                <c:pt idx="16">
                  <c:v>37</c:v>
                </c:pt>
                <c:pt idx="17">
                  <c:v>3</c:v>
                </c:pt>
                <c:pt idx="18">
                  <c:v>62</c:v>
                </c:pt>
                <c:pt idx="19">
                  <c:v>5</c:v>
                </c:pt>
                <c:pt idx="20">
                  <c:v>63</c:v>
                </c:pt>
                <c:pt idx="21">
                  <c:v>55</c:v>
                </c:pt>
                <c:pt idx="22">
                  <c:v>38</c:v>
                </c:pt>
                <c:pt idx="23">
                  <c:v>27</c:v>
                </c:pt>
                <c:pt idx="24">
                  <c:v>53</c:v>
                </c:pt>
                <c:pt idx="25">
                  <c:v>14</c:v>
                </c:pt>
                <c:pt idx="26">
                  <c:v>33</c:v>
                </c:pt>
                <c:pt idx="27">
                  <c:v>25</c:v>
                </c:pt>
                <c:pt idx="28">
                  <c:v>10</c:v>
                </c:pt>
                <c:pt idx="29">
                  <c:v>0</c:v>
                </c:pt>
                <c:pt idx="30">
                  <c:v>64</c:v>
                </c:pt>
                <c:pt idx="31">
                  <c:v>36</c:v>
                </c:pt>
                <c:pt idx="32">
                  <c:v>56</c:v>
                </c:pt>
                <c:pt idx="33">
                  <c:v>2</c:v>
                </c:pt>
                <c:pt idx="34">
                  <c:v>65</c:v>
                </c:pt>
                <c:pt idx="35">
                  <c:v>66</c:v>
                </c:pt>
                <c:pt idx="36">
                  <c:v>59</c:v>
                </c:pt>
                <c:pt idx="37">
                  <c:v>32</c:v>
                </c:pt>
                <c:pt idx="38">
                  <c:v>12</c:v>
                </c:pt>
                <c:pt idx="39">
                  <c:v>19</c:v>
                </c:pt>
                <c:pt idx="40">
                  <c:v>8</c:v>
                </c:pt>
                <c:pt idx="41">
                  <c:v>28</c:v>
                </c:pt>
                <c:pt idx="42">
                  <c:v>60</c:v>
                </c:pt>
                <c:pt idx="43">
                  <c:v>4</c:v>
                </c:pt>
                <c:pt idx="44">
                  <c:v>34</c:v>
                </c:pt>
                <c:pt idx="45">
                  <c:v>31</c:v>
                </c:pt>
                <c:pt idx="46">
                  <c:v>45</c:v>
                </c:pt>
                <c:pt idx="47">
                  <c:v>49</c:v>
                </c:pt>
                <c:pt idx="48">
                  <c:v>47</c:v>
                </c:pt>
                <c:pt idx="49">
                  <c:v>50</c:v>
                </c:pt>
                <c:pt idx="50">
                  <c:v>26</c:v>
                </c:pt>
                <c:pt idx="51">
                  <c:v>15</c:v>
                </c:pt>
                <c:pt idx="52">
                  <c:v>41</c:v>
                </c:pt>
                <c:pt idx="53">
                  <c:v>39</c:v>
                </c:pt>
                <c:pt idx="54">
                  <c:v>29</c:v>
                </c:pt>
                <c:pt idx="55">
                  <c:v>0</c:v>
                </c:pt>
                <c:pt idx="56">
                  <c:v>58</c:v>
                </c:pt>
                <c:pt idx="57">
                  <c:v>52</c:v>
                </c:pt>
                <c:pt idx="58">
                  <c:v>9</c:v>
                </c:pt>
                <c:pt idx="59">
                  <c:v>61</c:v>
                </c:pt>
                <c:pt idx="60">
                  <c:v>13</c:v>
                </c:pt>
                <c:pt idx="61">
                  <c:v>43</c:v>
                </c:pt>
                <c:pt idx="62">
                  <c:v>40</c:v>
                </c:pt>
                <c:pt idx="63">
                  <c:v>57</c:v>
                </c:pt>
                <c:pt idx="64">
                  <c:v>23</c:v>
                </c:pt>
                <c:pt idx="65">
                  <c:v>51</c:v>
                </c:pt>
                <c:pt idx="66">
                  <c:v>11</c:v>
                </c:pt>
                <c:pt idx="67">
                  <c:v>67</c:v>
                </c:pt>
                <c:pt idx="68">
                  <c:v>35</c:v>
                </c:pt>
              </c:numCache>
            </c:numRef>
          </c:cat>
          <c:val>
            <c:numRef>
              <c:f>'Major Lower Limb Amputation'!$W$8:$W$76</c:f>
              <c:numCache>
                <c:formatCode>0.0%</c:formatCode>
                <c:ptCount val="69"/>
                <c:pt idx="0">
                  <c:v>0.59</c:v>
                </c:pt>
                <c:pt idx="1">
                  <c:v>0</c:v>
                </c:pt>
                <c:pt idx="2">
                  <c:v>0.75</c:v>
                </c:pt>
                <c:pt idx="3">
                  <c:v>0.91</c:v>
                </c:pt>
                <c:pt idx="4">
                  <c:v>0.56999999999999995</c:v>
                </c:pt>
                <c:pt idx="5">
                  <c:v>0.57999999999999996</c:v>
                </c:pt>
                <c:pt idx="6">
                  <c:v>0.55000000000000004</c:v>
                </c:pt>
                <c:pt idx="7">
                  <c:v>0.23</c:v>
                </c:pt>
                <c:pt idx="8">
                  <c:v>0.9</c:v>
                </c:pt>
                <c:pt idx="9">
                  <c:v>0.59</c:v>
                </c:pt>
                <c:pt idx="10">
                  <c:v>0.87</c:v>
                </c:pt>
                <c:pt idx="11">
                  <c:v>0.6</c:v>
                </c:pt>
                <c:pt idx="12">
                  <c:v>0.86</c:v>
                </c:pt>
                <c:pt idx="13">
                  <c:v>0.37</c:v>
                </c:pt>
                <c:pt idx="14">
                  <c:v>0.56999999999999995</c:v>
                </c:pt>
                <c:pt idx="15">
                  <c:v>0.96</c:v>
                </c:pt>
                <c:pt idx="16">
                  <c:v>0.82</c:v>
                </c:pt>
                <c:pt idx="17">
                  <c:v>7.0000000000000007E-2</c:v>
                </c:pt>
                <c:pt idx="18">
                  <c:v>1</c:v>
                </c:pt>
                <c:pt idx="19">
                  <c:v>0.21</c:v>
                </c:pt>
                <c:pt idx="20">
                  <c:v>1</c:v>
                </c:pt>
                <c:pt idx="21">
                  <c:v>0.96</c:v>
                </c:pt>
                <c:pt idx="22">
                  <c:v>0.82</c:v>
                </c:pt>
                <c:pt idx="23">
                  <c:v>0.68</c:v>
                </c:pt>
                <c:pt idx="24">
                  <c:v>0.95</c:v>
                </c:pt>
                <c:pt idx="25">
                  <c:v>0.52</c:v>
                </c:pt>
                <c:pt idx="26">
                  <c:v>0.78</c:v>
                </c:pt>
                <c:pt idx="27">
                  <c:v>0.62</c:v>
                </c:pt>
                <c:pt idx="28">
                  <c:v>0.44</c:v>
                </c:pt>
                <c:pt idx="29">
                  <c:v>0</c:v>
                </c:pt>
                <c:pt idx="30">
                  <c:v>1</c:v>
                </c:pt>
                <c:pt idx="31">
                  <c:v>0.8</c:v>
                </c:pt>
                <c:pt idx="32">
                  <c:v>0.96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0.99</c:v>
                </c:pt>
                <c:pt idx="37">
                  <c:v>0.77</c:v>
                </c:pt>
                <c:pt idx="38">
                  <c:v>0.49</c:v>
                </c:pt>
                <c:pt idx="39">
                  <c:v>0.56999999999999995</c:v>
                </c:pt>
                <c:pt idx="40">
                  <c:v>0.39</c:v>
                </c:pt>
                <c:pt idx="41">
                  <c:v>0.68</c:v>
                </c:pt>
                <c:pt idx="42">
                  <c:v>0.99</c:v>
                </c:pt>
                <c:pt idx="43">
                  <c:v>0.14000000000000001</c:v>
                </c:pt>
                <c:pt idx="44">
                  <c:v>0.78</c:v>
                </c:pt>
                <c:pt idx="45">
                  <c:v>0.76</c:v>
                </c:pt>
                <c:pt idx="46">
                  <c:v>0.87</c:v>
                </c:pt>
                <c:pt idx="47">
                  <c:v>0.91</c:v>
                </c:pt>
                <c:pt idx="48">
                  <c:v>0.9</c:v>
                </c:pt>
                <c:pt idx="49">
                  <c:v>0.91</c:v>
                </c:pt>
                <c:pt idx="50">
                  <c:v>0.67</c:v>
                </c:pt>
                <c:pt idx="51">
                  <c:v>0.52</c:v>
                </c:pt>
                <c:pt idx="52">
                  <c:v>0.84</c:v>
                </c:pt>
                <c:pt idx="53">
                  <c:v>0.82</c:v>
                </c:pt>
                <c:pt idx="54">
                  <c:v>0.71</c:v>
                </c:pt>
                <c:pt idx="55">
                  <c:v>0</c:v>
                </c:pt>
                <c:pt idx="56">
                  <c:v>0.97</c:v>
                </c:pt>
                <c:pt idx="57">
                  <c:v>0.94</c:v>
                </c:pt>
                <c:pt idx="58">
                  <c:v>0.4</c:v>
                </c:pt>
                <c:pt idx="59">
                  <c:v>0.99</c:v>
                </c:pt>
                <c:pt idx="60">
                  <c:v>0.51</c:v>
                </c:pt>
                <c:pt idx="61">
                  <c:v>0.86</c:v>
                </c:pt>
                <c:pt idx="62">
                  <c:v>0.83</c:v>
                </c:pt>
                <c:pt idx="63">
                  <c:v>0.96</c:v>
                </c:pt>
                <c:pt idx="64">
                  <c:v>0.59</c:v>
                </c:pt>
                <c:pt idx="65">
                  <c:v>0.93</c:v>
                </c:pt>
                <c:pt idx="66">
                  <c:v>0.45</c:v>
                </c:pt>
                <c:pt idx="67">
                  <c:v>1</c:v>
                </c:pt>
                <c:pt idx="68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1-4FEE-A1EA-14B09CB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areaChart>
      <c:scatterChart>
        <c:scatterStyle val="lineMarker"/>
        <c:varyColors val="0"/>
        <c:ser>
          <c:idx val="1"/>
          <c:order val="1"/>
          <c:tx>
            <c:strRef>
              <c:f>'Amputation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'Amputation Summary'!$AD$4</c:f>
              <c:numCache>
                <c:formatCode>General</c:formatCode>
                <c:ptCount val="1"/>
                <c:pt idx="0">
                  <c:v>21</c:v>
                </c:pt>
              </c:numCache>
            </c:numRef>
          </c:xVal>
          <c:yVal>
            <c:numRef>
              <c:f>'Amputation Summary'!$AB$4</c:f>
              <c:numCache>
                <c:formatCode>General</c:formatCode>
                <c:ptCount val="1"/>
                <c:pt idx="0">
                  <c:v>0.59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81-4FEE-A1EA-14B09CB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scatterChart>
      <c:dateAx>
        <c:axId val="636777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780232"/>
        <c:crosses val="autoZero"/>
        <c:auto val="0"/>
        <c:lblOffset val="100"/>
        <c:baseTimeUnit val="days"/>
      </c:dateAx>
      <c:valAx>
        <c:axId val="636780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'Major Lower Limb Amputation'!$I$8:$I$76</c:f>
          <c:strCache>
            <c:ptCount val="69"/>
            <c:pt idx="0">
              <c:v>0.68</c:v>
            </c:pt>
            <c:pt idx="1">
              <c:v>1.82</c:v>
            </c:pt>
            <c:pt idx="2">
              <c:v>1.00</c:v>
            </c:pt>
            <c:pt idx="3">
              <c:v>0.83</c:v>
            </c:pt>
            <c:pt idx="4">
              <c:v>0.61</c:v>
            </c:pt>
            <c:pt idx="5">
              <c:v>1.11</c:v>
            </c:pt>
            <c:pt idx="6">
              <c:v>2.63</c:v>
            </c:pt>
            <c:pt idx="7">
              <c:v>0.89</c:v>
            </c:pt>
            <c:pt idx="8">
              <c:v>1.09</c:v>
            </c:pt>
            <c:pt idx="9">
              <c:v>1.52</c:v>
            </c:pt>
            <c:pt idx="10">
              <c:v>1.09</c:v>
            </c:pt>
            <c:pt idx="11">
              <c:v>0.43</c:v>
            </c:pt>
            <c:pt idx="12">
              <c:v>0.57</c:v>
            </c:pt>
            <c:pt idx="13">
              <c:v>0.59</c:v>
            </c:pt>
            <c:pt idx="14">
              <c:v>1.88</c:v>
            </c:pt>
            <c:pt idx="15">
              <c:v>0.28</c:v>
            </c:pt>
            <c:pt idx="16">
              <c:v>0.26</c:v>
            </c:pt>
            <c:pt idx="17">
              <c:v>0.65</c:v>
            </c:pt>
            <c:pt idx="18">
              <c:v>0.47</c:v>
            </c:pt>
            <c:pt idx="19">
              <c:v>1.15</c:v>
            </c:pt>
            <c:pt idx="20">
              <c:v>1.20</c:v>
            </c:pt>
            <c:pt idx="21">
              <c:v>1.67</c:v>
            </c:pt>
            <c:pt idx="22">
              <c:v>0.61</c:v>
            </c:pt>
            <c:pt idx="23">
              <c:v>0.94</c:v>
            </c:pt>
            <c:pt idx="24">
              <c:v>0.67</c:v>
            </c:pt>
            <c:pt idx="25">
              <c:v>1.19</c:v>
            </c:pt>
            <c:pt idx="26">
              <c:v>1.25</c:v>
            </c:pt>
            <c:pt idx="27">
              <c:v>1.12</c:v>
            </c:pt>
            <c:pt idx="28">
              <c:v>2.86</c:v>
            </c:pt>
            <c:pt idx="29">
              <c:v>#VALUE!</c:v>
            </c:pt>
            <c:pt idx="30">
              <c:v>#VALUE!</c:v>
            </c:pt>
            <c:pt idx="31">
              <c:v>#VALUE!</c:v>
            </c:pt>
            <c:pt idx="32">
              <c:v>0.22</c:v>
            </c:pt>
            <c:pt idx="33">
              <c:v>1.19</c:v>
            </c:pt>
            <c:pt idx="34">
              <c:v>#VALUE!</c:v>
            </c:pt>
            <c:pt idx="35">
              <c:v>#VALUE!</c:v>
            </c:pt>
            <c:pt idx="36">
              <c:v>0.73</c:v>
            </c:pt>
            <c:pt idx="37">
              <c:v>0.56</c:v>
            </c:pt>
            <c:pt idx="38">
              <c:v>3.11</c:v>
            </c:pt>
            <c:pt idx="39">
              <c:v>0.68</c:v>
            </c:pt>
            <c:pt idx="40">
              <c:v>0.91</c:v>
            </c:pt>
            <c:pt idx="41">
              <c:v>1.00</c:v>
            </c:pt>
            <c:pt idx="42">
              <c:v>1.32</c:v>
            </c:pt>
            <c:pt idx="43">
              <c:v>1.33</c:v>
            </c:pt>
            <c:pt idx="44">
              <c:v>0.71</c:v>
            </c:pt>
            <c:pt idx="45">
              <c:v>0.77</c:v>
            </c:pt>
            <c:pt idx="46">
              <c:v>1.00</c:v>
            </c:pt>
            <c:pt idx="47">
              <c:v>1.75</c:v>
            </c:pt>
            <c:pt idx="48">
              <c:v>1.42</c:v>
            </c:pt>
            <c:pt idx="49">
              <c:v>1.09</c:v>
            </c:pt>
            <c:pt idx="50">
              <c:v>2.94</c:v>
            </c:pt>
            <c:pt idx="51">
              <c:v>0.90</c:v>
            </c:pt>
            <c:pt idx="52">
              <c:v>1.25</c:v>
            </c:pt>
            <c:pt idx="53">
              <c:v>1.57</c:v>
            </c:pt>
            <c:pt idx="54">
              <c:v>0.74</c:v>
            </c:pt>
            <c:pt idx="55">
              <c:v>#VALUE!</c:v>
            </c:pt>
            <c:pt idx="56">
              <c:v>3.75</c:v>
            </c:pt>
            <c:pt idx="57">
              <c:v>0.85</c:v>
            </c:pt>
            <c:pt idx="58">
              <c:v>0.50</c:v>
            </c:pt>
            <c:pt idx="59">
              <c:v>2.43</c:v>
            </c:pt>
            <c:pt idx="60">
              <c:v>0.73</c:v>
            </c:pt>
            <c:pt idx="61">
              <c:v>0.45</c:v>
            </c:pt>
            <c:pt idx="62">
              <c:v>0.81</c:v>
            </c:pt>
            <c:pt idx="63">
              <c:v>1.14</c:v>
            </c:pt>
            <c:pt idx="64">
              <c:v>0.58</c:v>
            </c:pt>
            <c:pt idx="65">
              <c:v>0.36</c:v>
            </c:pt>
            <c:pt idx="66">
              <c:v>#VALUE!</c:v>
            </c:pt>
            <c:pt idx="67">
              <c:v>1.21</c:v>
            </c:pt>
            <c:pt idx="68">
              <c:v>1.06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'Major Lower Limb Amputation'!$I$7</c:f>
              <c:strCache>
                <c:ptCount val="1"/>
                <c:pt idx="0">
                  <c:v>AKA:BKA 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'Major Lower Limb Amputation'!$AO$8:$AO$76</c:f>
                <c:numCache>
                  <c:formatCode>General</c:formatCode>
                  <c:ptCount val="69"/>
                  <c:pt idx="0">
                    <c:v>0.31818181276321411</c:v>
                  </c:pt>
                  <c:pt idx="1">
                    <c:v>0.59848487377166748</c:v>
                  </c:pt>
                  <c:pt idx="2">
                    <c:v>0.39999997615814209</c:v>
                  </c:pt>
                  <c:pt idx="3">
                    <c:v>7.9710185527801514E-2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3.9142608642578125E-2</c:v>
                  </c:pt>
                  <c:pt idx="8">
                    <c:v>8.2815885543823242E-3</c:v>
                  </c:pt>
                  <c:pt idx="9">
                    <c:v>7.6508641242980957E-2</c:v>
                  </c:pt>
                  <c:pt idx="10">
                    <c:v>0</c:v>
                  </c:pt>
                  <c:pt idx="11">
                    <c:v>0</c:v>
                  </c:pt>
                  <c:pt idx="12">
                    <c:v>1.3452380299568176</c:v>
                  </c:pt>
                  <c:pt idx="13">
                    <c:v>0</c:v>
                  </c:pt>
                  <c:pt idx="14">
                    <c:v>0</c:v>
                  </c:pt>
                  <c:pt idx="15">
                    <c:v>5.8333337306976318E-2</c:v>
                  </c:pt>
                  <c:pt idx="16">
                    <c:v>0.70227918028831482</c:v>
                  </c:pt>
                  <c:pt idx="17">
                    <c:v>9.6530914306640625E-2</c:v>
                  </c:pt>
                  <c:pt idx="18">
                    <c:v>2.4561405181884766E-2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0.65187972784042358</c:v>
                  </c:pt>
                  <c:pt idx="23">
                    <c:v>0.32987010478973389</c:v>
                  </c:pt>
                  <c:pt idx="24">
                    <c:v>0</c:v>
                  </c:pt>
                  <c:pt idx="25">
                    <c:v>0</c:v>
                  </c:pt>
                  <c:pt idx="26">
                    <c:v>2.75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9.2892348766326904E-2</c:v>
                  </c:pt>
                  <c:pt idx="37">
                    <c:v>0.52689081430435181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0.23076927661895752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7.2874486446380615E-2</c:v>
                  </c:pt>
                  <c:pt idx="46">
                    <c:v>0.70000004768371582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  <c:pt idx="50">
                    <c:v>0</c:v>
                  </c:pt>
                  <c:pt idx="51">
                    <c:v>0.49890357255935669</c:v>
                  </c:pt>
                  <c:pt idx="52">
                    <c:v>1.0357143878936768</c:v>
                  </c:pt>
                  <c:pt idx="53">
                    <c:v>0</c:v>
                  </c:pt>
                  <c:pt idx="54">
                    <c:v>0.16513055562973022</c:v>
                  </c:pt>
                  <c:pt idx="55">
                    <c:v>0</c:v>
                  </c:pt>
                  <c:pt idx="56">
                    <c:v>0</c:v>
                  </c:pt>
                  <c:pt idx="57">
                    <c:v>0.25473803281784058</c:v>
                  </c:pt>
                  <c:pt idx="58">
                    <c:v>0.4189189076423645</c:v>
                  </c:pt>
                  <c:pt idx="59">
                    <c:v>0</c:v>
                  </c:pt>
                  <c:pt idx="60">
                    <c:v>0.27272725105285645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0.62307697534561157</c:v>
                  </c:pt>
                  <c:pt idx="65">
                    <c:v>0.57386362552642822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</c:numCache>
              </c:numRef>
            </c:plus>
            <c:minus>
              <c:numRef>
                <c:f>'Major Lower Limb Amputation'!$AP$8:$AP$76</c:f>
                <c:numCache>
                  <c:formatCode>General</c:formatCode>
                  <c:ptCount val="6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6.7383229732513428E-2</c:v>
                  </c:pt>
                  <c:pt idx="5">
                    <c:v>0.36428570747375488</c:v>
                  </c:pt>
                  <c:pt idx="6">
                    <c:v>0.41071438789367676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0.31313133239746094</c:v>
                  </c:pt>
                  <c:pt idx="11">
                    <c:v>5.3571432828903198E-2</c:v>
                  </c:pt>
                  <c:pt idx="12">
                    <c:v>0</c:v>
                  </c:pt>
                  <c:pt idx="13">
                    <c:v>3.5353481769561768E-2</c:v>
                  </c:pt>
                  <c:pt idx="14">
                    <c:v>0.80833327770233154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0.45434778928756714</c:v>
                  </c:pt>
                  <c:pt idx="20">
                    <c:v>0.53333336114883423</c:v>
                  </c:pt>
                  <c:pt idx="21">
                    <c:v>0.48036456108093262</c:v>
                  </c:pt>
                  <c:pt idx="22">
                    <c:v>0</c:v>
                  </c:pt>
                  <c:pt idx="23">
                    <c:v>0</c:v>
                  </c:pt>
                  <c:pt idx="24">
                    <c:v>9.5238089561462402E-2</c:v>
                  </c:pt>
                  <c:pt idx="25">
                    <c:v>0.63492059707641602</c:v>
                  </c:pt>
                  <c:pt idx="26">
                    <c:v>0</c:v>
                  </c:pt>
                  <c:pt idx="27">
                    <c:v>0.39272725582122803</c:v>
                  </c:pt>
                  <c:pt idx="28">
                    <c:v>0.99667775630950928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9.7391299903392792E-2</c:v>
                  </c:pt>
                  <c:pt idx="33">
                    <c:v>0.43056851625442505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2.0634920597076416</c:v>
                  </c:pt>
                  <c:pt idx="39">
                    <c:v>1.3333320617675781E-2</c:v>
                  </c:pt>
                  <c:pt idx="40">
                    <c:v>0.25072675943374634</c:v>
                  </c:pt>
                  <c:pt idx="41">
                    <c:v>0</c:v>
                  </c:pt>
                  <c:pt idx="42">
                    <c:v>0.19449710845947266</c:v>
                  </c:pt>
                  <c:pt idx="43">
                    <c:v>0.33333337306976318</c:v>
                  </c:pt>
                  <c:pt idx="44">
                    <c:v>0.3154761791229248</c:v>
                  </c:pt>
                  <c:pt idx="45">
                    <c:v>0</c:v>
                  </c:pt>
                  <c:pt idx="46">
                    <c:v>0</c:v>
                  </c:pt>
                  <c:pt idx="47">
                    <c:v>8.3333373069763184E-2</c:v>
                  </c:pt>
                  <c:pt idx="48">
                    <c:v>0.51666665077209473</c:v>
                  </c:pt>
                  <c:pt idx="49">
                    <c:v>0.50757580995559692</c:v>
                  </c:pt>
                  <c:pt idx="50">
                    <c:v>0.48663091659545898</c:v>
                  </c:pt>
                  <c:pt idx="51">
                    <c:v>0</c:v>
                  </c:pt>
                  <c:pt idx="52">
                    <c:v>0</c:v>
                  </c:pt>
                  <c:pt idx="53">
                    <c:v>3.4234285354614258E-2</c:v>
                  </c:pt>
                  <c:pt idx="54">
                    <c:v>0</c:v>
                  </c:pt>
                  <c:pt idx="55">
                    <c:v>0</c:v>
                  </c:pt>
                  <c:pt idx="56">
                    <c:v>1.8928571939468384</c:v>
                  </c:pt>
                  <c:pt idx="57">
                    <c:v>0</c:v>
                  </c:pt>
                  <c:pt idx="58">
                    <c:v>0</c:v>
                  </c:pt>
                  <c:pt idx="59">
                    <c:v>1.2090592384338379</c:v>
                  </c:pt>
                  <c:pt idx="60">
                    <c:v>0</c:v>
                  </c:pt>
                  <c:pt idx="61">
                    <c:v>5.869564414024353E-2</c:v>
                  </c:pt>
                  <c:pt idx="62">
                    <c:v>0.431547611951828</c:v>
                  </c:pt>
                  <c:pt idx="63">
                    <c:v>0.52380955219268799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8.5526347160339355E-2</c:v>
                  </c:pt>
                  <c:pt idx="68">
                    <c:v>0.47660821676254272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'Major Lower Limb Amputation'!$AQ$8:$AQ$76</c:f>
              <c:numCache>
                <c:formatCode>General</c:formatCode>
                <c:ptCount val="69"/>
                <c:pt idx="0">
                  <c:v>18</c:v>
                </c:pt>
                <c:pt idx="1">
                  <c:v>55</c:v>
                </c:pt>
                <c:pt idx="2">
                  <c:v>31</c:v>
                </c:pt>
                <c:pt idx="3">
                  <c:v>25</c:v>
                </c:pt>
                <c:pt idx="4">
                  <c:v>14</c:v>
                </c:pt>
                <c:pt idx="5">
                  <c:v>38</c:v>
                </c:pt>
                <c:pt idx="6">
                  <c:v>58</c:v>
                </c:pt>
                <c:pt idx="7">
                  <c:v>27</c:v>
                </c:pt>
                <c:pt idx="8">
                  <c:v>35</c:v>
                </c:pt>
                <c:pt idx="9">
                  <c:v>51</c:v>
                </c:pt>
                <c:pt idx="10">
                  <c:v>36</c:v>
                </c:pt>
                <c:pt idx="11">
                  <c:v>5</c:v>
                </c:pt>
                <c:pt idx="12">
                  <c:v>10</c:v>
                </c:pt>
                <c:pt idx="13">
                  <c:v>12</c:v>
                </c:pt>
                <c:pt idx="14">
                  <c:v>56</c:v>
                </c:pt>
                <c:pt idx="15">
                  <c:v>3</c:v>
                </c:pt>
                <c:pt idx="16">
                  <c:v>2</c:v>
                </c:pt>
                <c:pt idx="17">
                  <c:v>15</c:v>
                </c:pt>
                <c:pt idx="18">
                  <c:v>7</c:v>
                </c:pt>
                <c:pt idx="19">
                  <c:v>41</c:v>
                </c:pt>
                <c:pt idx="20">
                  <c:v>44</c:v>
                </c:pt>
                <c:pt idx="21">
                  <c:v>53</c:v>
                </c:pt>
                <c:pt idx="22">
                  <c:v>13</c:v>
                </c:pt>
                <c:pt idx="23">
                  <c:v>30</c:v>
                </c:pt>
                <c:pt idx="24">
                  <c:v>16</c:v>
                </c:pt>
                <c:pt idx="25">
                  <c:v>43</c:v>
                </c:pt>
                <c:pt idx="26">
                  <c:v>46</c:v>
                </c:pt>
                <c:pt idx="27">
                  <c:v>39</c:v>
                </c:pt>
                <c:pt idx="28">
                  <c:v>59</c:v>
                </c:pt>
                <c:pt idx="29" formatCode="0%">
                  <c:v>0</c:v>
                </c:pt>
                <c:pt idx="30" formatCode="0%">
                  <c:v>0</c:v>
                </c:pt>
                <c:pt idx="31" formatCode="0%">
                  <c:v>0</c:v>
                </c:pt>
                <c:pt idx="32">
                  <c:v>1</c:v>
                </c:pt>
                <c:pt idx="33">
                  <c:v>42</c:v>
                </c:pt>
                <c:pt idx="34" formatCode="0%">
                  <c:v>0</c:v>
                </c:pt>
                <c:pt idx="35" formatCode="0%">
                  <c:v>0</c:v>
                </c:pt>
                <c:pt idx="36">
                  <c:v>21</c:v>
                </c:pt>
                <c:pt idx="37">
                  <c:v>9</c:v>
                </c:pt>
                <c:pt idx="38">
                  <c:v>61</c:v>
                </c:pt>
                <c:pt idx="39">
                  <c:v>17</c:v>
                </c:pt>
                <c:pt idx="40">
                  <c:v>29</c:v>
                </c:pt>
                <c:pt idx="41">
                  <c:v>32</c:v>
                </c:pt>
                <c:pt idx="42">
                  <c:v>48</c:v>
                </c:pt>
                <c:pt idx="43">
                  <c:v>49</c:v>
                </c:pt>
                <c:pt idx="44">
                  <c:v>19</c:v>
                </c:pt>
                <c:pt idx="45">
                  <c:v>23</c:v>
                </c:pt>
                <c:pt idx="46">
                  <c:v>33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60</c:v>
                </c:pt>
                <c:pt idx="51">
                  <c:v>28</c:v>
                </c:pt>
                <c:pt idx="52">
                  <c:v>47</c:v>
                </c:pt>
                <c:pt idx="53">
                  <c:v>52</c:v>
                </c:pt>
                <c:pt idx="54">
                  <c:v>22</c:v>
                </c:pt>
                <c:pt idx="55" formatCode="0%">
                  <c:v>0</c:v>
                </c:pt>
                <c:pt idx="56">
                  <c:v>62</c:v>
                </c:pt>
                <c:pt idx="57">
                  <c:v>26</c:v>
                </c:pt>
                <c:pt idx="58">
                  <c:v>8</c:v>
                </c:pt>
                <c:pt idx="59">
                  <c:v>57</c:v>
                </c:pt>
                <c:pt idx="60">
                  <c:v>20</c:v>
                </c:pt>
                <c:pt idx="61">
                  <c:v>6</c:v>
                </c:pt>
                <c:pt idx="62">
                  <c:v>24</c:v>
                </c:pt>
                <c:pt idx="63">
                  <c:v>40</c:v>
                </c:pt>
                <c:pt idx="64">
                  <c:v>11</c:v>
                </c:pt>
                <c:pt idx="65">
                  <c:v>4</c:v>
                </c:pt>
                <c:pt idx="66" formatCode="0%">
                  <c:v>0</c:v>
                </c:pt>
                <c:pt idx="67">
                  <c:v>45</c:v>
                </c:pt>
                <c:pt idx="68">
                  <c:v>34</c:v>
                </c:pt>
              </c:numCache>
            </c:numRef>
          </c:xVal>
          <c:yVal>
            <c:numRef>
              <c:f>'Major Lower Limb Amputation'!$I$8:$I$76</c:f>
              <c:numCache>
                <c:formatCode>0.00</c:formatCode>
                <c:ptCount val="69"/>
                <c:pt idx="0">
                  <c:v>0.68181818723678589</c:v>
                </c:pt>
                <c:pt idx="1">
                  <c:v>1.8181818723678589</c:v>
                </c:pt>
                <c:pt idx="2">
                  <c:v>1</c:v>
                </c:pt>
                <c:pt idx="3">
                  <c:v>0.83333331346511841</c:v>
                </c:pt>
                <c:pt idx="4">
                  <c:v>0.60975611209869385</c:v>
                </c:pt>
                <c:pt idx="5">
                  <c:v>1.1142857074737549</c:v>
                </c:pt>
                <c:pt idx="6">
                  <c:v>2.625</c:v>
                </c:pt>
                <c:pt idx="7">
                  <c:v>0.89189189672470093</c:v>
                </c:pt>
                <c:pt idx="8">
                  <c:v>1.0869565010070801</c:v>
                </c:pt>
                <c:pt idx="9">
                  <c:v>1.517241358757019</c:v>
                </c:pt>
                <c:pt idx="10">
                  <c:v>1.0909091234207153</c:v>
                </c:pt>
                <c:pt idx="11">
                  <c:v>0.4285714328289032</c:v>
                </c:pt>
                <c:pt idx="12">
                  <c:v>0.57142859697341919</c:v>
                </c:pt>
                <c:pt idx="13">
                  <c:v>0.59090906381607056</c:v>
                </c:pt>
                <c:pt idx="14">
                  <c:v>1.875</c:v>
                </c:pt>
                <c:pt idx="15">
                  <c:v>0.27500000596046448</c:v>
                </c:pt>
                <c:pt idx="16">
                  <c:v>0.25925925374031067</c:v>
                </c:pt>
                <c:pt idx="17">
                  <c:v>0.64705884456634521</c:v>
                </c:pt>
                <c:pt idx="18">
                  <c:v>0.46666666865348816</c:v>
                </c:pt>
                <c:pt idx="19">
                  <c:v>1.1499999761581421</c:v>
                </c:pt>
                <c:pt idx="20">
                  <c:v>1.2000000476837158</c:v>
                </c:pt>
                <c:pt idx="21">
                  <c:v>1.6739130020141602</c:v>
                </c:pt>
                <c:pt idx="22">
                  <c:v>0.60526317358016968</c:v>
                </c:pt>
                <c:pt idx="23">
                  <c:v>0.94285714626312256</c:v>
                </c:pt>
                <c:pt idx="24">
                  <c:v>0.66666668653488159</c:v>
                </c:pt>
                <c:pt idx="25">
                  <c:v>1.1904761791229248</c:v>
                </c:pt>
                <c:pt idx="26">
                  <c:v>1.25</c:v>
                </c:pt>
                <c:pt idx="27">
                  <c:v>1.1200000047683716</c:v>
                </c:pt>
                <c:pt idx="28">
                  <c:v>2.8571429252624512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>
                  <c:v>0.21739129722118378</c:v>
                </c:pt>
                <c:pt idx="33">
                  <c:v>1.1891891956329346</c:v>
                </c:pt>
                <c:pt idx="34" formatCode="General">
                  <c:v>0</c:v>
                </c:pt>
                <c:pt idx="35" formatCode="General">
                  <c:v>0</c:v>
                </c:pt>
                <c:pt idx="36">
                  <c:v>0.73469388484954834</c:v>
                </c:pt>
                <c:pt idx="37">
                  <c:v>0.55882352590560913</c:v>
                </c:pt>
                <c:pt idx="38">
                  <c:v>3.1111111640930176</c:v>
                </c:pt>
                <c:pt idx="39">
                  <c:v>0.68000000715255737</c:v>
                </c:pt>
                <c:pt idx="40">
                  <c:v>0.90697675943374634</c:v>
                </c:pt>
                <c:pt idx="41">
                  <c:v>1</c:v>
                </c:pt>
                <c:pt idx="42">
                  <c:v>1.3235293626785278</c:v>
                </c:pt>
                <c:pt idx="43">
                  <c:v>1.3333333730697632</c:v>
                </c:pt>
                <c:pt idx="44">
                  <c:v>0.70833331346511841</c:v>
                </c:pt>
                <c:pt idx="45">
                  <c:v>0.76923078298568726</c:v>
                </c:pt>
                <c:pt idx="46">
                  <c:v>1</c:v>
                </c:pt>
                <c:pt idx="47">
                  <c:v>1.75</c:v>
                </c:pt>
                <c:pt idx="48">
                  <c:v>1.4166666269302368</c:v>
                </c:pt>
                <c:pt idx="49">
                  <c:v>1.0909091234207153</c:v>
                </c:pt>
                <c:pt idx="50">
                  <c:v>2.9411764144897461</c:v>
                </c:pt>
                <c:pt idx="51">
                  <c:v>0.89583331346511841</c:v>
                </c:pt>
                <c:pt idx="52">
                  <c:v>1.25</c:v>
                </c:pt>
                <c:pt idx="53">
                  <c:v>1.5675675868988037</c:v>
                </c:pt>
                <c:pt idx="54">
                  <c:v>0.73809522390365601</c:v>
                </c:pt>
                <c:pt idx="55" formatCode="General">
                  <c:v>0</c:v>
                </c:pt>
                <c:pt idx="56">
                  <c:v>3.75</c:v>
                </c:pt>
                <c:pt idx="57">
                  <c:v>0.84782606363296509</c:v>
                </c:pt>
                <c:pt idx="58">
                  <c:v>0.5</c:v>
                </c:pt>
                <c:pt idx="59">
                  <c:v>2.4285714626312256</c:v>
                </c:pt>
                <c:pt idx="60">
                  <c:v>0.72727274894714355</c:v>
                </c:pt>
                <c:pt idx="61">
                  <c:v>0.44999998807907104</c:v>
                </c:pt>
                <c:pt idx="62">
                  <c:v>0.8125</c:v>
                </c:pt>
                <c:pt idx="63">
                  <c:v>1.1428571939468384</c:v>
                </c:pt>
                <c:pt idx="64">
                  <c:v>0.57692307233810425</c:v>
                </c:pt>
                <c:pt idx="65">
                  <c:v>0.36363637447357178</c:v>
                </c:pt>
                <c:pt idx="66" formatCode="General">
                  <c:v>0</c:v>
                </c:pt>
                <c:pt idx="67">
                  <c:v>1.2105263471603394</c:v>
                </c:pt>
                <c:pt idx="68">
                  <c:v>1.0555555820465088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1E-4601-ACB5-2F25970004B4}"/>
            </c:ext>
          </c:extLst>
        </c:ser>
        <c:ser>
          <c:idx val="1"/>
          <c:order val="1"/>
          <c:tx>
            <c:strRef>
              <c:f>'Amputation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'Amputation Summary'!$AC$6</c:f>
                <c:numCache>
                  <c:formatCode>General</c:formatCode>
                  <c:ptCount val="1"/>
                  <c:pt idx="0">
                    <c:v>0.31818181276321411</c:v>
                  </c:pt>
                </c:numCache>
              </c:numRef>
            </c:plus>
            <c:minus>
              <c:numRef>
                <c:f>'Amputation Summary'!$AB$6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noFill/>
              <a:ln w="31750" cap="flat" cmpd="sng" algn="ctr">
                <a:solidFill>
                  <a:srgbClr val="00B050"/>
                </a:solidFill>
                <a:round/>
              </a:ln>
              <a:effectLst/>
            </c:spPr>
          </c:errBars>
          <c:xVal>
            <c:numRef>
              <c:f>'Amputation Summary'!$AD$6</c:f>
              <c:numCache>
                <c:formatCode>General</c:formatCode>
                <c:ptCount val="1"/>
                <c:pt idx="0">
                  <c:v>18</c:v>
                </c:pt>
              </c:numCache>
            </c:numRef>
          </c:xVal>
          <c:yVal>
            <c:numRef>
              <c:f>'Amputation Summary'!$AA$6</c:f>
              <c:numCache>
                <c:formatCode>General</c:formatCode>
                <c:ptCount val="1"/>
                <c:pt idx="0">
                  <c:v>0.68181818723678589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1E-4601-ACB5-2F25970004B4}"/>
            </c:ext>
          </c:extLst>
        </c:ser>
        <c:ser>
          <c:idx val="2"/>
          <c:order val="2"/>
          <c:tx>
            <c:v>AKA:BKA Standard</c:v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'Major Lower Limb Amputation'!$AQ$8:$AQ$76</c:f>
              <c:numCache>
                <c:formatCode>General</c:formatCode>
                <c:ptCount val="69"/>
                <c:pt idx="0">
                  <c:v>18</c:v>
                </c:pt>
                <c:pt idx="1">
                  <c:v>55</c:v>
                </c:pt>
                <c:pt idx="2">
                  <c:v>31</c:v>
                </c:pt>
                <c:pt idx="3">
                  <c:v>25</c:v>
                </c:pt>
                <c:pt idx="4">
                  <c:v>14</c:v>
                </c:pt>
                <c:pt idx="5">
                  <c:v>38</c:v>
                </c:pt>
                <c:pt idx="6">
                  <c:v>58</c:v>
                </c:pt>
                <c:pt idx="7">
                  <c:v>27</c:v>
                </c:pt>
                <c:pt idx="8">
                  <c:v>35</c:v>
                </c:pt>
                <c:pt idx="9">
                  <c:v>51</c:v>
                </c:pt>
                <c:pt idx="10">
                  <c:v>36</c:v>
                </c:pt>
                <c:pt idx="11">
                  <c:v>5</c:v>
                </c:pt>
                <c:pt idx="12">
                  <c:v>10</c:v>
                </c:pt>
                <c:pt idx="13">
                  <c:v>12</c:v>
                </c:pt>
                <c:pt idx="14">
                  <c:v>56</c:v>
                </c:pt>
                <c:pt idx="15">
                  <c:v>3</c:v>
                </c:pt>
                <c:pt idx="16">
                  <c:v>2</c:v>
                </c:pt>
                <c:pt idx="17">
                  <c:v>15</c:v>
                </c:pt>
                <c:pt idx="18">
                  <c:v>7</c:v>
                </c:pt>
                <c:pt idx="19">
                  <c:v>41</c:v>
                </c:pt>
                <c:pt idx="20">
                  <c:v>44</c:v>
                </c:pt>
                <c:pt idx="21">
                  <c:v>53</c:v>
                </c:pt>
                <c:pt idx="22">
                  <c:v>13</c:v>
                </c:pt>
                <c:pt idx="23">
                  <c:v>30</c:v>
                </c:pt>
                <c:pt idx="24">
                  <c:v>16</c:v>
                </c:pt>
                <c:pt idx="25">
                  <c:v>43</c:v>
                </c:pt>
                <c:pt idx="26">
                  <c:v>46</c:v>
                </c:pt>
                <c:pt idx="27">
                  <c:v>39</c:v>
                </c:pt>
                <c:pt idx="28">
                  <c:v>59</c:v>
                </c:pt>
                <c:pt idx="29" formatCode="0%">
                  <c:v>0</c:v>
                </c:pt>
                <c:pt idx="30" formatCode="0%">
                  <c:v>0</c:v>
                </c:pt>
                <c:pt idx="31" formatCode="0%">
                  <c:v>0</c:v>
                </c:pt>
                <c:pt idx="32">
                  <c:v>1</c:v>
                </c:pt>
                <c:pt idx="33">
                  <c:v>42</c:v>
                </c:pt>
                <c:pt idx="34" formatCode="0%">
                  <c:v>0</c:v>
                </c:pt>
                <c:pt idx="35" formatCode="0%">
                  <c:v>0</c:v>
                </c:pt>
                <c:pt idx="36">
                  <c:v>21</c:v>
                </c:pt>
                <c:pt idx="37">
                  <c:v>9</c:v>
                </c:pt>
                <c:pt idx="38">
                  <c:v>61</c:v>
                </c:pt>
                <c:pt idx="39">
                  <c:v>17</c:v>
                </c:pt>
                <c:pt idx="40">
                  <c:v>29</c:v>
                </c:pt>
                <c:pt idx="41">
                  <c:v>32</c:v>
                </c:pt>
                <c:pt idx="42">
                  <c:v>48</c:v>
                </c:pt>
                <c:pt idx="43">
                  <c:v>49</c:v>
                </c:pt>
                <c:pt idx="44">
                  <c:v>19</c:v>
                </c:pt>
                <c:pt idx="45">
                  <c:v>23</c:v>
                </c:pt>
                <c:pt idx="46">
                  <c:v>33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60</c:v>
                </c:pt>
                <c:pt idx="51">
                  <c:v>28</c:v>
                </c:pt>
                <c:pt idx="52">
                  <c:v>47</c:v>
                </c:pt>
                <c:pt idx="53">
                  <c:v>52</c:v>
                </c:pt>
                <c:pt idx="54">
                  <c:v>22</c:v>
                </c:pt>
                <c:pt idx="55" formatCode="0%">
                  <c:v>0</c:v>
                </c:pt>
                <c:pt idx="56">
                  <c:v>62</c:v>
                </c:pt>
                <c:pt idx="57">
                  <c:v>26</c:v>
                </c:pt>
                <c:pt idx="58">
                  <c:v>8</c:v>
                </c:pt>
                <c:pt idx="59">
                  <c:v>57</c:v>
                </c:pt>
                <c:pt idx="60">
                  <c:v>20</c:v>
                </c:pt>
                <c:pt idx="61">
                  <c:v>6</c:v>
                </c:pt>
                <c:pt idx="62">
                  <c:v>24</c:v>
                </c:pt>
                <c:pt idx="63">
                  <c:v>40</c:v>
                </c:pt>
                <c:pt idx="64">
                  <c:v>11</c:v>
                </c:pt>
                <c:pt idx="65">
                  <c:v>4</c:v>
                </c:pt>
                <c:pt idx="66" formatCode="0%">
                  <c:v>0</c:v>
                </c:pt>
                <c:pt idx="67">
                  <c:v>45</c:v>
                </c:pt>
                <c:pt idx="68">
                  <c:v>34</c:v>
                </c:pt>
              </c:numCache>
            </c:numRef>
          </c:xVal>
          <c:yVal>
            <c:numRef>
              <c:f>'Major Lower Limb Amputation'!$AN$8:$AN$76</c:f>
              <c:numCache>
                <c:formatCode>General</c:formatCode>
                <c:ptCount val="6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1E-4601-ACB5-2F25970004B4}"/>
            </c:ext>
          </c:extLst>
        </c:ser>
        <c:ser>
          <c:idx val="3"/>
          <c:order val="3"/>
          <c:tx>
            <c:strRef>
              <c:f>'Major Lower Limb Amputation'!$H$7</c:f>
              <c:strCache>
                <c:ptCount val="1"/>
                <c:pt idx="0">
                  <c:v>AKA:BKA  2019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'Major Lower Limb Amputation'!$AQ$8:$AQ$76</c:f>
              <c:numCache>
                <c:formatCode>General</c:formatCode>
                <c:ptCount val="69"/>
                <c:pt idx="0">
                  <c:v>18</c:v>
                </c:pt>
                <c:pt idx="1">
                  <c:v>55</c:v>
                </c:pt>
                <c:pt idx="2">
                  <c:v>31</c:v>
                </c:pt>
                <c:pt idx="3">
                  <c:v>25</c:v>
                </c:pt>
                <c:pt idx="4">
                  <c:v>14</c:v>
                </c:pt>
                <c:pt idx="5">
                  <c:v>38</c:v>
                </c:pt>
                <c:pt idx="6">
                  <c:v>58</c:v>
                </c:pt>
                <c:pt idx="7">
                  <c:v>27</c:v>
                </c:pt>
                <c:pt idx="8">
                  <c:v>35</c:v>
                </c:pt>
                <c:pt idx="9">
                  <c:v>51</c:v>
                </c:pt>
                <c:pt idx="10">
                  <c:v>36</c:v>
                </c:pt>
                <c:pt idx="11">
                  <c:v>5</c:v>
                </c:pt>
                <c:pt idx="12">
                  <c:v>10</c:v>
                </c:pt>
                <c:pt idx="13">
                  <c:v>12</c:v>
                </c:pt>
                <c:pt idx="14">
                  <c:v>56</c:v>
                </c:pt>
                <c:pt idx="15">
                  <c:v>3</c:v>
                </c:pt>
                <c:pt idx="16">
                  <c:v>2</c:v>
                </c:pt>
                <c:pt idx="17">
                  <c:v>15</c:v>
                </c:pt>
                <c:pt idx="18">
                  <c:v>7</c:v>
                </c:pt>
                <c:pt idx="19">
                  <c:v>41</c:v>
                </c:pt>
                <c:pt idx="20">
                  <c:v>44</c:v>
                </c:pt>
                <c:pt idx="21">
                  <c:v>53</c:v>
                </c:pt>
                <c:pt idx="22">
                  <c:v>13</c:v>
                </c:pt>
                <c:pt idx="23">
                  <c:v>30</c:v>
                </c:pt>
                <c:pt idx="24">
                  <c:v>16</c:v>
                </c:pt>
                <c:pt idx="25">
                  <c:v>43</c:v>
                </c:pt>
                <c:pt idx="26">
                  <c:v>46</c:v>
                </c:pt>
                <c:pt idx="27">
                  <c:v>39</c:v>
                </c:pt>
                <c:pt idx="28">
                  <c:v>59</c:v>
                </c:pt>
                <c:pt idx="29" formatCode="0%">
                  <c:v>0</c:v>
                </c:pt>
                <c:pt idx="30" formatCode="0%">
                  <c:v>0</c:v>
                </c:pt>
                <c:pt idx="31" formatCode="0%">
                  <c:v>0</c:v>
                </c:pt>
                <c:pt idx="32">
                  <c:v>1</c:v>
                </c:pt>
                <c:pt idx="33">
                  <c:v>42</c:v>
                </c:pt>
                <c:pt idx="34" formatCode="0%">
                  <c:v>0</c:v>
                </c:pt>
                <c:pt idx="35" formatCode="0%">
                  <c:v>0</c:v>
                </c:pt>
                <c:pt idx="36">
                  <c:v>21</c:v>
                </c:pt>
                <c:pt idx="37">
                  <c:v>9</c:v>
                </c:pt>
                <c:pt idx="38">
                  <c:v>61</c:v>
                </c:pt>
                <c:pt idx="39">
                  <c:v>17</c:v>
                </c:pt>
                <c:pt idx="40">
                  <c:v>29</c:v>
                </c:pt>
                <c:pt idx="41">
                  <c:v>32</c:v>
                </c:pt>
                <c:pt idx="42">
                  <c:v>48</c:v>
                </c:pt>
                <c:pt idx="43">
                  <c:v>49</c:v>
                </c:pt>
                <c:pt idx="44">
                  <c:v>19</c:v>
                </c:pt>
                <c:pt idx="45">
                  <c:v>23</c:v>
                </c:pt>
                <c:pt idx="46">
                  <c:v>33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60</c:v>
                </c:pt>
                <c:pt idx="51">
                  <c:v>28</c:v>
                </c:pt>
                <c:pt idx="52">
                  <c:v>47</c:v>
                </c:pt>
                <c:pt idx="53">
                  <c:v>52</c:v>
                </c:pt>
                <c:pt idx="54">
                  <c:v>22</c:v>
                </c:pt>
                <c:pt idx="55" formatCode="0%">
                  <c:v>0</c:v>
                </c:pt>
                <c:pt idx="56">
                  <c:v>62</c:v>
                </c:pt>
                <c:pt idx="57">
                  <c:v>26</c:v>
                </c:pt>
                <c:pt idx="58">
                  <c:v>8</c:v>
                </c:pt>
                <c:pt idx="59">
                  <c:v>57</c:v>
                </c:pt>
                <c:pt idx="60">
                  <c:v>20</c:v>
                </c:pt>
                <c:pt idx="61">
                  <c:v>6</c:v>
                </c:pt>
                <c:pt idx="62">
                  <c:v>24</c:v>
                </c:pt>
                <c:pt idx="63">
                  <c:v>40</c:v>
                </c:pt>
                <c:pt idx="64">
                  <c:v>11</c:v>
                </c:pt>
                <c:pt idx="65">
                  <c:v>4</c:v>
                </c:pt>
                <c:pt idx="66" formatCode="0%">
                  <c:v>0</c:v>
                </c:pt>
                <c:pt idx="67">
                  <c:v>45</c:v>
                </c:pt>
                <c:pt idx="68">
                  <c:v>34</c:v>
                </c:pt>
              </c:numCache>
            </c:numRef>
          </c:xVal>
          <c:yVal>
            <c:numRef>
              <c:f>'Major Lower Limb Amputation'!$H$8:$H$76</c:f>
              <c:numCache>
                <c:formatCode>0.00</c:formatCode>
                <c:ptCount val="69"/>
                <c:pt idx="0">
                  <c:v>1</c:v>
                </c:pt>
                <c:pt idx="1">
                  <c:v>2.4166667461395264</c:v>
                </c:pt>
                <c:pt idx="2">
                  <c:v>1.3999999761581421</c:v>
                </c:pt>
                <c:pt idx="3">
                  <c:v>0.91304349899291992</c:v>
                </c:pt>
                <c:pt idx="4">
                  <c:v>0.54237288236618042</c:v>
                </c:pt>
                <c:pt idx="5">
                  <c:v>0.75</c:v>
                </c:pt>
                <c:pt idx="6">
                  <c:v>2.2142856121063232</c:v>
                </c:pt>
                <c:pt idx="7">
                  <c:v>0.93103450536727905</c:v>
                </c:pt>
                <c:pt idx="8">
                  <c:v>1.0952380895614624</c:v>
                </c:pt>
                <c:pt idx="9">
                  <c:v>1.59375</c:v>
                </c:pt>
                <c:pt idx="10">
                  <c:v>0.77777779102325439</c:v>
                </c:pt>
                <c:pt idx="11">
                  <c:v>0.375</c:v>
                </c:pt>
                <c:pt idx="12">
                  <c:v>1.9166666269302368</c:v>
                </c:pt>
                <c:pt idx="13">
                  <c:v>0.55555558204650879</c:v>
                </c:pt>
                <c:pt idx="14">
                  <c:v>1.0666667222976685</c:v>
                </c:pt>
                <c:pt idx="15">
                  <c:v>0.3333333432674408</c:v>
                </c:pt>
                <c:pt idx="16">
                  <c:v>0.96153843402862549</c:v>
                </c:pt>
                <c:pt idx="17">
                  <c:v>0.74358975887298584</c:v>
                </c:pt>
                <c:pt idx="18">
                  <c:v>0.49122807383537292</c:v>
                </c:pt>
                <c:pt idx="19">
                  <c:v>0.69565218687057495</c:v>
                </c:pt>
                <c:pt idx="20">
                  <c:v>0.66666668653488159</c:v>
                </c:pt>
                <c:pt idx="21">
                  <c:v>1.1935484409332275</c:v>
                </c:pt>
                <c:pt idx="22">
                  <c:v>1.2571429014205933</c:v>
                </c:pt>
                <c:pt idx="23">
                  <c:v>1.2727272510528564</c:v>
                </c:pt>
                <c:pt idx="24">
                  <c:v>0.57142859697341919</c:v>
                </c:pt>
                <c:pt idx="25">
                  <c:v>0.55555558204650879</c:v>
                </c:pt>
                <c:pt idx="26">
                  <c:v>4</c:v>
                </c:pt>
                <c:pt idx="27">
                  <c:v>0.72727274894714355</c:v>
                </c:pt>
                <c:pt idx="28">
                  <c:v>1.8604651689529419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>
                  <c:v>0.11999999731779099</c:v>
                </c:pt>
                <c:pt idx="33">
                  <c:v>0.75862067937850952</c:v>
                </c:pt>
                <c:pt idx="34" formatCode="General">
                  <c:v>0</c:v>
                </c:pt>
                <c:pt idx="35" formatCode="General">
                  <c:v>0</c:v>
                </c:pt>
                <c:pt idx="36">
                  <c:v>0.82758623361587524</c:v>
                </c:pt>
                <c:pt idx="37">
                  <c:v>1.0857143402099609</c:v>
                </c:pt>
                <c:pt idx="38">
                  <c:v>1.047619104385376</c:v>
                </c:pt>
                <c:pt idx="39">
                  <c:v>0.66666668653488159</c:v>
                </c:pt>
                <c:pt idx="40">
                  <c:v>0.65625</c:v>
                </c:pt>
                <c:pt idx="41">
                  <c:v>1.2307692766189575</c:v>
                </c:pt>
                <c:pt idx="42">
                  <c:v>1.1290322542190552</c:v>
                </c:pt>
                <c:pt idx="43">
                  <c:v>1</c:v>
                </c:pt>
                <c:pt idx="44">
                  <c:v>0.3928571343421936</c:v>
                </c:pt>
                <c:pt idx="45">
                  <c:v>0.84210526943206787</c:v>
                </c:pt>
                <c:pt idx="46">
                  <c:v>1.7000000476837158</c:v>
                </c:pt>
                <c:pt idx="47">
                  <c:v>1.6666666269302368</c:v>
                </c:pt>
                <c:pt idx="48">
                  <c:v>0.89999997615814209</c:v>
                </c:pt>
                <c:pt idx="49">
                  <c:v>0.58333331346511841</c:v>
                </c:pt>
                <c:pt idx="50">
                  <c:v>2.4545454978942871</c:v>
                </c:pt>
                <c:pt idx="51">
                  <c:v>1.3947368860244751</c:v>
                </c:pt>
                <c:pt idx="52">
                  <c:v>2.2857143878936768</c:v>
                </c:pt>
                <c:pt idx="53">
                  <c:v>1.5333333015441895</c:v>
                </c:pt>
                <c:pt idx="54">
                  <c:v>0.90322577953338623</c:v>
                </c:pt>
                <c:pt idx="55" formatCode="General">
                  <c:v>0</c:v>
                </c:pt>
                <c:pt idx="56">
                  <c:v>1.8571428060531616</c:v>
                </c:pt>
                <c:pt idx="57">
                  <c:v>1.1025640964508057</c:v>
                </c:pt>
                <c:pt idx="58">
                  <c:v>0.9189189076423645</c:v>
                </c:pt>
                <c:pt idx="59">
                  <c:v>1.2195122241973877</c:v>
                </c:pt>
                <c:pt idx="60">
                  <c:v>1</c:v>
                </c:pt>
                <c:pt idx="61">
                  <c:v>0.39130434393882751</c:v>
                </c:pt>
                <c:pt idx="62">
                  <c:v>0.380952388048172</c:v>
                </c:pt>
                <c:pt idx="63">
                  <c:v>0.61904764175415039</c:v>
                </c:pt>
                <c:pt idx="64">
                  <c:v>1.2000000476837158</c:v>
                </c:pt>
                <c:pt idx="65">
                  <c:v>0.9375</c:v>
                </c:pt>
                <c:pt idx="66" formatCode="General">
                  <c:v>0</c:v>
                </c:pt>
                <c:pt idx="67">
                  <c:v>1.125</c:v>
                </c:pt>
                <c:pt idx="68">
                  <c:v>0.57894736528396606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1E-4601-ACB5-2F259700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62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delay from symptom to CEA (days)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Symptom to CEA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'CEA Summary'!$AJ$2:$AJ$68</c:f>
                <c:numCache>
                  <c:formatCode>General</c:formatCode>
                  <c:ptCount val="67"/>
                  <c:pt idx="0">
                    <c:v>2</c:v>
                  </c:pt>
                  <c:pt idx="1">
                    <c:v>9</c:v>
                  </c:pt>
                  <c:pt idx="2">
                    <c:v>3</c:v>
                  </c:pt>
                  <c:pt idx="3">
                    <c:v>8</c:v>
                  </c:pt>
                  <c:pt idx="4">
                    <c:v>3</c:v>
                  </c:pt>
                  <c:pt idx="5">
                    <c:v>5</c:v>
                  </c:pt>
                  <c:pt idx="6">
                    <c:v>3</c:v>
                  </c:pt>
                  <c:pt idx="7">
                    <c:v>5</c:v>
                  </c:pt>
                  <c:pt idx="8">
                    <c:v>3</c:v>
                  </c:pt>
                  <c:pt idx="9">
                    <c:v>3</c:v>
                  </c:pt>
                  <c:pt idx="10">
                    <c:v>6</c:v>
                  </c:pt>
                  <c:pt idx="11">
                    <c:v>10</c:v>
                  </c:pt>
                  <c:pt idx="12">
                    <c:v>14</c:v>
                  </c:pt>
                  <c:pt idx="13">
                    <c:v>3</c:v>
                  </c:pt>
                  <c:pt idx="14">
                    <c:v>3</c:v>
                  </c:pt>
                  <c:pt idx="15">
                    <c:v>5</c:v>
                  </c:pt>
                  <c:pt idx="16">
                    <c:v>8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34</c:v>
                  </c:pt>
                  <c:pt idx="21">
                    <c:v>7</c:v>
                  </c:pt>
                  <c:pt idx="22">
                    <c:v>15</c:v>
                  </c:pt>
                  <c:pt idx="23">
                    <c:v>3</c:v>
                  </c:pt>
                  <c:pt idx="24">
                    <c:v>3</c:v>
                  </c:pt>
                  <c:pt idx="25">
                    <c:v>5</c:v>
                  </c:pt>
                  <c:pt idx="26">
                    <c:v>5</c:v>
                  </c:pt>
                  <c:pt idx="27">
                    <c:v>6</c:v>
                  </c:pt>
                  <c:pt idx="28">
                    <c:v>6</c:v>
                  </c:pt>
                  <c:pt idx="29">
                    <c:v>3</c:v>
                  </c:pt>
                  <c:pt idx="30">
                    <c:v>13</c:v>
                  </c:pt>
                  <c:pt idx="31">
                    <c:v>4</c:v>
                  </c:pt>
                  <c:pt idx="32">
                    <c:v>3</c:v>
                  </c:pt>
                  <c:pt idx="33">
                    <c:v>22</c:v>
                  </c:pt>
                  <c:pt idx="34">
                    <c:v>5</c:v>
                  </c:pt>
                  <c:pt idx="35">
                    <c:v>6</c:v>
                  </c:pt>
                  <c:pt idx="36">
                    <c:v>9</c:v>
                  </c:pt>
                  <c:pt idx="37">
                    <c:v>9</c:v>
                  </c:pt>
                  <c:pt idx="38">
                    <c:v>10</c:v>
                  </c:pt>
                  <c:pt idx="39">
                    <c:v>11</c:v>
                  </c:pt>
                  <c:pt idx="40">
                    <c:v>5</c:v>
                  </c:pt>
                  <c:pt idx="41">
                    <c:v>12</c:v>
                  </c:pt>
                  <c:pt idx="42">
                    <c:v>7</c:v>
                  </c:pt>
                  <c:pt idx="43">
                    <c:v>2</c:v>
                  </c:pt>
                  <c:pt idx="44">
                    <c:v>6</c:v>
                  </c:pt>
                  <c:pt idx="45">
                    <c:v>19</c:v>
                  </c:pt>
                  <c:pt idx="46">
                    <c:v>14</c:v>
                  </c:pt>
                  <c:pt idx="47">
                    <c:v>9</c:v>
                  </c:pt>
                  <c:pt idx="48">
                    <c:v>7</c:v>
                  </c:pt>
                  <c:pt idx="49">
                    <c:v>8</c:v>
                  </c:pt>
                  <c:pt idx="50">
                    <c:v>20</c:v>
                  </c:pt>
                  <c:pt idx="51">
                    <c:v>13</c:v>
                  </c:pt>
                  <c:pt idx="52">
                    <c:v>10</c:v>
                  </c:pt>
                  <c:pt idx="53">
                    <c:v>10</c:v>
                  </c:pt>
                  <c:pt idx="54">
                    <c:v>5</c:v>
                  </c:pt>
                  <c:pt idx="55">
                    <c:v>8</c:v>
                  </c:pt>
                  <c:pt idx="56">
                    <c:v>9</c:v>
                  </c:pt>
                  <c:pt idx="57">
                    <c:v>9</c:v>
                  </c:pt>
                  <c:pt idx="58">
                    <c:v>15</c:v>
                  </c:pt>
                  <c:pt idx="59">
                    <c:v>20</c:v>
                  </c:pt>
                  <c:pt idx="60">
                    <c:v>10</c:v>
                  </c:pt>
                  <c:pt idx="61">
                    <c:v>0</c:v>
                  </c:pt>
                  <c:pt idx="62">
                    <c:v>19</c:v>
                  </c:pt>
                  <c:pt idx="63">
                    <c:v>11</c:v>
                  </c:pt>
                  <c:pt idx="64">
                    <c:v>13</c:v>
                  </c:pt>
                  <c:pt idx="65">
                    <c:v>27</c:v>
                  </c:pt>
                  <c:pt idx="66">
                    <c:v>11</c:v>
                  </c:pt>
                </c:numCache>
              </c:numRef>
            </c:plus>
            <c:minus>
              <c:numRef>
                <c:f>'CEA Summary'!$AI$2:$AI$68</c:f>
                <c:numCache>
                  <c:formatCode>General</c:formatCode>
                  <c:ptCount val="67"/>
                  <c:pt idx="0">
                    <c:v>2</c:v>
                  </c:pt>
                  <c:pt idx="1">
                    <c:v>3</c:v>
                  </c:pt>
                  <c:pt idx="2">
                    <c:v>2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2</c:v>
                  </c:pt>
                  <c:pt idx="7">
                    <c:v>2</c:v>
                  </c:pt>
                  <c:pt idx="8">
                    <c:v>1</c:v>
                  </c:pt>
                  <c:pt idx="9">
                    <c:v>3</c:v>
                  </c:pt>
                  <c:pt idx="10">
                    <c:v>3</c:v>
                  </c:pt>
                  <c:pt idx="11">
                    <c:v>2</c:v>
                  </c:pt>
                  <c:pt idx="12">
                    <c:v>6</c:v>
                  </c:pt>
                  <c:pt idx="13">
                    <c:v>3</c:v>
                  </c:pt>
                  <c:pt idx="14">
                    <c:v>2</c:v>
                  </c:pt>
                  <c:pt idx="15">
                    <c:v>2</c:v>
                  </c:pt>
                  <c:pt idx="16">
                    <c:v>2</c:v>
                  </c:pt>
                  <c:pt idx="17">
                    <c:v>5</c:v>
                  </c:pt>
                  <c:pt idx="18">
                    <c:v>5</c:v>
                  </c:pt>
                  <c:pt idx="19">
                    <c:v>5</c:v>
                  </c:pt>
                  <c:pt idx="20">
                    <c:v>5</c:v>
                  </c:pt>
                  <c:pt idx="21">
                    <c:v>4</c:v>
                  </c:pt>
                  <c:pt idx="22">
                    <c:v>4</c:v>
                  </c:pt>
                  <c:pt idx="23">
                    <c:v>3</c:v>
                  </c:pt>
                  <c:pt idx="24">
                    <c:v>3</c:v>
                  </c:pt>
                  <c:pt idx="25">
                    <c:v>3</c:v>
                  </c:pt>
                  <c:pt idx="26">
                    <c:v>3</c:v>
                  </c:pt>
                  <c:pt idx="27">
                    <c:v>3</c:v>
                  </c:pt>
                  <c:pt idx="28">
                    <c:v>3</c:v>
                  </c:pt>
                  <c:pt idx="29">
                    <c:v>2</c:v>
                  </c:pt>
                  <c:pt idx="30">
                    <c:v>2</c:v>
                  </c:pt>
                  <c:pt idx="31">
                    <c:v>6</c:v>
                  </c:pt>
                  <c:pt idx="32">
                    <c:v>5</c:v>
                  </c:pt>
                  <c:pt idx="33">
                    <c:v>5</c:v>
                  </c:pt>
                  <c:pt idx="34">
                    <c:v>4</c:v>
                  </c:pt>
                  <c:pt idx="35">
                    <c:v>4</c:v>
                  </c:pt>
                  <c:pt idx="36">
                    <c:v>4</c:v>
                  </c:pt>
                  <c:pt idx="37">
                    <c:v>4</c:v>
                  </c:pt>
                  <c:pt idx="38">
                    <c:v>4</c:v>
                  </c:pt>
                  <c:pt idx="39">
                    <c:v>4</c:v>
                  </c:pt>
                  <c:pt idx="40">
                    <c:v>2</c:v>
                  </c:pt>
                  <c:pt idx="41">
                    <c:v>6</c:v>
                  </c:pt>
                  <c:pt idx="42">
                    <c:v>5</c:v>
                  </c:pt>
                  <c:pt idx="43">
                    <c:v>3</c:v>
                  </c:pt>
                  <c:pt idx="44">
                    <c:v>3</c:v>
                  </c:pt>
                  <c:pt idx="45">
                    <c:v>7</c:v>
                  </c:pt>
                  <c:pt idx="46">
                    <c:v>6</c:v>
                  </c:pt>
                  <c:pt idx="47">
                    <c:v>5</c:v>
                  </c:pt>
                  <c:pt idx="48">
                    <c:v>4</c:v>
                  </c:pt>
                  <c:pt idx="49">
                    <c:v>3</c:v>
                  </c:pt>
                  <c:pt idx="50">
                    <c:v>8</c:v>
                  </c:pt>
                  <c:pt idx="51">
                    <c:v>6</c:v>
                  </c:pt>
                  <c:pt idx="52">
                    <c:v>5</c:v>
                  </c:pt>
                  <c:pt idx="53">
                    <c:v>4</c:v>
                  </c:pt>
                  <c:pt idx="54">
                    <c:v>3</c:v>
                  </c:pt>
                  <c:pt idx="55">
                    <c:v>8</c:v>
                  </c:pt>
                  <c:pt idx="56">
                    <c:v>7</c:v>
                  </c:pt>
                  <c:pt idx="57">
                    <c:v>7</c:v>
                  </c:pt>
                  <c:pt idx="58">
                    <c:v>7</c:v>
                  </c:pt>
                  <c:pt idx="59">
                    <c:v>4</c:v>
                  </c:pt>
                  <c:pt idx="60">
                    <c:v>6</c:v>
                  </c:pt>
                  <c:pt idx="61">
                    <c:v>2</c:v>
                  </c:pt>
                  <c:pt idx="62">
                    <c:v>9</c:v>
                  </c:pt>
                  <c:pt idx="63">
                    <c:v>9</c:v>
                  </c:pt>
                  <c:pt idx="64">
                    <c:v>7</c:v>
                  </c:pt>
                  <c:pt idx="65">
                    <c:v>7</c:v>
                  </c:pt>
                  <c:pt idx="66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'CEA Summary'!$AE$2:$AE$68</c:f>
              <c:strCache>
                <c:ptCount val="67"/>
                <c:pt idx="0">
                  <c:v>R1K</c:v>
                </c:pt>
                <c:pt idx="1">
                  <c:v>RCB</c:v>
                </c:pt>
                <c:pt idx="2">
                  <c:v>RWE</c:v>
                </c:pt>
                <c:pt idx="3">
                  <c:v>RWA</c:v>
                </c:pt>
                <c:pt idx="4">
                  <c:v>RDU</c:v>
                </c:pt>
                <c:pt idx="5">
                  <c:v>RJ7</c:v>
                </c:pt>
                <c:pt idx="6">
                  <c:v>RR8</c:v>
                </c:pt>
                <c:pt idx="7">
                  <c:v>RYR</c:v>
                </c:pt>
                <c:pt idx="8">
                  <c:v>R1H</c:v>
                </c:pt>
                <c:pt idx="9">
                  <c:v>RM1</c:v>
                </c:pt>
                <c:pt idx="10">
                  <c:v>RWH</c:v>
                </c:pt>
                <c:pt idx="11">
                  <c:v>RRK</c:v>
                </c:pt>
                <c:pt idx="12">
                  <c:v>RW6</c:v>
                </c:pt>
                <c:pt idx="13">
                  <c:v>SG999</c:v>
                </c:pt>
                <c:pt idx="14">
                  <c:v>RRV</c:v>
                </c:pt>
                <c:pt idx="15">
                  <c:v>7A4</c:v>
                </c:pt>
                <c:pt idx="16">
                  <c:v>RTG</c:v>
                </c:pt>
                <c:pt idx="17">
                  <c:v>RNA</c:v>
                </c:pt>
                <c:pt idx="18">
                  <c:v>RTH</c:v>
                </c:pt>
                <c:pt idx="19">
                  <c:v>RWP</c:v>
                </c:pt>
                <c:pt idx="20">
                  <c:v>RVV</c:v>
                </c:pt>
                <c:pt idx="21">
                  <c:v>RH5</c:v>
                </c:pt>
                <c:pt idx="22">
                  <c:v>R0A</c:v>
                </c:pt>
                <c:pt idx="23">
                  <c:v>RAJ</c:v>
                </c:pt>
                <c:pt idx="24">
                  <c:v>SN999</c:v>
                </c:pt>
                <c:pt idx="25">
                  <c:v>RNL</c:v>
                </c:pt>
                <c:pt idx="26">
                  <c:v>RX1</c:v>
                </c:pt>
                <c:pt idx="27">
                  <c:v>RVJ</c:v>
                </c:pt>
                <c:pt idx="28">
                  <c:v>RJE</c:v>
                </c:pt>
                <c:pt idx="29">
                  <c:v>R0D</c:v>
                </c:pt>
                <c:pt idx="30">
                  <c:v>SL999</c:v>
                </c:pt>
                <c:pt idx="31">
                  <c:v>RNS</c:v>
                </c:pt>
                <c:pt idx="32">
                  <c:v>RKB</c:v>
                </c:pt>
                <c:pt idx="33">
                  <c:v>RK9</c:v>
                </c:pt>
                <c:pt idx="34">
                  <c:v>SS999</c:v>
                </c:pt>
                <c:pt idx="35">
                  <c:v>RXW</c:v>
                </c:pt>
                <c:pt idx="36">
                  <c:v>RXR</c:v>
                </c:pt>
                <c:pt idx="37">
                  <c:v>RJ1</c:v>
                </c:pt>
                <c:pt idx="38">
                  <c:v>RWG</c:v>
                </c:pt>
                <c:pt idx="39">
                  <c:v>RJZ</c:v>
                </c:pt>
                <c:pt idx="40">
                  <c:v>R0B</c:v>
                </c:pt>
                <c:pt idx="41">
                  <c:v>ZT001</c:v>
                </c:pt>
                <c:pt idx="42">
                  <c:v>REF</c:v>
                </c:pt>
                <c:pt idx="43">
                  <c:v>RHM</c:v>
                </c:pt>
                <c:pt idx="44">
                  <c:v>RYJ</c:v>
                </c:pt>
                <c:pt idx="45">
                  <c:v>RTE</c:v>
                </c:pt>
                <c:pt idx="46">
                  <c:v>RF4</c:v>
                </c:pt>
                <c:pt idx="47">
                  <c:v>7A3</c:v>
                </c:pt>
                <c:pt idx="48">
                  <c:v>RAE</c:v>
                </c:pt>
                <c:pt idx="49">
                  <c:v>RC1</c:v>
                </c:pt>
                <c:pt idx="50">
                  <c:v>RAL</c:v>
                </c:pt>
                <c:pt idx="51">
                  <c:v>RDE</c:v>
                </c:pt>
                <c:pt idx="52">
                  <c:v>RTD</c:v>
                </c:pt>
                <c:pt idx="53">
                  <c:v>RP5</c:v>
                </c:pt>
                <c:pt idx="54">
                  <c:v>SA999</c:v>
                </c:pt>
                <c:pt idx="55">
                  <c:v>RH8</c:v>
                </c:pt>
                <c:pt idx="56">
                  <c:v>7A6</c:v>
                </c:pt>
                <c:pt idx="57">
                  <c:v>REM</c:v>
                </c:pt>
                <c:pt idx="58">
                  <c:v>RWD</c:v>
                </c:pt>
                <c:pt idx="59">
                  <c:v>7A1</c:v>
                </c:pt>
                <c:pt idx="60">
                  <c:v>RJR</c:v>
                </c:pt>
                <c:pt idx="61">
                  <c:v>RPA</c:v>
                </c:pt>
                <c:pt idx="62">
                  <c:v>RXN</c:v>
                </c:pt>
                <c:pt idx="63">
                  <c:v>RTR</c:v>
                </c:pt>
                <c:pt idx="64">
                  <c:v>RGT</c:v>
                </c:pt>
                <c:pt idx="65">
                  <c:v>SH999</c:v>
                </c:pt>
                <c:pt idx="66">
                  <c:v>RHQ</c:v>
                </c:pt>
              </c:strCache>
            </c:strRef>
          </c:cat>
          <c:val>
            <c:numRef>
              <c:f>'CEA Summary'!$AH$2:$AH$68</c:f>
              <c:numCache>
                <c:formatCode>General</c:formatCode>
                <c:ptCount val="6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14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17</c:v>
                </c:pt>
                <c:pt idx="61">
                  <c:v>20</c:v>
                </c:pt>
                <c:pt idx="62">
                  <c:v>21</c:v>
                </c:pt>
                <c:pt idx="63">
                  <c:v>22</c:v>
                </c:pt>
                <c:pt idx="64">
                  <c:v>22</c:v>
                </c:pt>
                <c:pt idx="65">
                  <c:v>24</c:v>
                </c:pt>
                <c:pt idx="6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B-4779-A8DB-8B96D50A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'CEA Summary'!$AC$2</c:f>
                <c:numCache>
                  <c:formatCode>General</c:formatCode>
                  <c:ptCount val="1"/>
                  <c:pt idx="0">
                    <c:v>9</c:v>
                  </c:pt>
                </c:numCache>
              </c:numRef>
            </c:plus>
            <c:minus>
              <c:numRef>
                <c:f>'CEA Summary'!$AB$2</c:f>
                <c:numCache>
                  <c:formatCode>General</c:formatCode>
                  <c:ptCount val="1"/>
                  <c:pt idx="0">
                    <c:v>7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'CEA Summary'!$AD$2</c:f>
              <c:numCache>
                <c:formatCode>General</c:formatCode>
                <c:ptCount val="1"/>
                <c:pt idx="0">
                  <c:v>57</c:v>
                </c:pt>
              </c:numCache>
            </c:numRef>
          </c:xVal>
          <c:yVal>
            <c:numRef>
              <c:f>'CEA Summary'!$AA$2</c:f>
              <c:numCache>
                <c:formatCode>General</c:formatCode>
                <c:ptCount val="1"/>
                <c:pt idx="0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6B-4779-A8DB-8B96D50AAEE2}"/>
            </c:ext>
          </c:extLst>
        </c:ser>
        <c:ser>
          <c:idx val="2"/>
          <c:order val="2"/>
          <c:tx>
            <c:v>NICE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'CEA Summary'!$AG$2:$AG$68</c:f>
              <c:numCache>
                <c:formatCode>General</c:formatCode>
                <c:ptCount val="6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</c:numCache>
            </c:numRef>
          </c:xVal>
          <c:yVal>
            <c:numRef>
              <c:f>'CEA Summary'!$AK$2:$AK$68</c:f>
              <c:numCache>
                <c:formatCode>General</c:formatCode>
                <c:ptCount val="6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6B-4779-A8DB-8B96D50A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'CEA Funnel'!$C$1</c:f>
              <c:strCache>
                <c:ptCount val="1"/>
                <c:pt idx="0">
                  <c:v>Stroke/Death 30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'CEA Funnel'!$B$2:$B$72</c:f>
              <c:numCache>
                <c:formatCode>General</c:formatCode>
                <c:ptCount val="71"/>
                <c:pt idx="0">
                  <c:v>75</c:v>
                </c:pt>
                <c:pt idx="1">
                  <c:v>232</c:v>
                </c:pt>
                <c:pt idx="2">
                  <c:v>24</c:v>
                </c:pt>
                <c:pt idx="3">
                  <c:v>113</c:v>
                </c:pt>
                <c:pt idx="4">
                  <c:v>397</c:v>
                </c:pt>
                <c:pt idx="5">
                  <c:v>130</c:v>
                </c:pt>
                <c:pt idx="6">
                  <c:v>136</c:v>
                </c:pt>
                <c:pt idx="7">
                  <c:v>68</c:v>
                </c:pt>
                <c:pt idx="8">
                  <c:v>124</c:v>
                </c:pt>
                <c:pt idx="9">
                  <c:v>25</c:v>
                </c:pt>
                <c:pt idx="10">
                  <c:v>84</c:v>
                </c:pt>
                <c:pt idx="11">
                  <c:v>278</c:v>
                </c:pt>
                <c:pt idx="12">
                  <c:v>73</c:v>
                </c:pt>
                <c:pt idx="13">
                  <c:v>152</c:v>
                </c:pt>
                <c:pt idx="14">
                  <c:v>298</c:v>
                </c:pt>
                <c:pt idx="15">
                  <c:v>179</c:v>
                </c:pt>
                <c:pt idx="16">
                  <c:v>133</c:v>
                </c:pt>
                <c:pt idx="17">
                  <c:v>116</c:v>
                </c:pt>
                <c:pt idx="18">
                  <c:v>312</c:v>
                </c:pt>
                <c:pt idx="19">
                  <c:v>116</c:v>
                </c:pt>
                <c:pt idx="20">
                  <c:v>241</c:v>
                </c:pt>
                <c:pt idx="21">
                  <c:v>219</c:v>
                </c:pt>
                <c:pt idx="22">
                  <c:v>115</c:v>
                </c:pt>
                <c:pt idx="23">
                  <c:v>233</c:v>
                </c:pt>
                <c:pt idx="24">
                  <c:v>107</c:v>
                </c:pt>
                <c:pt idx="25">
                  <c:v>143</c:v>
                </c:pt>
                <c:pt idx="26">
                  <c:v>141</c:v>
                </c:pt>
                <c:pt idx="27">
                  <c:v>164</c:v>
                </c:pt>
                <c:pt idx="28">
                  <c:v>236</c:v>
                </c:pt>
                <c:pt idx="29">
                  <c:v>239</c:v>
                </c:pt>
                <c:pt idx="30">
                  <c:v>161</c:v>
                </c:pt>
                <c:pt idx="31">
                  <c:v>139</c:v>
                </c:pt>
                <c:pt idx="32">
                  <c:v>188</c:v>
                </c:pt>
                <c:pt idx="33">
                  <c:v>144</c:v>
                </c:pt>
                <c:pt idx="34">
                  <c:v>110</c:v>
                </c:pt>
                <c:pt idx="35">
                  <c:v>115</c:v>
                </c:pt>
                <c:pt idx="36">
                  <c:v>130</c:v>
                </c:pt>
                <c:pt idx="37">
                  <c:v>42</c:v>
                </c:pt>
                <c:pt idx="38">
                  <c:v>113</c:v>
                </c:pt>
                <c:pt idx="39">
                  <c:v>187</c:v>
                </c:pt>
                <c:pt idx="40">
                  <c:v>154</c:v>
                </c:pt>
                <c:pt idx="41">
                  <c:v>11</c:v>
                </c:pt>
                <c:pt idx="42">
                  <c:v>232</c:v>
                </c:pt>
                <c:pt idx="43">
                  <c:v>184</c:v>
                </c:pt>
                <c:pt idx="44">
                  <c:v>90</c:v>
                </c:pt>
                <c:pt idx="45">
                  <c:v>325</c:v>
                </c:pt>
                <c:pt idx="46">
                  <c:v>80</c:v>
                </c:pt>
                <c:pt idx="47">
                  <c:v>153</c:v>
                </c:pt>
                <c:pt idx="48">
                  <c:v>250</c:v>
                </c:pt>
                <c:pt idx="49">
                  <c:v>152</c:v>
                </c:pt>
                <c:pt idx="50">
                  <c:v>252</c:v>
                </c:pt>
                <c:pt idx="51">
                  <c:v>221</c:v>
                </c:pt>
                <c:pt idx="52">
                  <c:v>132</c:v>
                </c:pt>
                <c:pt idx="53">
                  <c:v>181</c:v>
                </c:pt>
                <c:pt idx="54">
                  <c:v>111</c:v>
                </c:pt>
                <c:pt idx="55">
                  <c:v>124</c:v>
                </c:pt>
                <c:pt idx="56">
                  <c:v>172</c:v>
                </c:pt>
                <c:pt idx="57">
                  <c:v>159</c:v>
                </c:pt>
                <c:pt idx="58">
                  <c:v>259</c:v>
                </c:pt>
                <c:pt idx="59">
                  <c:v>165</c:v>
                </c:pt>
                <c:pt idx="60">
                  <c:v>97</c:v>
                </c:pt>
                <c:pt idx="61">
                  <c:v>153</c:v>
                </c:pt>
                <c:pt idx="62">
                  <c:v>119</c:v>
                </c:pt>
                <c:pt idx="63">
                  <c:v>105</c:v>
                </c:pt>
                <c:pt idx="64">
                  <c:v>243</c:v>
                </c:pt>
                <c:pt idx="65">
                  <c:v>86</c:v>
                </c:pt>
                <c:pt idx="66">
                  <c:v>105</c:v>
                </c:pt>
                <c:pt idx="67">
                  <c:v>50</c:v>
                </c:pt>
                <c:pt idx="68">
                  <c:v>125</c:v>
                </c:pt>
                <c:pt idx="69">
                  <c:v>37</c:v>
                </c:pt>
                <c:pt idx="70">
                  <c:v>401</c:v>
                </c:pt>
              </c:numCache>
            </c:numRef>
          </c:xVal>
          <c:yVal>
            <c:numRef>
              <c:f>'CEA Funnel'!$C$2:$C$72</c:f>
              <c:numCache>
                <c:formatCode>0.0</c:formatCode>
                <c:ptCount val="71"/>
                <c:pt idx="0">
                  <c:v>4.7</c:v>
                </c:pt>
                <c:pt idx="1">
                  <c:v>2.5</c:v>
                </c:pt>
                <c:pt idx="2">
                  <c:v>4.5</c:v>
                </c:pt>
                <c:pt idx="3">
                  <c:v>3</c:v>
                </c:pt>
                <c:pt idx="4">
                  <c:v>1.9</c:v>
                </c:pt>
                <c:pt idx="5">
                  <c:v>0.7</c:v>
                </c:pt>
                <c:pt idx="6">
                  <c:v>0</c:v>
                </c:pt>
                <c:pt idx="7">
                  <c:v>7.8</c:v>
                </c:pt>
                <c:pt idx="8">
                  <c:v>2.8</c:v>
                </c:pt>
                <c:pt idx="9">
                  <c:v>0</c:v>
                </c:pt>
                <c:pt idx="10">
                  <c:v>1.4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3.3</c:v>
                </c:pt>
                <c:pt idx="15">
                  <c:v>4.4000000000000004</c:v>
                </c:pt>
                <c:pt idx="16">
                  <c:v>1.3</c:v>
                </c:pt>
                <c:pt idx="17">
                  <c:v>1.7</c:v>
                </c:pt>
                <c:pt idx="18">
                  <c:v>2.2999999999999998</c:v>
                </c:pt>
                <c:pt idx="19">
                  <c:v>1.6</c:v>
                </c:pt>
                <c:pt idx="20">
                  <c:v>0.9</c:v>
                </c:pt>
                <c:pt idx="21">
                  <c:v>1.3</c:v>
                </c:pt>
                <c:pt idx="22">
                  <c:v>0.9</c:v>
                </c:pt>
                <c:pt idx="23">
                  <c:v>0.9</c:v>
                </c:pt>
                <c:pt idx="24">
                  <c:v>2.2999999999999998</c:v>
                </c:pt>
                <c:pt idx="25">
                  <c:v>1.9</c:v>
                </c:pt>
                <c:pt idx="26">
                  <c:v>2.1</c:v>
                </c:pt>
                <c:pt idx="27">
                  <c:v>4.9000000000000004</c:v>
                </c:pt>
                <c:pt idx="28">
                  <c:v>0.9</c:v>
                </c:pt>
                <c:pt idx="29">
                  <c:v>0.7</c:v>
                </c:pt>
                <c:pt idx="30">
                  <c:v>0.7</c:v>
                </c:pt>
                <c:pt idx="31">
                  <c:v>1.6</c:v>
                </c:pt>
                <c:pt idx="32">
                  <c:v>4.3</c:v>
                </c:pt>
                <c:pt idx="33">
                  <c:v>1.9</c:v>
                </c:pt>
                <c:pt idx="34">
                  <c:v>0.8</c:v>
                </c:pt>
                <c:pt idx="35">
                  <c:v>1</c:v>
                </c:pt>
                <c:pt idx="36">
                  <c:v>0.7</c:v>
                </c:pt>
                <c:pt idx="37">
                  <c:v>3</c:v>
                </c:pt>
                <c:pt idx="38">
                  <c:v>5.6</c:v>
                </c:pt>
                <c:pt idx="39">
                  <c:v>1.8</c:v>
                </c:pt>
                <c:pt idx="40">
                  <c:v>4.3</c:v>
                </c:pt>
                <c:pt idx="41">
                  <c:v>8.9</c:v>
                </c:pt>
                <c:pt idx="42">
                  <c:v>2.1</c:v>
                </c:pt>
                <c:pt idx="43">
                  <c:v>1.6</c:v>
                </c:pt>
                <c:pt idx="44">
                  <c:v>3.8</c:v>
                </c:pt>
                <c:pt idx="45">
                  <c:v>2.4</c:v>
                </c:pt>
                <c:pt idx="46">
                  <c:v>2.2999999999999998</c:v>
                </c:pt>
                <c:pt idx="47">
                  <c:v>0.6</c:v>
                </c:pt>
                <c:pt idx="48">
                  <c:v>3.2</c:v>
                </c:pt>
                <c:pt idx="49">
                  <c:v>3.7</c:v>
                </c:pt>
                <c:pt idx="50">
                  <c:v>1.4</c:v>
                </c:pt>
                <c:pt idx="51">
                  <c:v>5.6</c:v>
                </c:pt>
                <c:pt idx="52">
                  <c:v>2.2000000000000002</c:v>
                </c:pt>
                <c:pt idx="53">
                  <c:v>0.5</c:v>
                </c:pt>
                <c:pt idx="54">
                  <c:v>2</c:v>
                </c:pt>
                <c:pt idx="55">
                  <c:v>0.7</c:v>
                </c:pt>
                <c:pt idx="56">
                  <c:v>2.6</c:v>
                </c:pt>
                <c:pt idx="57">
                  <c:v>1.9</c:v>
                </c:pt>
                <c:pt idx="58">
                  <c:v>1.2</c:v>
                </c:pt>
                <c:pt idx="59">
                  <c:v>3.7</c:v>
                </c:pt>
                <c:pt idx="60">
                  <c:v>3.3</c:v>
                </c:pt>
                <c:pt idx="61">
                  <c:v>3.6</c:v>
                </c:pt>
                <c:pt idx="62">
                  <c:v>1</c:v>
                </c:pt>
                <c:pt idx="63">
                  <c:v>3.9</c:v>
                </c:pt>
                <c:pt idx="64">
                  <c:v>2.1</c:v>
                </c:pt>
                <c:pt idx="65">
                  <c:v>0</c:v>
                </c:pt>
                <c:pt idx="66">
                  <c:v>1.6</c:v>
                </c:pt>
                <c:pt idx="67">
                  <c:v>2.2999999999999998</c:v>
                </c:pt>
                <c:pt idx="68">
                  <c:v>0.8</c:v>
                </c:pt>
                <c:pt idx="69">
                  <c:v>3.4</c:v>
                </c:pt>
                <c:pt idx="7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C-44A6-A196-2D3C440F0395}"/>
            </c:ext>
          </c:extLst>
        </c:ser>
        <c:ser>
          <c:idx val="1"/>
          <c:order val="1"/>
          <c:tx>
            <c:v>National Rate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'CEA Limits'!$B$2:$B$69</c:f>
              <c:numCache>
                <c:formatCode>General</c:formatCode>
                <c:ptCount val="68"/>
                <c:pt idx="0">
                  <c:v>0</c:v>
                </c:pt>
                <c:pt idx="1">
                  <c:v>10</c:v>
                </c:pt>
                <c:pt idx="2">
                  <c:v>11</c:v>
                </c:pt>
                <c:pt idx="3">
                  <c:v>24</c:v>
                </c:pt>
                <c:pt idx="4">
                  <c:v>25</c:v>
                </c:pt>
                <c:pt idx="5">
                  <c:v>37</c:v>
                </c:pt>
                <c:pt idx="6">
                  <c:v>41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56</c:v>
                </c:pt>
                <c:pt idx="11">
                  <c:v>68</c:v>
                </c:pt>
                <c:pt idx="12">
                  <c:v>73</c:v>
                </c:pt>
                <c:pt idx="13">
                  <c:v>75</c:v>
                </c:pt>
                <c:pt idx="14">
                  <c:v>80</c:v>
                </c:pt>
                <c:pt idx="15">
                  <c:v>84</c:v>
                </c:pt>
                <c:pt idx="16">
                  <c:v>86</c:v>
                </c:pt>
                <c:pt idx="17">
                  <c:v>90</c:v>
                </c:pt>
                <c:pt idx="18">
                  <c:v>92</c:v>
                </c:pt>
                <c:pt idx="19">
                  <c:v>97</c:v>
                </c:pt>
                <c:pt idx="20">
                  <c:v>105</c:v>
                </c:pt>
                <c:pt idx="21">
                  <c:v>107</c:v>
                </c:pt>
                <c:pt idx="22">
                  <c:v>110</c:v>
                </c:pt>
                <c:pt idx="23">
                  <c:v>111</c:v>
                </c:pt>
                <c:pt idx="24">
                  <c:v>113</c:v>
                </c:pt>
                <c:pt idx="25">
                  <c:v>115</c:v>
                </c:pt>
                <c:pt idx="26">
                  <c:v>116</c:v>
                </c:pt>
                <c:pt idx="27">
                  <c:v>119</c:v>
                </c:pt>
                <c:pt idx="28">
                  <c:v>124</c:v>
                </c:pt>
                <c:pt idx="29">
                  <c:v>125</c:v>
                </c:pt>
                <c:pt idx="30">
                  <c:v>130</c:v>
                </c:pt>
                <c:pt idx="31">
                  <c:v>132</c:v>
                </c:pt>
                <c:pt idx="32">
                  <c:v>133</c:v>
                </c:pt>
                <c:pt idx="33">
                  <c:v>136</c:v>
                </c:pt>
                <c:pt idx="34">
                  <c:v>139</c:v>
                </c:pt>
                <c:pt idx="35">
                  <c:v>141</c:v>
                </c:pt>
                <c:pt idx="36">
                  <c:v>143</c:v>
                </c:pt>
                <c:pt idx="37">
                  <c:v>144</c:v>
                </c:pt>
                <c:pt idx="38">
                  <c:v>152</c:v>
                </c:pt>
                <c:pt idx="39">
                  <c:v>153</c:v>
                </c:pt>
                <c:pt idx="40">
                  <c:v>154</c:v>
                </c:pt>
                <c:pt idx="41">
                  <c:v>159</c:v>
                </c:pt>
                <c:pt idx="42">
                  <c:v>161</c:v>
                </c:pt>
                <c:pt idx="43">
                  <c:v>164</c:v>
                </c:pt>
                <c:pt idx="44">
                  <c:v>165</c:v>
                </c:pt>
                <c:pt idx="45">
                  <c:v>172</c:v>
                </c:pt>
                <c:pt idx="46">
                  <c:v>179</c:v>
                </c:pt>
                <c:pt idx="47">
                  <c:v>181</c:v>
                </c:pt>
                <c:pt idx="48">
                  <c:v>184</c:v>
                </c:pt>
                <c:pt idx="49">
                  <c:v>187</c:v>
                </c:pt>
                <c:pt idx="50">
                  <c:v>188</c:v>
                </c:pt>
                <c:pt idx="51">
                  <c:v>219</c:v>
                </c:pt>
                <c:pt idx="52">
                  <c:v>221</c:v>
                </c:pt>
                <c:pt idx="53">
                  <c:v>232</c:v>
                </c:pt>
                <c:pt idx="54">
                  <c:v>233</c:v>
                </c:pt>
                <c:pt idx="55">
                  <c:v>236</c:v>
                </c:pt>
                <c:pt idx="56">
                  <c:v>239</c:v>
                </c:pt>
                <c:pt idx="57">
                  <c:v>241</c:v>
                </c:pt>
                <c:pt idx="58">
                  <c:v>243</c:v>
                </c:pt>
                <c:pt idx="59">
                  <c:v>250</c:v>
                </c:pt>
                <c:pt idx="60">
                  <c:v>252</c:v>
                </c:pt>
                <c:pt idx="61">
                  <c:v>259</c:v>
                </c:pt>
                <c:pt idx="62">
                  <c:v>278</c:v>
                </c:pt>
                <c:pt idx="63">
                  <c:v>298</c:v>
                </c:pt>
                <c:pt idx="64">
                  <c:v>312</c:v>
                </c:pt>
                <c:pt idx="65">
                  <c:v>325</c:v>
                </c:pt>
                <c:pt idx="66">
                  <c:v>397</c:v>
                </c:pt>
                <c:pt idx="67">
                  <c:v>401</c:v>
                </c:pt>
              </c:numCache>
            </c:numRef>
          </c:xVal>
          <c:yVal>
            <c:numRef>
              <c:f>'CEA Limits'!$D$2:$D$69</c:f>
              <c:numCache>
                <c:formatCode>General</c:formatCode>
                <c:ptCount val="6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2.2000000000000002</c:v>
                </c:pt>
                <c:pt idx="26">
                  <c:v>2.2000000000000002</c:v>
                </c:pt>
                <c:pt idx="27">
                  <c:v>2.2000000000000002</c:v>
                </c:pt>
                <c:pt idx="28">
                  <c:v>2.2000000000000002</c:v>
                </c:pt>
                <c:pt idx="29">
                  <c:v>2.2000000000000002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2.2000000000000002</c:v>
                </c:pt>
                <c:pt idx="37">
                  <c:v>2.2000000000000002</c:v>
                </c:pt>
                <c:pt idx="38">
                  <c:v>2.2000000000000002</c:v>
                </c:pt>
                <c:pt idx="39">
                  <c:v>2.2000000000000002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2.2000000000000002</c:v>
                </c:pt>
                <c:pt idx="49">
                  <c:v>2.2000000000000002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2.2000000000000002</c:v>
                </c:pt>
                <c:pt idx="53">
                  <c:v>2.2000000000000002</c:v>
                </c:pt>
                <c:pt idx="54">
                  <c:v>2.2000000000000002</c:v>
                </c:pt>
                <c:pt idx="55">
                  <c:v>2.2000000000000002</c:v>
                </c:pt>
                <c:pt idx="56">
                  <c:v>2.2000000000000002</c:v>
                </c:pt>
                <c:pt idx="57">
                  <c:v>2.2000000000000002</c:v>
                </c:pt>
                <c:pt idx="58">
                  <c:v>2.2000000000000002</c:v>
                </c:pt>
                <c:pt idx="59">
                  <c:v>2.2000000000000002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2.2000000000000002</c:v>
                </c:pt>
                <c:pt idx="66">
                  <c:v>2.2000000000000002</c:v>
                </c:pt>
                <c:pt idx="67">
                  <c:v>2.2000000000000002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8C-44A6-A196-2D3C440F0395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'CEA Limits'!$B$2:$B$69</c:f>
              <c:numCache>
                <c:formatCode>General</c:formatCode>
                <c:ptCount val="68"/>
                <c:pt idx="0">
                  <c:v>0</c:v>
                </c:pt>
                <c:pt idx="1">
                  <c:v>10</c:v>
                </c:pt>
                <c:pt idx="2">
                  <c:v>11</c:v>
                </c:pt>
                <c:pt idx="3">
                  <c:v>24</c:v>
                </c:pt>
                <c:pt idx="4">
                  <c:v>25</c:v>
                </c:pt>
                <c:pt idx="5">
                  <c:v>37</c:v>
                </c:pt>
                <c:pt idx="6">
                  <c:v>41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56</c:v>
                </c:pt>
                <c:pt idx="11">
                  <c:v>68</c:v>
                </c:pt>
                <c:pt idx="12">
                  <c:v>73</c:v>
                </c:pt>
                <c:pt idx="13">
                  <c:v>75</c:v>
                </c:pt>
                <c:pt idx="14">
                  <c:v>80</c:v>
                </c:pt>
                <c:pt idx="15">
                  <c:v>84</c:v>
                </c:pt>
                <c:pt idx="16">
                  <c:v>86</c:v>
                </c:pt>
                <c:pt idx="17">
                  <c:v>90</c:v>
                </c:pt>
                <c:pt idx="18">
                  <c:v>92</c:v>
                </c:pt>
                <c:pt idx="19">
                  <c:v>97</c:v>
                </c:pt>
                <c:pt idx="20">
                  <c:v>105</c:v>
                </c:pt>
                <c:pt idx="21">
                  <c:v>107</c:v>
                </c:pt>
                <c:pt idx="22">
                  <c:v>110</c:v>
                </c:pt>
                <c:pt idx="23">
                  <c:v>111</c:v>
                </c:pt>
                <c:pt idx="24">
                  <c:v>113</c:v>
                </c:pt>
                <c:pt idx="25">
                  <c:v>115</c:v>
                </c:pt>
                <c:pt idx="26">
                  <c:v>116</c:v>
                </c:pt>
                <c:pt idx="27">
                  <c:v>119</c:v>
                </c:pt>
                <c:pt idx="28">
                  <c:v>124</c:v>
                </c:pt>
                <c:pt idx="29">
                  <c:v>125</c:v>
                </c:pt>
                <c:pt idx="30">
                  <c:v>130</c:v>
                </c:pt>
                <c:pt idx="31">
                  <c:v>132</c:v>
                </c:pt>
                <c:pt idx="32">
                  <c:v>133</c:v>
                </c:pt>
                <c:pt idx="33">
                  <c:v>136</c:v>
                </c:pt>
                <c:pt idx="34">
                  <c:v>139</c:v>
                </c:pt>
                <c:pt idx="35">
                  <c:v>141</c:v>
                </c:pt>
                <c:pt idx="36">
                  <c:v>143</c:v>
                </c:pt>
                <c:pt idx="37">
                  <c:v>144</c:v>
                </c:pt>
                <c:pt idx="38">
                  <c:v>152</c:v>
                </c:pt>
                <c:pt idx="39">
                  <c:v>153</c:v>
                </c:pt>
                <c:pt idx="40">
                  <c:v>154</c:v>
                </c:pt>
                <c:pt idx="41">
                  <c:v>159</c:v>
                </c:pt>
                <c:pt idx="42">
                  <c:v>161</c:v>
                </c:pt>
                <c:pt idx="43">
                  <c:v>164</c:v>
                </c:pt>
                <c:pt idx="44">
                  <c:v>165</c:v>
                </c:pt>
                <c:pt idx="45">
                  <c:v>172</c:v>
                </c:pt>
                <c:pt idx="46">
                  <c:v>179</c:v>
                </c:pt>
                <c:pt idx="47">
                  <c:v>181</c:v>
                </c:pt>
                <c:pt idx="48">
                  <c:v>184</c:v>
                </c:pt>
                <c:pt idx="49">
                  <c:v>187</c:v>
                </c:pt>
                <c:pt idx="50">
                  <c:v>188</c:v>
                </c:pt>
                <c:pt idx="51">
                  <c:v>219</c:v>
                </c:pt>
                <c:pt idx="52">
                  <c:v>221</c:v>
                </c:pt>
                <c:pt idx="53">
                  <c:v>232</c:v>
                </c:pt>
                <c:pt idx="54">
                  <c:v>233</c:v>
                </c:pt>
                <c:pt idx="55">
                  <c:v>236</c:v>
                </c:pt>
                <c:pt idx="56">
                  <c:v>239</c:v>
                </c:pt>
                <c:pt idx="57">
                  <c:v>241</c:v>
                </c:pt>
                <c:pt idx="58">
                  <c:v>243</c:v>
                </c:pt>
                <c:pt idx="59">
                  <c:v>250</c:v>
                </c:pt>
                <c:pt idx="60">
                  <c:v>252</c:v>
                </c:pt>
                <c:pt idx="61">
                  <c:v>259</c:v>
                </c:pt>
                <c:pt idx="62">
                  <c:v>278</c:v>
                </c:pt>
                <c:pt idx="63">
                  <c:v>298</c:v>
                </c:pt>
                <c:pt idx="64">
                  <c:v>312</c:v>
                </c:pt>
                <c:pt idx="65">
                  <c:v>325</c:v>
                </c:pt>
                <c:pt idx="66">
                  <c:v>397</c:v>
                </c:pt>
                <c:pt idx="67">
                  <c:v>401</c:v>
                </c:pt>
              </c:numCache>
            </c:numRef>
          </c:xVal>
          <c:yVal>
            <c:numRef>
              <c:f>'CEA Limits'!$C$2:$C$69</c:f>
              <c:numCache>
                <c:formatCode>General</c:formatCode>
                <c:ptCount val="68"/>
                <c:pt idx="0">
                  <c:v>40</c:v>
                </c:pt>
                <c:pt idx="1">
                  <c:v>31.208770000000001</c:v>
                </c:pt>
                <c:pt idx="2">
                  <c:v>30.569189999999999</c:v>
                </c:pt>
                <c:pt idx="3">
                  <c:v>18.606010000000001</c:v>
                </c:pt>
                <c:pt idx="4">
                  <c:v>18.238990000000001</c:v>
                </c:pt>
                <c:pt idx="5">
                  <c:v>14.103059999999999</c:v>
                </c:pt>
                <c:pt idx="6">
                  <c:v>13.585380000000001</c:v>
                </c:pt>
                <c:pt idx="7">
                  <c:v>13.410640000000001</c:v>
                </c:pt>
                <c:pt idx="8">
                  <c:v>12.652839999999999</c:v>
                </c:pt>
                <c:pt idx="9">
                  <c:v>11.888439999999999</c:v>
                </c:pt>
                <c:pt idx="10">
                  <c:v>11.34187</c:v>
                </c:pt>
                <c:pt idx="11">
                  <c:v>10.17037</c:v>
                </c:pt>
                <c:pt idx="12">
                  <c:v>9.7816469999999995</c:v>
                </c:pt>
                <c:pt idx="13">
                  <c:v>9.7355809999999998</c:v>
                </c:pt>
                <c:pt idx="14">
                  <c:v>9.5020640000000007</c:v>
                </c:pt>
                <c:pt idx="15">
                  <c:v>9.2492420000000006</c:v>
                </c:pt>
                <c:pt idx="16">
                  <c:v>9.1124749999999999</c:v>
                </c:pt>
                <c:pt idx="17">
                  <c:v>8.8305530000000001</c:v>
                </c:pt>
                <c:pt idx="18">
                  <c:v>8.6885980000000007</c:v>
                </c:pt>
                <c:pt idx="19">
                  <c:v>8.6097210000000004</c:v>
                </c:pt>
                <c:pt idx="20">
                  <c:v>8.3185739999999999</c:v>
                </c:pt>
                <c:pt idx="21">
                  <c:v>8.2270909999999997</c:v>
                </c:pt>
                <c:pt idx="22">
                  <c:v>8.0833460000000006</c:v>
                </c:pt>
                <c:pt idx="23">
                  <c:v>8.0342920000000007</c:v>
                </c:pt>
                <c:pt idx="24">
                  <c:v>7.9351859999999999</c:v>
                </c:pt>
                <c:pt idx="25">
                  <c:v>7.8608989999999999</c:v>
                </c:pt>
                <c:pt idx="26">
                  <c:v>7.8580540000000001</c:v>
                </c:pt>
                <c:pt idx="27">
                  <c:v>7.8265149999999997</c:v>
                </c:pt>
                <c:pt idx="28">
                  <c:v>7.718375</c:v>
                </c:pt>
                <c:pt idx="29">
                  <c:v>7.6908640000000004</c:v>
                </c:pt>
                <c:pt idx="30">
                  <c:v>7.534446</c:v>
                </c:pt>
                <c:pt idx="31">
                  <c:v>7.4656539999999998</c:v>
                </c:pt>
                <c:pt idx="32">
                  <c:v>7.4303670000000004</c:v>
                </c:pt>
                <c:pt idx="33">
                  <c:v>7.3219459999999996</c:v>
                </c:pt>
                <c:pt idx="34">
                  <c:v>7.2520040000000003</c:v>
                </c:pt>
                <c:pt idx="35">
                  <c:v>7.2419739999999999</c:v>
                </c:pt>
                <c:pt idx="36">
                  <c:v>7.2222179999999998</c:v>
                </c:pt>
                <c:pt idx="37">
                  <c:v>7.209238</c:v>
                </c:pt>
                <c:pt idx="38">
                  <c:v>7.052664</c:v>
                </c:pt>
                <c:pt idx="39">
                  <c:v>7.028403</c:v>
                </c:pt>
                <c:pt idx="40">
                  <c:v>7.003431</c:v>
                </c:pt>
                <c:pt idx="41">
                  <c:v>6.8704070000000002</c:v>
                </c:pt>
                <c:pt idx="42">
                  <c:v>6.8144929999999997</c:v>
                </c:pt>
                <c:pt idx="43">
                  <c:v>6.7759600000000004</c:v>
                </c:pt>
                <c:pt idx="44">
                  <c:v>6.7721790000000004</c:v>
                </c:pt>
                <c:pt idx="45">
                  <c:v>6.7016289999999996</c:v>
                </c:pt>
                <c:pt idx="46">
                  <c:v>6.5802290000000001</c:v>
                </c:pt>
                <c:pt idx="47">
                  <c:v>6.5399089999999998</c:v>
                </c:pt>
                <c:pt idx="48">
                  <c:v>6.4763210000000004</c:v>
                </c:pt>
                <c:pt idx="49">
                  <c:v>6.4099510000000004</c:v>
                </c:pt>
                <c:pt idx="50">
                  <c:v>6.3962260000000004</c:v>
                </c:pt>
                <c:pt idx="51">
                  <c:v>6.0689630000000001</c:v>
                </c:pt>
                <c:pt idx="52">
                  <c:v>6.0566120000000003</c:v>
                </c:pt>
                <c:pt idx="53">
                  <c:v>5.9419279999999999</c:v>
                </c:pt>
                <c:pt idx="54">
                  <c:v>5.9287130000000001</c:v>
                </c:pt>
                <c:pt idx="55">
                  <c:v>5.8872010000000001</c:v>
                </c:pt>
                <c:pt idx="56">
                  <c:v>5.843375</c:v>
                </c:pt>
                <c:pt idx="57">
                  <c:v>5.820093</c:v>
                </c:pt>
                <c:pt idx="58">
                  <c:v>5.8180579999999997</c:v>
                </c:pt>
                <c:pt idx="59">
                  <c:v>5.7856490000000003</c:v>
                </c:pt>
                <c:pt idx="60">
                  <c:v>5.7706739999999996</c:v>
                </c:pt>
                <c:pt idx="61">
                  <c:v>5.7041539999999999</c:v>
                </c:pt>
                <c:pt idx="62">
                  <c:v>5.5656369999999997</c:v>
                </c:pt>
                <c:pt idx="63">
                  <c:v>5.4038329999999997</c:v>
                </c:pt>
                <c:pt idx="64">
                  <c:v>5.3426970000000003</c:v>
                </c:pt>
                <c:pt idx="65">
                  <c:v>5.2371090000000002</c:v>
                </c:pt>
                <c:pt idx="66">
                  <c:v>4.9290570000000002</c:v>
                </c:pt>
                <c:pt idx="67">
                  <c:v>4.9112349999999996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8C-44A6-A196-2D3C440F0395}"/>
            </c:ext>
          </c:extLst>
        </c:ser>
        <c:ser>
          <c:idx val="3"/>
          <c:order val="3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'CEA Summary'!$AL$2</c:f>
              <c:numCache>
                <c:formatCode>General</c:formatCode>
                <c:ptCount val="1"/>
                <c:pt idx="0">
                  <c:v>113</c:v>
                </c:pt>
              </c:numCache>
            </c:numRef>
          </c:xVal>
          <c:yVal>
            <c:numRef>
              <c:f>'CEA Summary'!$AM$2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8C-44A6-A196-2D3C440F0395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'CEA Limits'!$B$2:$B$69</c:f>
              <c:numCache>
                <c:formatCode>General</c:formatCode>
                <c:ptCount val="68"/>
                <c:pt idx="0">
                  <c:v>0</c:v>
                </c:pt>
                <c:pt idx="1">
                  <c:v>10</c:v>
                </c:pt>
                <c:pt idx="2">
                  <c:v>11</c:v>
                </c:pt>
                <c:pt idx="3">
                  <c:v>24</c:v>
                </c:pt>
                <c:pt idx="4">
                  <c:v>25</c:v>
                </c:pt>
                <c:pt idx="5">
                  <c:v>37</c:v>
                </c:pt>
                <c:pt idx="6">
                  <c:v>41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56</c:v>
                </c:pt>
                <c:pt idx="11">
                  <c:v>68</c:v>
                </c:pt>
                <c:pt idx="12">
                  <c:v>73</c:v>
                </c:pt>
                <c:pt idx="13">
                  <c:v>75</c:v>
                </c:pt>
                <c:pt idx="14">
                  <c:v>80</c:v>
                </c:pt>
                <c:pt idx="15">
                  <c:v>84</c:v>
                </c:pt>
                <c:pt idx="16">
                  <c:v>86</c:v>
                </c:pt>
                <c:pt idx="17">
                  <c:v>90</c:v>
                </c:pt>
                <c:pt idx="18">
                  <c:v>92</c:v>
                </c:pt>
                <c:pt idx="19">
                  <c:v>97</c:v>
                </c:pt>
                <c:pt idx="20">
                  <c:v>105</c:v>
                </c:pt>
                <c:pt idx="21">
                  <c:v>107</c:v>
                </c:pt>
                <c:pt idx="22">
                  <c:v>110</c:v>
                </c:pt>
                <c:pt idx="23">
                  <c:v>111</c:v>
                </c:pt>
                <c:pt idx="24">
                  <c:v>113</c:v>
                </c:pt>
                <c:pt idx="25">
                  <c:v>115</c:v>
                </c:pt>
                <c:pt idx="26">
                  <c:v>116</c:v>
                </c:pt>
                <c:pt idx="27">
                  <c:v>119</c:v>
                </c:pt>
                <c:pt idx="28">
                  <c:v>124</c:v>
                </c:pt>
                <c:pt idx="29">
                  <c:v>125</c:v>
                </c:pt>
                <c:pt idx="30">
                  <c:v>130</c:v>
                </c:pt>
                <c:pt idx="31">
                  <c:v>132</c:v>
                </c:pt>
                <c:pt idx="32">
                  <c:v>133</c:v>
                </c:pt>
                <c:pt idx="33">
                  <c:v>136</c:v>
                </c:pt>
                <c:pt idx="34">
                  <c:v>139</c:v>
                </c:pt>
                <c:pt idx="35">
                  <c:v>141</c:v>
                </c:pt>
                <c:pt idx="36">
                  <c:v>143</c:v>
                </c:pt>
                <c:pt idx="37">
                  <c:v>144</c:v>
                </c:pt>
                <c:pt idx="38">
                  <c:v>152</c:v>
                </c:pt>
                <c:pt idx="39">
                  <c:v>153</c:v>
                </c:pt>
                <c:pt idx="40">
                  <c:v>154</c:v>
                </c:pt>
                <c:pt idx="41">
                  <c:v>159</c:v>
                </c:pt>
                <c:pt idx="42">
                  <c:v>161</c:v>
                </c:pt>
                <c:pt idx="43">
                  <c:v>164</c:v>
                </c:pt>
                <c:pt idx="44">
                  <c:v>165</c:v>
                </c:pt>
                <c:pt idx="45">
                  <c:v>172</c:v>
                </c:pt>
                <c:pt idx="46">
                  <c:v>179</c:v>
                </c:pt>
                <c:pt idx="47">
                  <c:v>181</c:v>
                </c:pt>
                <c:pt idx="48">
                  <c:v>184</c:v>
                </c:pt>
                <c:pt idx="49">
                  <c:v>187</c:v>
                </c:pt>
                <c:pt idx="50">
                  <c:v>188</c:v>
                </c:pt>
                <c:pt idx="51">
                  <c:v>219</c:v>
                </c:pt>
                <c:pt idx="52">
                  <c:v>221</c:v>
                </c:pt>
                <c:pt idx="53">
                  <c:v>232</c:v>
                </c:pt>
                <c:pt idx="54">
                  <c:v>233</c:v>
                </c:pt>
                <c:pt idx="55">
                  <c:v>236</c:v>
                </c:pt>
                <c:pt idx="56">
                  <c:v>239</c:v>
                </c:pt>
                <c:pt idx="57">
                  <c:v>241</c:v>
                </c:pt>
                <c:pt idx="58">
                  <c:v>243</c:v>
                </c:pt>
                <c:pt idx="59">
                  <c:v>250</c:v>
                </c:pt>
                <c:pt idx="60">
                  <c:v>252</c:v>
                </c:pt>
                <c:pt idx="61">
                  <c:v>259</c:v>
                </c:pt>
                <c:pt idx="62">
                  <c:v>278</c:v>
                </c:pt>
                <c:pt idx="63">
                  <c:v>298</c:v>
                </c:pt>
                <c:pt idx="64">
                  <c:v>312</c:v>
                </c:pt>
                <c:pt idx="65">
                  <c:v>325</c:v>
                </c:pt>
                <c:pt idx="66">
                  <c:v>397</c:v>
                </c:pt>
                <c:pt idx="67">
                  <c:v>401</c:v>
                </c:pt>
              </c:numCache>
            </c:numRef>
          </c:xVal>
          <c:yVal>
            <c:numRef>
              <c:f>'CEA Limits'!$E$2:$E$69</c:f>
              <c:numCache>
                <c:formatCode>General</c:formatCode>
                <c:ptCount val="68"/>
                <c:pt idx="64">
                  <c:v>8.9740000000000002E-4</c:v>
                </c:pt>
                <c:pt idx="65">
                  <c:v>1.5213900000000001E-2</c:v>
                </c:pt>
                <c:pt idx="66">
                  <c:v>0.1619468</c:v>
                </c:pt>
                <c:pt idx="67">
                  <c:v>0.17604649999999999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08-4873-B7B3-631BFEF13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4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50"/>
      </c:valAx>
      <c:valAx>
        <c:axId val="57849340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30 day deaths/strokes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National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'CEA Summary'!$F$28:$H$28</c:f>
              <c:strCache>
                <c:ptCount val="3"/>
                <c:pt idx="0">
                  <c:v>Patients referred within 7 days of symptom</c:v>
                </c:pt>
                <c:pt idx="1">
                  <c:v>Patients receiving surgery within 7 days of referral</c:v>
                </c:pt>
                <c:pt idx="2">
                  <c:v>Patients receiving surgery within 14 days of symptom</c:v>
                </c:pt>
              </c:strCache>
            </c:strRef>
          </c:cat>
          <c:val>
            <c:numRef>
              <c:f>'CEA Summary'!$F$30:$H$30</c:f>
              <c:numCache>
                <c:formatCode>0%</c:formatCode>
                <c:ptCount val="3"/>
                <c:pt idx="0">
                  <c:v>0.74</c:v>
                </c:pt>
                <c:pt idx="1">
                  <c:v>0.53</c:v>
                </c:pt>
                <c:pt idx="2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5-4D6C-8572-5F8BFEFD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389960"/>
        <c:axId val="406391600"/>
      </c:barChart>
      <c:scatterChart>
        <c:scatterStyle val="lineMarker"/>
        <c:varyColors val="0"/>
        <c:ser>
          <c:idx val="0"/>
          <c:order val="0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'CEA Summary'!$F$28:$H$28</c:f>
              <c:strCache>
                <c:ptCount val="3"/>
                <c:pt idx="0">
                  <c:v>Patients referred within 7 days of symptom</c:v>
                </c:pt>
                <c:pt idx="1">
                  <c:v>Patients receiving surgery within 7 days of referral</c:v>
                </c:pt>
                <c:pt idx="2">
                  <c:v>Patients receiving surgery within 14 days of symptom</c:v>
                </c:pt>
              </c:strCache>
            </c:strRef>
          </c:xVal>
          <c:yVal>
            <c:numRef>
              <c:f>'CEA Summary'!$F$29:$H$29</c:f>
              <c:numCache>
                <c:formatCode>0%</c:formatCode>
                <c:ptCount val="3"/>
                <c:pt idx="0">
                  <c:v>0.4210526</c:v>
                </c:pt>
                <c:pt idx="1">
                  <c:v>0.68421050000000005</c:v>
                </c:pt>
                <c:pt idx="2">
                  <c:v>0.4736842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35-4D6C-8572-5F8BFEFD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389960"/>
        <c:axId val="406391600"/>
      </c:scatterChart>
      <c:catAx>
        <c:axId val="40638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91600"/>
        <c:crosses val="autoZero"/>
        <c:auto val="1"/>
        <c:lblAlgn val="ctr"/>
        <c:lblOffset val="100"/>
        <c:noMultiLvlLbl val="0"/>
      </c:catAx>
      <c:valAx>
        <c:axId val="4063916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8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863201564547166"/>
          <c:y val="1.9858157506982929E-2"/>
          <c:w val="0.643032505177067"/>
          <c:h val="5.5851458897001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'AAA Funnel'!$C$1</c:f>
              <c:strCache>
                <c:ptCount val="1"/>
                <c:pt idx="0">
                  <c:v>Mortality Rate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'AAA Funnel'!$B$2:$B$72</c:f>
              <c:numCache>
                <c:formatCode>General</c:formatCode>
                <c:ptCount val="71"/>
                <c:pt idx="0">
                  <c:v>121</c:v>
                </c:pt>
                <c:pt idx="1">
                  <c:v>155</c:v>
                </c:pt>
                <c:pt idx="2">
                  <c:v>71</c:v>
                </c:pt>
                <c:pt idx="3">
                  <c:v>95</c:v>
                </c:pt>
                <c:pt idx="4">
                  <c:v>237</c:v>
                </c:pt>
                <c:pt idx="5">
                  <c:v>117</c:v>
                </c:pt>
                <c:pt idx="6">
                  <c:v>149</c:v>
                </c:pt>
                <c:pt idx="7">
                  <c:v>86</c:v>
                </c:pt>
                <c:pt idx="8">
                  <c:v>62</c:v>
                </c:pt>
                <c:pt idx="9">
                  <c:v>54</c:v>
                </c:pt>
                <c:pt idx="10">
                  <c:v>58</c:v>
                </c:pt>
                <c:pt idx="11">
                  <c:v>238</c:v>
                </c:pt>
                <c:pt idx="12">
                  <c:v>118</c:v>
                </c:pt>
                <c:pt idx="13">
                  <c:v>8</c:v>
                </c:pt>
                <c:pt idx="14">
                  <c:v>166</c:v>
                </c:pt>
                <c:pt idx="15">
                  <c:v>138</c:v>
                </c:pt>
                <c:pt idx="16">
                  <c:v>174</c:v>
                </c:pt>
                <c:pt idx="17">
                  <c:v>146</c:v>
                </c:pt>
                <c:pt idx="18">
                  <c:v>58</c:v>
                </c:pt>
                <c:pt idx="19">
                  <c:v>200</c:v>
                </c:pt>
                <c:pt idx="20">
                  <c:v>68</c:v>
                </c:pt>
                <c:pt idx="21">
                  <c:v>273</c:v>
                </c:pt>
                <c:pt idx="22">
                  <c:v>159</c:v>
                </c:pt>
                <c:pt idx="23">
                  <c:v>92</c:v>
                </c:pt>
                <c:pt idx="24">
                  <c:v>250</c:v>
                </c:pt>
                <c:pt idx="25">
                  <c:v>115</c:v>
                </c:pt>
                <c:pt idx="26">
                  <c:v>263</c:v>
                </c:pt>
                <c:pt idx="27">
                  <c:v>192</c:v>
                </c:pt>
                <c:pt idx="28">
                  <c:v>14</c:v>
                </c:pt>
                <c:pt idx="29">
                  <c:v>297</c:v>
                </c:pt>
                <c:pt idx="30">
                  <c:v>200</c:v>
                </c:pt>
                <c:pt idx="31">
                  <c:v>102</c:v>
                </c:pt>
                <c:pt idx="32">
                  <c:v>141</c:v>
                </c:pt>
                <c:pt idx="33">
                  <c:v>217</c:v>
                </c:pt>
                <c:pt idx="34">
                  <c:v>145</c:v>
                </c:pt>
                <c:pt idx="35">
                  <c:v>88</c:v>
                </c:pt>
                <c:pt idx="36">
                  <c:v>97</c:v>
                </c:pt>
                <c:pt idx="37">
                  <c:v>90</c:v>
                </c:pt>
                <c:pt idx="38">
                  <c:v>46</c:v>
                </c:pt>
                <c:pt idx="39">
                  <c:v>129</c:v>
                </c:pt>
                <c:pt idx="40">
                  <c:v>191</c:v>
                </c:pt>
                <c:pt idx="41">
                  <c:v>17</c:v>
                </c:pt>
                <c:pt idx="42">
                  <c:v>203</c:v>
                </c:pt>
                <c:pt idx="43">
                  <c:v>160</c:v>
                </c:pt>
                <c:pt idx="44">
                  <c:v>139</c:v>
                </c:pt>
                <c:pt idx="45">
                  <c:v>219</c:v>
                </c:pt>
                <c:pt idx="46">
                  <c:v>73</c:v>
                </c:pt>
                <c:pt idx="47">
                  <c:v>107</c:v>
                </c:pt>
                <c:pt idx="48">
                  <c:v>148</c:v>
                </c:pt>
                <c:pt idx="49">
                  <c:v>136</c:v>
                </c:pt>
                <c:pt idx="50">
                  <c:v>158</c:v>
                </c:pt>
                <c:pt idx="51">
                  <c:v>119</c:v>
                </c:pt>
                <c:pt idx="52">
                  <c:v>93</c:v>
                </c:pt>
                <c:pt idx="53">
                  <c:v>151</c:v>
                </c:pt>
                <c:pt idx="54">
                  <c:v>101</c:v>
                </c:pt>
                <c:pt idx="55">
                  <c:v>63</c:v>
                </c:pt>
                <c:pt idx="56">
                  <c:v>210</c:v>
                </c:pt>
                <c:pt idx="57">
                  <c:v>144</c:v>
                </c:pt>
                <c:pt idx="58">
                  <c:v>208</c:v>
                </c:pt>
                <c:pt idx="59">
                  <c:v>91</c:v>
                </c:pt>
                <c:pt idx="60">
                  <c:v>93</c:v>
                </c:pt>
                <c:pt idx="61">
                  <c:v>90</c:v>
                </c:pt>
                <c:pt idx="62">
                  <c:v>198</c:v>
                </c:pt>
                <c:pt idx="63">
                  <c:v>9</c:v>
                </c:pt>
                <c:pt idx="64">
                  <c:v>134</c:v>
                </c:pt>
                <c:pt idx="65">
                  <c:v>47</c:v>
                </c:pt>
                <c:pt idx="66">
                  <c:v>129</c:v>
                </c:pt>
                <c:pt idx="67">
                  <c:v>45</c:v>
                </c:pt>
                <c:pt idx="68">
                  <c:v>117</c:v>
                </c:pt>
                <c:pt idx="69">
                  <c:v>33</c:v>
                </c:pt>
                <c:pt idx="70">
                  <c:v>281</c:v>
                </c:pt>
              </c:numCache>
            </c:numRef>
          </c:xVal>
          <c:yVal>
            <c:numRef>
              <c:f>'AAA Funnel'!$C$2:$C$72</c:f>
              <c:numCache>
                <c:formatCode>0.0</c:formatCode>
                <c:ptCount val="71"/>
                <c:pt idx="0">
                  <c:v>3.9</c:v>
                </c:pt>
                <c:pt idx="1">
                  <c:v>4.7</c:v>
                </c:pt>
                <c:pt idx="2">
                  <c:v>4.3</c:v>
                </c:pt>
                <c:pt idx="3">
                  <c:v>2.2999999999999998</c:v>
                </c:pt>
                <c:pt idx="4">
                  <c:v>0.4</c:v>
                </c:pt>
                <c:pt idx="5">
                  <c:v>1.7</c:v>
                </c:pt>
                <c:pt idx="6">
                  <c:v>1.4</c:v>
                </c:pt>
                <c:pt idx="7">
                  <c:v>3.4</c:v>
                </c:pt>
                <c:pt idx="8">
                  <c:v>1.7</c:v>
                </c:pt>
                <c:pt idx="9">
                  <c:v>0</c:v>
                </c:pt>
                <c:pt idx="10">
                  <c:v>0</c:v>
                </c:pt>
                <c:pt idx="11">
                  <c:v>2.2000000000000002</c:v>
                </c:pt>
                <c:pt idx="12">
                  <c:v>0</c:v>
                </c:pt>
                <c:pt idx="13">
                  <c:v>0</c:v>
                </c:pt>
                <c:pt idx="14">
                  <c:v>2.5</c:v>
                </c:pt>
                <c:pt idx="15">
                  <c:v>1.4</c:v>
                </c:pt>
                <c:pt idx="16">
                  <c:v>2.2999999999999998</c:v>
                </c:pt>
                <c:pt idx="17">
                  <c:v>0.7</c:v>
                </c:pt>
                <c:pt idx="18">
                  <c:v>0</c:v>
                </c:pt>
                <c:pt idx="19">
                  <c:v>1.4</c:v>
                </c:pt>
                <c:pt idx="20">
                  <c:v>1.4</c:v>
                </c:pt>
                <c:pt idx="21">
                  <c:v>0.4</c:v>
                </c:pt>
                <c:pt idx="22">
                  <c:v>1.3</c:v>
                </c:pt>
                <c:pt idx="23">
                  <c:v>3.8</c:v>
                </c:pt>
                <c:pt idx="24">
                  <c:v>1.2</c:v>
                </c:pt>
                <c:pt idx="25">
                  <c:v>1.7</c:v>
                </c:pt>
                <c:pt idx="26">
                  <c:v>0.4</c:v>
                </c:pt>
                <c:pt idx="27">
                  <c:v>0</c:v>
                </c:pt>
                <c:pt idx="28">
                  <c:v>7.7</c:v>
                </c:pt>
                <c:pt idx="29">
                  <c:v>2</c:v>
                </c:pt>
                <c:pt idx="30">
                  <c:v>1.9</c:v>
                </c:pt>
                <c:pt idx="31">
                  <c:v>1</c:v>
                </c:pt>
                <c:pt idx="32">
                  <c:v>1.3</c:v>
                </c:pt>
                <c:pt idx="33">
                  <c:v>1.8</c:v>
                </c:pt>
                <c:pt idx="34">
                  <c:v>0</c:v>
                </c:pt>
                <c:pt idx="35">
                  <c:v>2</c:v>
                </c:pt>
                <c:pt idx="36">
                  <c:v>4.4000000000000004</c:v>
                </c:pt>
                <c:pt idx="37">
                  <c:v>0</c:v>
                </c:pt>
                <c:pt idx="38">
                  <c:v>0</c:v>
                </c:pt>
                <c:pt idx="39">
                  <c:v>0.8</c:v>
                </c:pt>
                <c:pt idx="40">
                  <c:v>3</c:v>
                </c:pt>
                <c:pt idx="41">
                  <c:v>0</c:v>
                </c:pt>
                <c:pt idx="42">
                  <c:v>2.9</c:v>
                </c:pt>
                <c:pt idx="43">
                  <c:v>0.6</c:v>
                </c:pt>
                <c:pt idx="44">
                  <c:v>1.4</c:v>
                </c:pt>
                <c:pt idx="45">
                  <c:v>0</c:v>
                </c:pt>
                <c:pt idx="46">
                  <c:v>1.4</c:v>
                </c:pt>
                <c:pt idx="47">
                  <c:v>0.9</c:v>
                </c:pt>
                <c:pt idx="48">
                  <c:v>2.8</c:v>
                </c:pt>
                <c:pt idx="49">
                  <c:v>0.7</c:v>
                </c:pt>
                <c:pt idx="50">
                  <c:v>0.6</c:v>
                </c:pt>
                <c:pt idx="51">
                  <c:v>0.9</c:v>
                </c:pt>
                <c:pt idx="52">
                  <c:v>1.2</c:v>
                </c:pt>
                <c:pt idx="53">
                  <c:v>1.4</c:v>
                </c:pt>
                <c:pt idx="54">
                  <c:v>2</c:v>
                </c:pt>
                <c:pt idx="55">
                  <c:v>0</c:v>
                </c:pt>
                <c:pt idx="56">
                  <c:v>0.5</c:v>
                </c:pt>
                <c:pt idx="57">
                  <c:v>2</c:v>
                </c:pt>
                <c:pt idx="58">
                  <c:v>0.5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1.5</c:v>
                </c:pt>
                <c:pt idx="65">
                  <c:v>0</c:v>
                </c:pt>
                <c:pt idx="66">
                  <c:v>2.2999999999999998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23-4E9D-ADE0-4F5A6DAF54D4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'AAA Limits'!$B$2:$B$70</c:f>
              <c:numCache>
                <c:formatCode>General</c:formatCode>
                <c:ptCount val="69"/>
                <c:pt idx="0">
                  <c:v>0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33</c:v>
                </c:pt>
                <c:pt idx="7">
                  <c:v>34</c:v>
                </c:pt>
                <c:pt idx="8">
                  <c:v>41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54</c:v>
                </c:pt>
                <c:pt idx="13">
                  <c:v>58</c:v>
                </c:pt>
                <c:pt idx="14">
                  <c:v>62</c:v>
                </c:pt>
                <c:pt idx="15">
                  <c:v>63</c:v>
                </c:pt>
                <c:pt idx="16">
                  <c:v>68</c:v>
                </c:pt>
                <c:pt idx="17">
                  <c:v>71</c:v>
                </c:pt>
                <c:pt idx="18">
                  <c:v>73</c:v>
                </c:pt>
                <c:pt idx="19">
                  <c:v>86</c:v>
                </c:pt>
                <c:pt idx="20">
                  <c:v>88</c:v>
                </c:pt>
                <c:pt idx="21">
                  <c:v>90</c:v>
                </c:pt>
                <c:pt idx="22">
                  <c:v>91</c:v>
                </c:pt>
                <c:pt idx="23">
                  <c:v>92</c:v>
                </c:pt>
                <c:pt idx="24">
                  <c:v>93</c:v>
                </c:pt>
                <c:pt idx="25">
                  <c:v>95</c:v>
                </c:pt>
                <c:pt idx="26">
                  <c:v>97</c:v>
                </c:pt>
                <c:pt idx="27">
                  <c:v>101</c:v>
                </c:pt>
                <c:pt idx="28">
                  <c:v>102</c:v>
                </c:pt>
                <c:pt idx="29">
                  <c:v>107</c:v>
                </c:pt>
                <c:pt idx="30">
                  <c:v>115</c:v>
                </c:pt>
                <c:pt idx="31">
                  <c:v>117</c:v>
                </c:pt>
                <c:pt idx="32">
                  <c:v>118</c:v>
                </c:pt>
                <c:pt idx="33">
                  <c:v>119</c:v>
                </c:pt>
                <c:pt idx="34">
                  <c:v>121</c:v>
                </c:pt>
                <c:pt idx="35">
                  <c:v>129</c:v>
                </c:pt>
                <c:pt idx="36">
                  <c:v>134</c:v>
                </c:pt>
                <c:pt idx="37">
                  <c:v>136</c:v>
                </c:pt>
                <c:pt idx="38">
                  <c:v>138</c:v>
                </c:pt>
                <c:pt idx="39">
                  <c:v>139</c:v>
                </c:pt>
                <c:pt idx="40">
                  <c:v>141</c:v>
                </c:pt>
                <c:pt idx="41">
                  <c:v>144</c:v>
                </c:pt>
                <c:pt idx="42">
                  <c:v>145</c:v>
                </c:pt>
                <c:pt idx="43">
                  <c:v>146</c:v>
                </c:pt>
                <c:pt idx="44">
                  <c:v>148</c:v>
                </c:pt>
                <c:pt idx="45">
                  <c:v>149</c:v>
                </c:pt>
                <c:pt idx="46">
                  <c:v>151</c:v>
                </c:pt>
                <c:pt idx="47">
                  <c:v>155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166</c:v>
                </c:pt>
                <c:pt idx="52">
                  <c:v>174</c:v>
                </c:pt>
                <c:pt idx="53">
                  <c:v>191</c:v>
                </c:pt>
                <c:pt idx="54">
                  <c:v>192</c:v>
                </c:pt>
                <c:pt idx="55">
                  <c:v>198</c:v>
                </c:pt>
                <c:pt idx="56">
                  <c:v>200</c:v>
                </c:pt>
                <c:pt idx="57">
                  <c:v>203</c:v>
                </c:pt>
                <c:pt idx="58">
                  <c:v>208</c:v>
                </c:pt>
                <c:pt idx="59">
                  <c:v>210</c:v>
                </c:pt>
                <c:pt idx="60">
                  <c:v>217</c:v>
                </c:pt>
                <c:pt idx="61">
                  <c:v>219</c:v>
                </c:pt>
                <c:pt idx="62">
                  <c:v>237</c:v>
                </c:pt>
                <c:pt idx="63">
                  <c:v>238</c:v>
                </c:pt>
                <c:pt idx="64">
                  <c:v>250</c:v>
                </c:pt>
                <c:pt idx="65">
                  <c:v>263</c:v>
                </c:pt>
                <c:pt idx="66">
                  <c:v>273</c:v>
                </c:pt>
                <c:pt idx="67">
                  <c:v>281</c:v>
                </c:pt>
                <c:pt idx="68">
                  <c:v>297</c:v>
                </c:pt>
              </c:numCache>
            </c:numRef>
          </c:xVal>
          <c:yVal>
            <c:numRef>
              <c:f>'AAA Limits'!$D$2:$D$70</c:f>
              <c:numCache>
                <c:formatCode>General</c:formatCode>
                <c:ptCount val="69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  <c:pt idx="28">
                  <c:v>1.4</c:v>
                </c:pt>
                <c:pt idx="29">
                  <c:v>1.4</c:v>
                </c:pt>
                <c:pt idx="30">
                  <c:v>1.4</c:v>
                </c:pt>
                <c:pt idx="31">
                  <c:v>1.4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</c:v>
                </c:pt>
                <c:pt idx="43">
                  <c:v>1.4</c:v>
                </c:pt>
                <c:pt idx="44">
                  <c:v>1.4</c:v>
                </c:pt>
                <c:pt idx="45">
                  <c:v>1.4</c:v>
                </c:pt>
                <c:pt idx="46">
                  <c:v>1.4</c:v>
                </c:pt>
                <c:pt idx="47">
                  <c:v>1.4</c:v>
                </c:pt>
                <c:pt idx="48">
                  <c:v>1.4</c:v>
                </c:pt>
                <c:pt idx="49">
                  <c:v>1.4</c:v>
                </c:pt>
                <c:pt idx="50">
                  <c:v>1.4</c:v>
                </c:pt>
                <c:pt idx="51">
                  <c:v>1.4</c:v>
                </c:pt>
                <c:pt idx="52">
                  <c:v>1.4</c:v>
                </c:pt>
                <c:pt idx="53">
                  <c:v>1.4</c:v>
                </c:pt>
                <c:pt idx="54">
                  <c:v>1.4</c:v>
                </c:pt>
                <c:pt idx="55">
                  <c:v>1.4</c:v>
                </c:pt>
                <c:pt idx="56">
                  <c:v>1.4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1.4</c:v>
                </c:pt>
                <c:pt idx="66">
                  <c:v>1.4</c:v>
                </c:pt>
                <c:pt idx="67">
                  <c:v>1.4</c:v>
                </c:pt>
                <c:pt idx="68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23-4E9D-ADE0-4F5A6DAF54D4}"/>
            </c:ext>
          </c:extLst>
        </c:ser>
        <c:ser>
          <c:idx val="2"/>
          <c:order val="2"/>
          <c:tx>
            <c:v>Upper 99.8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'AAA Limits'!$B$2:$B$70</c:f>
              <c:numCache>
                <c:formatCode>General</c:formatCode>
                <c:ptCount val="69"/>
                <c:pt idx="0">
                  <c:v>0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33</c:v>
                </c:pt>
                <c:pt idx="7">
                  <c:v>34</c:v>
                </c:pt>
                <c:pt idx="8">
                  <c:v>41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54</c:v>
                </c:pt>
                <c:pt idx="13">
                  <c:v>58</c:v>
                </c:pt>
                <c:pt idx="14">
                  <c:v>62</c:v>
                </c:pt>
                <c:pt idx="15">
                  <c:v>63</c:v>
                </c:pt>
                <c:pt idx="16">
                  <c:v>68</c:v>
                </c:pt>
                <c:pt idx="17">
                  <c:v>71</c:v>
                </c:pt>
                <c:pt idx="18">
                  <c:v>73</c:v>
                </c:pt>
                <c:pt idx="19">
                  <c:v>86</c:v>
                </c:pt>
                <c:pt idx="20">
                  <c:v>88</c:v>
                </c:pt>
                <c:pt idx="21">
                  <c:v>90</c:v>
                </c:pt>
                <c:pt idx="22">
                  <c:v>91</c:v>
                </c:pt>
                <c:pt idx="23">
                  <c:v>92</c:v>
                </c:pt>
                <c:pt idx="24">
                  <c:v>93</c:v>
                </c:pt>
                <c:pt idx="25">
                  <c:v>95</c:v>
                </c:pt>
                <c:pt idx="26">
                  <c:v>97</c:v>
                </c:pt>
                <c:pt idx="27">
                  <c:v>101</c:v>
                </c:pt>
                <c:pt idx="28">
                  <c:v>102</c:v>
                </c:pt>
                <c:pt idx="29">
                  <c:v>107</c:v>
                </c:pt>
                <c:pt idx="30">
                  <c:v>115</c:v>
                </c:pt>
                <c:pt idx="31">
                  <c:v>117</c:v>
                </c:pt>
                <c:pt idx="32">
                  <c:v>118</c:v>
                </c:pt>
                <c:pt idx="33">
                  <c:v>119</c:v>
                </c:pt>
                <c:pt idx="34">
                  <c:v>121</c:v>
                </c:pt>
                <c:pt idx="35">
                  <c:v>129</c:v>
                </c:pt>
                <c:pt idx="36">
                  <c:v>134</c:v>
                </c:pt>
                <c:pt idx="37">
                  <c:v>136</c:v>
                </c:pt>
                <c:pt idx="38">
                  <c:v>138</c:v>
                </c:pt>
                <c:pt idx="39">
                  <c:v>139</c:v>
                </c:pt>
                <c:pt idx="40">
                  <c:v>141</c:v>
                </c:pt>
                <c:pt idx="41">
                  <c:v>144</c:v>
                </c:pt>
                <c:pt idx="42">
                  <c:v>145</c:v>
                </c:pt>
                <c:pt idx="43">
                  <c:v>146</c:v>
                </c:pt>
                <c:pt idx="44">
                  <c:v>148</c:v>
                </c:pt>
                <c:pt idx="45">
                  <c:v>149</c:v>
                </c:pt>
                <c:pt idx="46">
                  <c:v>151</c:v>
                </c:pt>
                <c:pt idx="47">
                  <c:v>155</c:v>
                </c:pt>
                <c:pt idx="48">
                  <c:v>158</c:v>
                </c:pt>
                <c:pt idx="49">
                  <c:v>159</c:v>
                </c:pt>
                <c:pt idx="50">
                  <c:v>160</c:v>
                </c:pt>
                <c:pt idx="51">
                  <c:v>166</c:v>
                </c:pt>
                <c:pt idx="52">
                  <c:v>174</c:v>
                </c:pt>
                <c:pt idx="53">
                  <c:v>191</c:v>
                </c:pt>
                <c:pt idx="54">
                  <c:v>192</c:v>
                </c:pt>
                <c:pt idx="55">
                  <c:v>198</c:v>
                </c:pt>
                <c:pt idx="56">
                  <c:v>200</c:v>
                </c:pt>
                <c:pt idx="57">
                  <c:v>203</c:v>
                </c:pt>
                <c:pt idx="58">
                  <c:v>208</c:v>
                </c:pt>
                <c:pt idx="59">
                  <c:v>210</c:v>
                </c:pt>
                <c:pt idx="60">
                  <c:v>217</c:v>
                </c:pt>
                <c:pt idx="61">
                  <c:v>219</c:v>
                </c:pt>
                <c:pt idx="62">
                  <c:v>237</c:v>
                </c:pt>
                <c:pt idx="63">
                  <c:v>238</c:v>
                </c:pt>
                <c:pt idx="64">
                  <c:v>250</c:v>
                </c:pt>
                <c:pt idx="65">
                  <c:v>263</c:v>
                </c:pt>
                <c:pt idx="66">
                  <c:v>273</c:v>
                </c:pt>
                <c:pt idx="67">
                  <c:v>281</c:v>
                </c:pt>
                <c:pt idx="68">
                  <c:v>297</c:v>
                </c:pt>
              </c:numCache>
            </c:numRef>
          </c:xVal>
          <c:yVal>
            <c:numRef>
              <c:f>'AAA Limits'!$C$2:$C$70</c:f>
              <c:numCache>
                <c:formatCode>General</c:formatCode>
                <c:ptCount val="69"/>
                <c:pt idx="0">
                  <c:v>50</c:v>
                </c:pt>
                <c:pt idx="1">
                  <c:v>35.212910000000001</c:v>
                </c:pt>
                <c:pt idx="2">
                  <c:v>31.849170000000001</c:v>
                </c:pt>
                <c:pt idx="3">
                  <c:v>21.333320000000001</c:v>
                </c:pt>
                <c:pt idx="4">
                  <c:v>20.02178</c:v>
                </c:pt>
                <c:pt idx="5">
                  <c:v>19.619119999999999</c:v>
                </c:pt>
                <c:pt idx="6">
                  <c:v>12.1517</c:v>
                </c:pt>
                <c:pt idx="7">
                  <c:v>12.1372</c:v>
                </c:pt>
                <c:pt idx="8">
                  <c:v>11.283379999999999</c:v>
                </c:pt>
                <c:pt idx="9">
                  <c:v>10.613479999999999</c:v>
                </c:pt>
                <c:pt idx="10">
                  <c:v>10.446249999999999</c:v>
                </c:pt>
                <c:pt idx="11">
                  <c:v>10.28079</c:v>
                </c:pt>
                <c:pt idx="12">
                  <c:v>9.20214</c:v>
                </c:pt>
                <c:pt idx="13">
                  <c:v>8.883203</c:v>
                </c:pt>
                <c:pt idx="14">
                  <c:v>8.7282030000000006</c:v>
                </c:pt>
                <c:pt idx="15">
                  <c:v>8.6720620000000004</c:v>
                </c:pt>
                <c:pt idx="16">
                  <c:v>8.3363929999999993</c:v>
                </c:pt>
                <c:pt idx="17">
                  <c:v>8.1124109999999998</c:v>
                </c:pt>
                <c:pt idx="18">
                  <c:v>7.9601579999999998</c:v>
                </c:pt>
                <c:pt idx="19">
                  <c:v>7.1626719999999997</c:v>
                </c:pt>
                <c:pt idx="20">
                  <c:v>7.1316899999999999</c:v>
                </c:pt>
                <c:pt idx="21">
                  <c:v>7.0858150000000002</c:v>
                </c:pt>
                <c:pt idx="22">
                  <c:v>7.0583929999999997</c:v>
                </c:pt>
                <c:pt idx="23">
                  <c:v>7.0284719999999998</c:v>
                </c:pt>
                <c:pt idx="24">
                  <c:v>6.9963730000000002</c:v>
                </c:pt>
                <c:pt idx="25">
                  <c:v>6.9267450000000004</c:v>
                </c:pt>
                <c:pt idx="26">
                  <c:v>6.8514400000000002</c:v>
                </c:pt>
                <c:pt idx="27">
                  <c:v>6.6896449999999996</c:v>
                </c:pt>
                <c:pt idx="28">
                  <c:v>6.6476940000000004</c:v>
                </c:pt>
                <c:pt idx="29">
                  <c:v>6.4340169999999999</c:v>
                </c:pt>
                <c:pt idx="30">
                  <c:v>6.1184010000000004</c:v>
                </c:pt>
                <c:pt idx="31">
                  <c:v>6.1112590000000004</c:v>
                </c:pt>
                <c:pt idx="32">
                  <c:v>6.1038370000000004</c:v>
                </c:pt>
                <c:pt idx="33">
                  <c:v>6.0941660000000004</c:v>
                </c:pt>
                <c:pt idx="34">
                  <c:v>6.0689060000000001</c:v>
                </c:pt>
                <c:pt idx="35">
                  <c:v>5.9124610000000004</c:v>
                </c:pt>
                <c:pt idx="36">
                  <c:v>5.788119</c:v>
                </c:pt>
                <c:pt idx="37">
                  <c:v>5.735385</c:v>
                </c:pt>
                <c:pt idx="38">
                  <c:v>5.6815720000000001</c:v>
                </c:pt>
                <c:pt idx="39">
                  <c:v>5.6543650000000003</c:v>
                </c:pt>
                <c:pt idx="40">
                  <c:v>5.5995330000000001</c:v>
                </c:pt>
                <c:pt idx="41">
                  <c:v>5.5166919999999999</c:v>
                </c:pt>
                <c:pt idx="42">
                  <c:v>5.4890249999999998</c:v>
                </c:pt>
                <c:pt idx="43">
                  <c:v>5.4613670000000001</c:v>
                </c:pt>
                <c:pt idx="44">
                  <c:v>5.4085070000000002</c:v>
                </c:pt>
                <c:pt idx="45">
                  <c:v>5.408118</c:v>
                </c:pt>
                <c:pt idx="46">
                  <c:v>5.4024549999999998</c:v>
                </c:pt>
                <c:pt idx="47">
                  <c:v>5.3748690000000003</c:v>
                </c:pt>
                <c:pt idx="48">
                  <c:v>5.3430119999999999</c:v>
                </c:pt>
                <c:pt idx="49">
                  <c:v>5.3306940000000003</c:v>
                </c:pt>
                <c:pt idx="50">
                  <c:v>5.3176410000000001</c:v>
                </c:pt>
                <c:pt idx="51">
                  <c:v>5.2269800000000002</c:v>
                </c:pt>
                <c:pt idx="52">
                  <c:v>5.0850010000000001</c:v>
                </c:pt>
                <c:pt idx="53">
                  <c:v>4.8762660000000002</c:v>
                </c:pt>
                <c:pt idx="54">
                  <c:v>4.869764</c:v>
                </c:pt>
                <c:pt idx="55">
                  <c:v>4.8185729999999998</c:v>
                </c:pt>
                <c:pt idx="56">
                  <c:v>4.7977569999999998</c:v>
                </c:pt>
                <c:pt idx="57">
                  <c:v>4.7638590000000001</c:v>
                </c:pt>
                <c:pt idx="58">
                  <c:v>4.701829</c:v>
                </c:pt>
                <c:pt idx="59">
                  <c:v>4.675548</c:v>
                </c:pt>
                <c:pt idx="60">
                  <c:v>4.5792200000000003</c:v>
                </c:pt>
                <c:pt idx="61">
                  <c:v>4.5508569999999997</c:v>
                </c:pt>
                <c:pt idx="62">
                  <c:v>4.4503529999999998</c:v>
                </c:pt>
                <c:pt idx="63">
                  <c:v>4.442672</c:v>
                </c:pt>
                <c:pt idx="64">
                  <c:v>4.3328480000000003</c:v>
                </c:pt>
                <c:pt idx="65">
                  <c:v>4.2164650000000004</c:v>
                </c:pt>
                <c:pt idx="66">
                  <c:v>4.1866770000000004</c:v>
                </c:pt>
                <c:pt idx="67">
                  <c:v>4.1409539999999998</c:v>
                </c:pt>
                <c:pt idx="68">
                  <c:v>4.0179669999999996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23-4E9D-ADE0-4F5A6DAF54D4}"/>
            </c:ext>
          </c:extLst>
        </c:ser>
        <c:ser>
          <c:idx val="3"/>
          <c:order val="3"/>
          <c:tx>
            <c:strRef>
              <c:f>'AAA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'AAA Summary'!$AJ$2</c:f>
              <c:numCache>
                <c:formatCode>General</c:formatCode>
                <c:ptCount val="1"/>
                <c:pt idx="0">
                  <c:v>95</c:v>
                </c:pt>
              </c:numCache>
            </c:numRef>
          </c:xVal>
          <c:yVal>
            <c:numRef>
              <c:f>'AAA Summary'!$AK$2</c:f>
              <c:numCache>
                <c:formatCode>General</c:formatCode>
                <c:ptCount val="1"/>
                <c:pt idx="0">
                  <c:v>2.2999999999999998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23-4E9D-ADE0-4F5A6DAF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3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</c:valAx>
      <c:valAx>
        <c:axId val="578493408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In hospital deaths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'AAA Summary'!$H$32</c:f>
          <c:strCache>
            <c:ptCount val="1"/>
            <c:pt idx="0">
              <c:v>% patients with date of assessment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'Elective Infra-Renal AAA Repair'!$H$7</c:f>
              <c:strCache>
                <c:ptCount val="1"/>
                <c:pt idx="0">
                  <c:v>%patients discussed at MDT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'Elective Infra-Renal AAA Repair'!$T$8:$T$78</c:f>
              <c:numCache>
                <c:formatCode>General</c:formatCode>
                <c:ptCount val="71"/>
                <c:pt idx="0">
                  <c:v>23</c:v>
                </c:pt>
                <c:pt idx="1">
                  <c:v>18</c:v>
                </c:pt>
                <c:pt idx="2">
                  <c:v>29</c:v>
                </c:pt>
                <c:pt idx="3">
                  <c:v>49</c:v>
                </c:pt>
                <c:pt idx="4">
                  <c:v>50</c:v>
                </c:pt>
                <c:pt idx="5">
                  <c:v>41</c:v>
                </c:pt>
                <c:pt idx="6">
                  <c:v>51</c:v>
                </c:pt>
                <c:pt idx="7">
                  <c:v>52</c:v>
                </c:pt>
                <c:pt idx="8">
                  <c:v>10</c:v>
                </c:pt>
                <c:pt idx="9">
                  <c:v>26</c:v>
                </c:pt>
                <c:pt idx="10">
                  <c:v>22</c:v>
                </c:pt>
                <c:pt idx="11">
                  <c:v>4</c:v>
                </c:pt>
                <c:pt idx="12">
                  <c:v>11</c:v>
                </c:pt>
                <c:pt idx="13">
                  <c:v>38</c:v>
                </c:pt>
                <c:pt idx="14">
                  <c:v>53</c:v>
                </c:pt>
                <c:pt idx="15">
                  <c:v>31</c:v>
                </c:pt>
                <c:pt idx="16">
                  <c:v>54</c:v>
                </c:pt>
                <c:pt idx="17">
                  <c:v>24</c:v>
                </c:pt>
                <c:pt idx="18">
                  <c:v>3</c:v>
                </c:pt>
                <c:pt idx="19">
                  <c:v>55</c:v>
                </c:pt>
                <c:pt idx="20">
                  <c:v>1</c:v>
                </c:pt>
                <c:pt idx="22">
                  <c:v>46</c:v>
                </c:pt>
                <c:pt idx="23">
                  <c:v>35</c:v>
                </c:pt>
                <c:pt idx="24">
                  <c:v>19</c:v>
                </c:pt>
                <c:pt idx="25">
                  <c:v>44</c:v>
                </c:pt>
                <c:pt idx="26">
                  <c:v>56</c:v>
                </c:pt>
                <c:pt idx="27">
                  <c:v>40</c:v>
                </c:pt>
                <c:pt idx="28">
                  <c:v>27</c:v>
                </c:pt>
                <c:pt idx="29">
                  <c:v>28</c:v>
                </c:pt>
                <c:pt idx="30">
                  <c:v>57</c:v>
                </c:pt>
                <c:pt idx="31">
                  <c:v>7</c:v>
                </c:pt>
                <c:pt idx="32">
                  <c:v>58</c:v>
                </c:pt>
                <c:pt idx="33">
                  <c:v>59</c:v>
                </c:pt>
                <c:pt idx="34">
                  <c:v>5</c:v>
                </c:pt>
                <c:pt idx="35">
                  <c:v>60</c:v>
                </c:pt>
                <c:pt idx="36">
                  <c:v>61</c:v>
                </c:pt>
                <c:pt idx="37">
                  <c:v>37</c:v>
                </c:pt>
                <c:pt idx="38">
                  <c:v>32</c:v>
                </c:pt>
                <c:pt idx="39">
                  <c:v>17</c:v>
                </c:pt>
                <c:pt idx="40">
                  <c:v>15</c:v>
                </c:pt>
                <c:pt idx="41">
                  <c:v>6</c:v>
                </c:pt>
                <c:pt idx="42">
                  <c:v>33</c:v>
                </c:pt>
                <c:pt idx="43">
                  <c:v>62</c:v>
                </c:pt>
                <c:pt idx="44">
                  <c:v>63</c:v>
                </c:pt>
                <c:pt idx="45">
                  <c:v>64</c:v>
                </c:pt>
                <c:pt idx="46">
                  <c:v>25</c:v>
                </c:pt>
                <c:pt idx="47">
                  <c:v>65</c:v>
                </c:pt>
                <c:pt idx="48">
                  <c:v>2</c:v>
                </c:pt>
                <c:pt idx="49">
                  <c:v>13</c:v>
                </c:pt>
                <c:pt idx="50">
                  <c:v>21</c:v>
                </c:pt>
                <c:pt idx="51">
                  <c:v>43</c:v>
                </c:pt>
                <c:pt idx="52">
                  <c:v>34</c:v>
                </c:pt>
                <c:pt idx="53">
                  <c:v>42</c:v>
                </c:pt>
                <c:pt idx="54">
                  <c:v>14</c:v>
                </c:pt>
                <c:pt idx="55">
                  <c:v>66</c:v>
                </c:pt>
                <c:pt idx="56">
                  <c:v>39</c:v>
                </c:pt>
                <c:pt idx="57">
                  <c:v>67</c:v>
                </c:pt>
                <c:pt idx="58">
                  <c:v>36</c:v>
                </c:pt>
                <c:pt idx="59">
                  <c:v>48</c:v>
                </c:pt>
                <c:pt idx="60">
                  <c:v>12</c:v>
                </c:pt>
                <c:pt idx="61">
                  <c:v>47</c:v>
                </c:pt>
                <c:pt idx="62">
                  <c:v>30</c:v>
                </c:pt>
                <c:pt idx="63">
                  <c:v>16</c:v>
                </c:pt>
                <c:pt idx="64">
                  <c:v>45</c:v>
                </c:pt>
                <c:pt idx="65">
                  <c:v>68</c:v>
                </c:pt>
                <c:pt idx="66">
                  <c:v>8</c:v>
                </c:pt>
                <c:pt idx="67">
                  <c:v>20</c:v>
                </c:pt>
                <c:pt idx="68">
                  <c:v>69</c:v>
                </c:pt>
                <c:pt idx="69">
                  <c:v>70</c:v>
                </c:pt>
                <c:pt idx="70">
                  <c:v>9</c:v>
                </c:pt>
              </c:numCache>
            </c:numRef>
          </c:cat>
          <c:val>
            <c:numRef>
              <c:f>'Elective Infra-Renal AAA Repair'!$U$8:$U$84</c:f>
              <c:numCache>
                <c:formatCode>0%</c:formatCode>
                <c:ptCount val="77"/>
                <c:pt idx="0">
                  <c:v>0.91666669999999995</c:v>
                </c:pt>
                <c:pt idx="1">
                  <c:v>0.86666670000000001</c:v>
                </c:pt>
                <c:pt idx="2">
                  <c:v>0.94117649999999997</c:v>
                </c:pt>
                <c:pt idx="3">
                  <c:v>1</c:v>
                </c:pt>
                <c:pt idx="4">
                  <c:v>1</c:v>
                </c:pt>
                <c:pt idx="5">
                  <c:v>0.97333340000000002</c:v>
                </c:pt>
                <c:pt idx="6">
                  <c:v>1</c:v>
                </c:pt>
                <c:pt idx="7">
                  <c:v>1</c:v>
                </c:pt>
                <c:pt idx="8">
                  <c:v>0.79661020000000005</c:v>
                </c:pt>
                <c:pt idx="9">
                  <c:v>0.93333330000000003</c:v>
                </c:pt>
                <c:pt idx="10">
                  <c:v>0.89795919999999996</c:v>
                </c:pt>
                <c:pt idx="11">
                  <c:v>0.65</c:v>
                </c:pt>
                <c:pt idx="12">
                  <c:v>0.8</c:v>
                </c:pt>
                <c:pt idx="13">
                  <c:v>0.96296300000000001</c:v>
                </c:pt>
                <c:pt idx="14">
                  <c:v>1</c:v>
                </c:pt>
                <c:pt idx="15">
                  <c:v>0.94545449999999998</c:v>
                </c:pt>
                <c:pt idx="16">
                  <c:v>1</c:v>
                </c:pt>
                <c:pt idx="17">
                  <c:v>0.92156859999999996</c:v>
                </c:pt>
                <c:pt idx="18">
                  <c:v>0.59677420000000003</c:v>
                </c:pt>
                <c:pt idx="19">
                  <c:v>1</c:v>
                </c:pt>
                <c:pt idx="20">
                  <c:v>0.48148150000000001</c:v>
                </c:pt>
                <c:pt idx="22">
                  <c:v>0.98214290000000004</c:v>
                </c:pt>
                <c:pt idx="23">
                  <c:v>0.95833330000000005</c:v>
                </c:pt>
                <c:pt idx="24">
                  <c:v>0.875</c:v>
                </c:pt>
                <c:pt idx="25">
                  <c:v>0.97826089999999999</c:v>
                </c:pt>
                <c:pt idx="26">
                  <c:v>1</c:v>
                </c:pt>
                <c:pt idx="27">
                  <c:v>0.9636363</c:v>
                </c:pt>
                <c:pt idx="28">
                  <c:v>0.93333330000000003</c:v>
                </c:pt>
                <c:pt idx="29">
                  <c:v>0.93333330000000003</c:v>
                </c:pt>
                <c:pt idx="30">
                  <c:v>1</c:v>
                </c:pt>
                <c:pt idx="31">
                  <c:v>0.70588240000000002</c:v>
                </c:pt>
                <c:pt idx="32">
                  <c:v>1</c:v>
                </c:pt>
                <c:pt idx="33">
                  <c:v>1</c:v>
                </c:pt>
                <c:pt idx="34">
                  <c:v>0.66666669999999995</c:v>
                </c:pt>
                <c:pt idx="35">
                  <c:v>1</c:v>
                </c:pt>
                <c:pt idx="36">
                  <c:v>1</c:v>
                </c:pt>
                <c:pt idx="37">
                  <c:v>0.96078430000000004</c:v>
                </c:pt>
                <c:pt idx="38">
                  <c:v>0.95</c:v>
                </c:pt>
                <c:pt idx="39">
                  <c:v>0.85714290000000004</c:v>
                </c:pt>
                <c:pt idx="40">
                  <c:v>0.83333330000000005</c:v>
                </c:pt>
                <c:pt idx="41">
                  <c:v>0.66666669999999995</c:v>
                </c:pt>
                <c:pt idx="42">
                  <c:v>0.95555559999999995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0.92307689999999998</c:v>
                </c:pt>
                <c:pt idx="47">
                  <c:v>1</c:v>
                </c:pt>
                <c:pt idx="48">
                  <c:v>0.56666669999999997</c:v>
                </c:pt>
                <c:pt idx="49">
                  <c:v>0.80555560000000004</c:v>
                </c:pt>
                <c:pt idx="50">
                  <c:v>0.88</c:v>
                </c:pt>
                <c:pt idx="51">
                  <c:v>0.97560979999999997</c:v>
                </c:pt>
                <c:pt idx="52">
                  <c:v>0.95652170000000003</c:v>
                </c:pt>
                <c:pt idx="53">
                  <c:v>0.97435899999999998</c:v>
                </c:pt>
                <c:pt idx="54">
                  <c:v>0.82926829999999996</c:v>
                </c:pt>
                <c:pt idx="55">
                  <c:v>1</c:v>
                </c:pt>
                <c:pt idx="56">
                  <c:v>0.96296300000000001</c:v>
                </c:pt>
                <c:pt idx="57">
                  <c:v>1</c:v>
                </c:pt>
                <c:pt idx="58">
                  <c:v>0.95833330000000005</c:v>
                </c:pt>
                <c:pt idx="59">
                  <c:v>0.98507460000000002</c:v>
                </c:pt>
                <c:pt idx="60">
                  <c:v>0.8026316</c:v>
                </c:pt>
                <c:pt idx="61">
                  <c:v>0.9836066</c:v>
                </c:pt>
                <c:pt idx="62">
                  <c:v>0.94444439999999996</c:v>
                </c:pt>
                <c:pt idx="63">
                  <c:v>0.85454549999999996</c:v>
                </c:pt>
                <c:pt idx="64">
                  <c:v>0.98</c:v>
                </c:pt>
                <c:pt idx="65">
                  <c:v>1</c:v>
                </c:pt>
                <c:pt idx="66">
                  <c:v>0.7179487</c:v>
                </c:pt>
                <c:pt idx="67">
                  <c:v>0.875</c:v>
                </c:pt>
                <c:pt idx="68">
                  <c:v>1</c:v>
                </c:pt>
                <c:pt idx="69">
                  <c:v>1</c:v>
                </c:pt>
                <c:pt idx="70">
                  <c:v>0.76923079999999999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594-B984-3CC6BE08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areaChart>
      <c:scatterChart>
        <c:scatterStyle val="lineMarker"/>
        <c:varyColors val="0"/>
        <c:ser>
          <c:idx val="1"/>
          <c:order val="1"/>
          <c:tx>
            <c:strRef>
              <c:f>'AAA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'AAA Summary'!$AD$4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'AAA Summary'!$AB$4</c:f>
              <c:numCache>
                <c:formatCode>General</c:formatCode>
                <c:ptCount val="1"/>
                <c:pt idx="0">
                  <c:v>0.91666669999999995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14-4594-B984-3CC6BE08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scatterChart>
      <c:dateAx>
        <c:axId val="636777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780232"/>
        <c:crosses val="autoZero"/>
        <c:auto val="0"/>
        <c:lblOffset val="100"/>
        <c:baseTimeUnit val="days"/>
      </c:dateAx>
      <c:valAx>
        <c:axId val="636780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non-elective patients with CLTI who had revascularisation within 5 days from admission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'LL Revasc Data'!$H$1</c:f>
              <c:strCache>
                <c:ptCount val="1"/>
                <c:pt idx="0">
                  <c:v>All revascularisations procedures treated within 5 days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'LL Revasc Data'!$Q$2:$Q$85</c:f>
                <c:numCache>
                  <c:formatCode>General</c:formatCode>
                  <c:ptCount val="84"/>
                  <c:pt idx="0">
                    <c:v>3.9999991655349731E-2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0.11000001430511475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1.9999980926513672E-2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2.9999971389770508E-2</c:v>
                  </c:pt>
                  <c:pt idx="22">
                    <c:v>0</c:v>
                  </c:pt>
                  <c:pt idx="23">
                    <c:v>1.9999980926513672E-2</c:v>
                  </c:pt>
                  <c:pt idx="24">
                    <c:v>1.9999980926513672E-2</c:v>
                  </c:pt>
                  <c:pt idx="25">
                    <c:v>0.10999998450279236</c:v>
                  </c:pt>
                  <c:pt idx="26">
                    <c:v>9.9999904632568359E-3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9.9999904632568359E-3</c:v>
                  </c:pt>
                  <c:pt idx="39">
                    <c:v>1.9999980926513672E-2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7.9999983310699463E-2</c:v>
                  </c:pt>
                  <c:pt idx="45">
                    <c:v>0</c:v>
                  </c:pt>
                  <c:pt idx="46">
                    <c:v>9.9999904632568359E-3</c:v>
                  </c:pt>
                  <c:pt idx="47">
                    <c:v>7.9999983310699463E-2</c:v>
                  </c:pt>
                  <c:pt idx="48">
                    <c:v>0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2.000001072883606E-2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0</c:v>
                  </c:pt>
                  <c:pt idx="73">
                    <c:v>0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6.9999992847442627E-2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</c:v>
                  </c:pt>
                </c:numCache>
              </c:numRef>
            </c:plus>
            <c:minus>
              <c:numRef>
                <c:f>'LL Revasc Data'!$R$2:$R$85</c:f>
                <c:numCache>
                  <c:formatCode>General</c:formatCode>
                  <c:ptCount val="84"/>
                  <c:pt idx="0">
                    <c:v>0</c:v>
                  </c:pt>
                  <c:pt idx="1">
                    <c:v>0</c:v>
                  </c:pt>
                  <c:pt idx="2">
                    <c:v>0.13000001013278961</c:v>
                  </c:pt>
                  <c:pt idx="3">
                    <c:v>0.12999999523162842</c:v>
                  </c:pt>
                  <c:pt idx="4">
                    <c:v>0</c:v>
                  </c:pt>
                  <c:pt idx="5">
                    <c:v>5.0000011920928955E-2</c:v>
                  </c:pt>
                  <c:pt idx="6">
                    <c:v>7.0000000298023224E-2</c:v>
                  </c:pt>
                  <c:pt idx="7">
                    <c:v>0</c:v>
                  </c:pt>
                  <c:pt idx="8">
                    <c:v>0.15000003576278687</c:v>
                  </c:pt>
                  <c:pt idx="9">
                    <c:v>0</c:v>
                  </c:pt>
                  <c:pt idx="10">
                    <c:v>0</c:v>
                  </c:pt>
                  <c:pt idx="11">
                    <c:v>7.9999983310699463E-2</c:v>
                  </c:pt>
                  <c:pt idx="12">
                    <c:v>7.9999983310699463E-2</c:v>
                  </c:pt>
                  <c:pt idx="13">
                    <c:v>3.0000001192092896E-2</c:v>
                  </c:pt>
                  <c:pt idx="14">
                    <c:v>0</c:v>
                  </c:pt>
                  <c:pt idx="15">
                    <c:v>0.17000001668930054</c:v>
                  </c:pt>
                  <c:pt idx="16">
                    <c:v>7.9999983310699463E-2</c:v>
                  </c:pt>
                  <c:pt idx="17">
                    <c:v>0.10999998450279236</c:v>
                  </c:pt>
                  <c:pt idx="18">
                    <c:v>0.10000002384185791</c:v>
                  </c:pt>
                  <c:pt idx="19">
                    <c:v>0</c:v>
                  </c:pt>
                  <c:pt idx="20">
                    <c:v>0.12999999523162842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9.9999904632568359E-3</c:v>
                  </c:pt>
                  <c:pt idx="28">
                    <c:v>0.15999999642372131</c:v>
                  </c:pt>
                  <c:pt idx="29">
                    <c:v>0.10000002384185791</c:v>
                  </c:pt>
                  <c:pt idx="30">
                    <c:v>0.18000000715255737</c:v>
                  </c:pt>
                  <c:pt idx="31">
                    <c:v>0</c:v>
                  </c:pt>
                  <c:pt idx="32">
                    <c:v>0.29000002145767212</c:v>
                  </c:pt>
                  <c:pt idx="33">
                    <c:v>0</c:v>
                  </c:pt>
                  <c:pt idx="34">
                    <c:v>0</c:v>
                  </c:pt>
                  <c:pt idx="35">
                    <c:v>6.0000002384185791E-2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0.12999999523162842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6.0000002384185791E-2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0.19999998807907104</c:v>
                  </c:pt>
                  <c:pt idx="50">
                    <c:v>0.11000001430511475</c:v>
                  </c:pt>
                  <c:pt idx="51">
                    <c:v>0</c:v>
                  </c:pt>
                  <c:pt idx="52">
                    <c:v>0</c:v>
                  </c:pt>
                  <c:pt idx="53">
                    <c:v>0.12000000476837158</c:v>
                  </c:pt>
                  <c:pt idx="54">
                    <c:v>0.31000000238418579</c:v>
                  </c:pt>
                  <c:pt idx="55">
                    <c:v>0.31999999284744263</c:v>
                  </c:pt>
                  <c:pt idx="56">
                    <c:v>0</c:v>
                  </c:pt>
                  <c:pt idx="57">
                    <c:v>0.10999998450279236</c:v>
                  </c:pt>
                  <c:pt idx="58">
                    <c:v>6.0000002384185791E-2</c:v>
                  </c:pt>
                  <c:pt idx="59">
                    <c:v>6.0000002384185791E-2</c:v>
                  </c:pt>
                  <c:pt idx="60">
                    <c:v>0</c:v>
                  </c:pt>
                  <c:pt idx="61">
                    <c:v>0.42000001668930054</c:v>
                  </c:pt>
                  <c:pt idx="62">
                    <c:v>0</c:v>
                  </c:pt>
                  <c:pt idx="63">
                    <c:v>0.12000000476837158</c:v>
                  </c:pt>
                  <c:pt idx="64">
                    <c:v>0</c:v>
                  </c:pt>
                  <c:pt idx="65">
                    <c:v>0</c:v>
                  </c:pt>
                  <c:pt idx="66">
                    <c:v>0.15999999642372131</c:v>
                  </c:pt>
                  <c:pt idx="67">
                    <c:v>0.12999999523162842</c:v>
                  </c:pt>
                  <c:pt idx="68">
                    <c:v>0</c:v>
                  </c:pt>
                  <c:pt idx="69">
                    <c:v>3.0000001192092896E-2</c:v>
                  </c:pt>
                  <c:pt idx="70">
                    <c:v>0</c:v>
                  </c:pt>
                  <c:pt idx="71">
                    <c:v>0.22999995946884155</c:v>
                  </c:pt>
                  <c:pt idx="72">
                    <c:v>0.12000000476837158</c:v>
                  </c:pt>
                  <c:pt idx="73">
                    <c:v>0.10999998450279236</c:v>
                  </c:pt>
                  <c:pt idx="74">
                    <c:v>0.17000001668930054</c:v>
                  </c:pt>
                  <c:pt idx="75">
                    <c:v>3.9999991655349731E-2</c:v>
                  </c:pt>
                  <c:pt idx="76">
                    <c:v>0</c:v>
                  </c:pt>
                  <c:pt idx="77">
                    <c:v>0</c:v>
                  </c:pt>
                  <c:pt idx="78">
                    <c:v>0.18000000715255737</c:v>
                  </c:pt>
                  <c:pt idx="79">
                    <c:v>6.9999992847442627E-2</c:v>
                  </c:pt>
                  <c:pt idx="80">
                    <c:v>6.0000002384185791E-2</c:v>
                  </c:pt>
                  <c:pt idx="81">
                    <c:v>0.10999998450279236</c:v>
                  </c:pt>
                  <c:pt idx="82">
                    <c:v>0</c:v>
                  </c:pt>
                  <c:pt idx="83">
                    <c:v>2.9999971389770508E-2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'LL Revasc Data'!$P$2:$P$85</c:f>
              <c:numCache>
                <c:formatCode>0%</c:formatCode>
                <c:ptCount val="84"/>
                <c:pt idx="0" formatCode="General">
                  <c:v>46</c:v>
                </c:pt>
                <c:pt idx="1">
                  <c:v>0</c:v>
                </c:pt>
                <c:pt idx="2" formatCode="General">
                  <c:v>53</c:v>
                </c:pt>
                <c:pt idx="3" formatCode="General">
                  <c:v>55</c:v>
                </c:pt>
                <c:pt idx="4" formatCode="General">
                  <c:v>30</c:v>
                </c:pt>
                <c:pt idx="5" formatCode="General">
                  <c:v>36</c:v>
                </c:pt>
                <c:pt idx="6" formatCode="General">
                  <c:v>59</c:v>
                </c:pt>
                <c:pt idx="7">
                  <c:v>0</c:v>
                </c:pt>
                <c:pt idx="8" formatCode="General">
                  <c:v>27</c:v>
                </c:pt>
                <c:pt idx="9">
                  <c:v>0</c:v>
                </c:pt>
                <c:pt idx="10" formatCode="General">
                  <c:v>42</c:v>
                </c:pt>
                <c:pt idx="11" formatCode="General">
                  <c:v>40</c:v>
                </c:pt>
                <c:pt idx="12" formatCode="General">
                  <c:v>34</c:v>
                </c:pt>
                <c:pt idx="13" formatCode="General">
                  <c:v>58</c:v>
                </c:pt>
                <c:pt idx="14">
                  <c:v>0</c:v>
                </c:pt>
                <c:pt idx="15" formatCode="General">
                  <c:v>10</c:v>
                </c:pt>
                <c:pt idx="16" formatCode="General">
                  <c:v>7</c:v>
                </c:pt>
                <c:pt idx="17" formatCode="General">
                  <c:v>45</c:v>
                </c:pt>
                <c:pt idx="18" formatCode="General">
                  <c:v>24</c:v>
                </c:pt>
                <c:pt idx="19">
                  <c:v>0</c:v>
                </c:pt>
                <c:pt idx="20" formatCode="General">
                  <c:v>3</c:v>
                </c:pt>
                <c:pt idx="21" formatCode="General">
                  <c:v>44</c:v>
                </c:pt>
                <c:pt idx="22">
                  <c:v>0</c:v>
                </c:pt>
                <c:pt idx="23" formatCode="General">
                  <c:v>19</c:v>
                </c:pt>
                <c:pt idx="24" formatCode="General">
                  <c:v>28</c:v>
                </c:pt>
                <c:pt idx="25" formatCode="General">
                  <c:v>50</c:v>
                </c:pt>
                <c:pt idx="26" formatCode="General">
                  <c:v>38</c:v>
                </c:pt>
                <c:pt idx="27" formatCode="General">
                  <c:v>57</c:v>
                </c:pt>
                <c:pt idx="28" formatCode="General">
                  <c:v>48</c:v>
                </c:pt>
                <c:pt idx="29" formatCode="General">
                  <c:v>29</c:v>
                </c:pt>
                <c:pt idx="30" formatCode="General">
                  <c:v>22</c:v>
                </c:pt>
                <c:pt idx="31">
                  <c:v>0</c:v>
                </c:pt>
                <c:pt idx="32" formatCode="General">
                  <c:v>17</c:v>
                </c:pt>
                <c:pt idx="33">
                  <c:v>0</c:v>
                </c:pt>
                <c:pt idx="34">
                  <c:v>0</c:v>
                </c:pt>
                <c:pt idx="35" formatCode="General">
                  <c:v>37</c:v>
                </c:pt>
                <c:pt idx="36">
                  <c:v>0</c:v>
                </c:pt>
                <c:pt idx="37">
                  <c:v>0</c:v>
                </c:pt>
                <c:pt idx="38" formatCode="General">
                  <c:v>13</c:v>
                </c:pt>
                <c:pt idx="39" formatCode="General">
                  <c:v>12</c:v>
                </c:pt>
                <c:pt idx="40" formatCode="General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General">
                  <c:v>14</c:v>
                </c:pt>
                <c:pt idx="45" formatCode="General">
                  <c:v>15</c:v>
                </c:pt>
                <c:pt idx="46" formatCode="General">
                  <c:v>33</c:v>
                </c:pt>
                <c:pt idx="47" formatCode="General">
                  <c:v>20</c:v>
                </c:pt>
                <c:pt idx="48">
                  <c:v>0</c:v>
                </c:pt>
                <c:pt idx="49" formatCode="General">
                  <c:v>1</c:v>
                </c:pt>
                <c:pt idx="50" formatCode="General">
                  <c:v>26</c:v>
                </c:pt>
                <c:pt idx="51">
                  <c:v>0</c:v>
                </c:pt>
                <c:pt idx="52">
                  <c:v>0</c:v>
                </c:pt>
                <c:pt idx="53" formatCode="General">
                  <c:v>8</c:v>
                </c:pt>
                <c:pt idx="54" formatCode="General">
                  <c:v>5</c:v>
                </c:pt>
                <c:pt idx="55" formatCode="General">
                  <c:v>11</c:v>
                </c:pt>
                <c:pt idx="56">
                  <c:v>0</c:v>
                </c:pt>
                <c:pt idx="57" formatCode="General">
                  <c:v>31</c:v>
                </c:pt>
                <c:pt idx="58" formatCode="General">
                  <c:v>18</c:v>
                </c:pt>
                <c:pt idx="59" formatCode="General">
                  <c:v>21</c:v>
                </c:pt>
                <c:pt idx="60" formatCode="General">
                  <c:v>51</c:v>
                </c:pt>
                <c:pt idx="61" formatCode="General">
                  <c:v>16</c:v>
                </c:pt>
                <c:pt idx="62">
                  <c:v>0</c:v>
                </c:pt>
                <c:pt idx="63" formatCode="General">
                  <c:v>23</c:v>
                </c:pt>
                <c:pt idx="64">
                  <c:v>0</c:v>
                </c:pt>
                <c:pt idx="65">
                  <c:v>0</c:v>
                </c:pt>
                <c:pt idx="66" formatCode="General">
                  <c:v>47</c:v>
                </c:pt>
                <c:pt idx="67" formatCode="General">
                  <c:v>2</c:v>
                </c:pt>
                <c:pt idx="68">
                  <c:v>0</c:v>
                </c:pt>
                <c:pt idx="69" formatCode="General">
                  <c:v>54</c:v>
                </c:pt>
                <c:pt idx="70">
                  <c:v>0</c:v>
                </c:pt>
                <c:pt idx="71" formatCode="General">
                  <c:v>32</c:v>
                </c:pt>
                <c:pt idx="72" formatCode="General">
                  <c:v>35</c:v>
                </c:pt>
                <c:pt idx="73" formatCode="General">
                  <c:v>41</c:v>
                </c:pt>
                <c:pt idx="74" formatCode="General">
                  <c:v>25</c:v>
                </c:pt>
                <c:pt idx="75" formatCode="General">
                  <c:v>52</c:v>
                </c:pt>
                <c:pt idx="76">
                  <c:v>0</c:v>
                </c:pt>
                <c:pt idx="77" formatCode="General">
                  <c:v>49</c:v>
                </c:pt>
                <c:pt idx="78" formatCode="General">
                  <c:v>9</c:v>
                </c:pt>
                <c:pt idx="79" formatCode="General">
                  <c:v>43</c:v>
                </c:pt>
                <c:pt idx="80" formatCode="General">
                  <c:v>56</c:v>
                </c:pt>
                <c:pt idx="81" formatCode="General">
                  <c:v>39</c:v>
                </c:pt>
                <c:pt idx="82">
                  <c:v>0</c:v>
                </c:pt>
                <c:pt idx="83" formatCode="General">
                  <c:v>6</c:v>
                </c:pt>
              </c:numCache>
            </c:numRef>
          </c:xVal>
          <c:yVal>
            <c:numRef>
              <c:f>'LL Revasc Data'!$H$2:$H$85</c:f>
              <c:numCache>
                <c:formatCode>0%</c:formatCode>
                <c:ptCount val="84"/>
                <c:pt idx="0">
                  <c:v>0.46000000834465027</c:v>
                </c:pt>
                <c:pt idx="1">
                  <c:v>0</c:v>
                </c:pt>
                <c:pt idx="2">
                  <c:v>0.36000001430511475</c:v>
                </c:pt>
                <c:pt idx="3">
                  <c:v>0.34999999403953552</c:v>
                </c:pt>
                <c:pt idx="4">
                  <c:v>0.5899999737739563</c:v>
                </c:pt>
                <c:pt idx="5">
                  <c:v>0.56000000238418579</c:v>
                </c:pt>
                <c:pt idx="6">
                  <c:v>0.17000000178813934</c:v>
                </c:pt>
                <c:pt idx="7">
                  <c:v>0</c:v>
                </c:pt>
                <c:pt idx="8">
                  <c:v>0.60000002384185791</c:v>
                </c:pt>
                <c:pt idx="9">
                  <c:v>0</c:v>
                </c:pt>
                <c:pt idx="10">
                  <c:v>0.5</c:v>
                </c:pt>
                <c:pt idx="11">
                  <c:v>0.51999998092651367</c:v>
                </c:pt>
                <c:pt idx="12">
                  <c:v>0.56999999284744263</c:v>
                </c:pt>
                <c:pt idx="13">
                  <c:v>0.30000001192092896</c:v>
                </c:pt>
                <c:pt idx="14">
                  <c:v>0</c:v>
                </c:pt>
                <c:pt idx="15">
                  <c:v>0.72000002861022949</c:v>
                </c:pt>
                <c:pt idx="16">
                  <c:v>0.74000000953674316</c:v>
                </c:pt>
                <c:pt idx="17">
                  <c:v>0.4699999988079071</c:v>
                </c:pt>
                <c:pt idx="18">
                  <c:v>0.62000000476837158</c:v>
                </c:pt>
                <c:pt idx="19">
                  <c:v>0</c:v>
                </c:pt>
                <c:pt idx="20">
                  <c:v>0.75999999046325684</c:v>
                </c:pt>
                <c:pt idx="21">
                  <c:v>0.49000000953674316</c:v>
                </c:pt>
                <c:pt idx="22">
                  <c:v>0</c:v>
                </c:pt>
                <c:pt idx="23">
                  <c:v>0.6600000262260437</c:v>
                </c:pt>
                <c:pt idx="24">
                  <c:v>0.60000002384185791</c:v>
                </c:pt>
                <c:pt idx="25">
                  <c:v>0.41999998688697815</c:v>
                </c:pt>
                <c:pt idx="26">
                  <c:v>0.54000002145767212</c:v>
                </c:pt>
                <c:pt idx="27">
                  <c:v>0.31999999284744263</c:v>
                </c:pt>
                <c:pt idx="28">
                  <c:v>0.43999999761581421</c:v>
                </c:pt>
                <c:pt idx="29">
                  <c:v>0.60000002384185791</c:v>
                </c:pt>
                <c:pt idx="30">
                  <c:v>0.62999999523162842</c:v>
                </c:pt>
                <c:pt idx="31">
                  <c:v>0</c:v>
                </c:pt>
                <c:pt idx="32">
                  <c:v>0.67000001668930054</c:v>
                </c:pt>
                <c:pt idx="33">
                  <c:v>0</c:v>
                </c:pt>
                <c:pt idx="34">
                  <c:v>0</c:v>
                </c:pt>
                <c:pt idx="35">
                  <c:v>0.56000000238418579</c:v>
                </c:pt>
                <c:pt idx="36">
                  <c:v>0</c:v>
                </c:pt>
                <c:pt idx="37">
                  <c:v>0</c:v>
                </c:pt>
                <c:pt idx="38">
                  <c:v>0.68000000715255737</c:v>
                </c:pt>
                <c:pt idx="39">
                  <c:v>0.68999999761581421</c:v>
                </c:pt>
                <c:pt idx="40">
                  <c:v>0.75999999046325684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0.68000000715255737</c:v>
                </c:pt>
                <c:pt idx="45">
                  <c:v>0.68000000715255737</c:v>
                </c:pt>
                <c:pt idx="46">
                  <c:v>0.57999998331069946</c:v>
                </c:pt>
                <c:pt idx="47">
                  <c:v>0.6600000262260437</c:v>
                </c:pt>
                <c:pt idx="48">
                  <c:v>0</c:v>
                </c:pt>
                <c:pt idx="49">
                  <c:v>0.81000000238418579</c:v>
                </c:pt>
                <c:pt idx="50">
                  <c:v>0.61000001430511475</c:v>
                </c:pt>
                <c:pt idx="51">
                  <c:v>0</c:v>
                </c:pt>
                <c:pt idx="52">
                  <c:v>0</c:v>
                </c:pt>
                <c:pt idx="53">
                  <c:v>0.73000001907348633</c:v>
                </c:pt>
                <c:pt idx="54">
                  <c:v>0.75999999046325684</c:v>
                </c:pt>
                <c:pt idx="55">
                  <c:v>0.69999998807907104</c:v>
                </c:pt>
                <c:pt idx="56">
                  <c:v>0</c:v>
                </c:pt>
                <c:pt idx="57">
                  <c:v>0.5899999737739563</c:v>
                </c:pt>
                <c:pt idx="58">
                  <c:v>0.67000001668930054</c:v>
                </c:pt>
                <c:pt idx="59">
                  <c:v>0.6600000262260437</c:v>
                </c:pt>
                <c:pt idx="60">
                  <c:v>0.41999998688697815</c:v>
                </c:pt>
                <c:pt idx="61">
                  <c:v>0.68000000715255737</c:v>
                </c:pt>
                <c:pt idx="62">
                  <c:v>0</c:v>
                </c:pt>
                <c:pt idx="63">
                  <c:v>0.62999999523162842</c:v>
                </c:pt>
                <c:pt idx="64">
                  <c:v>0</c:v>
                </c:pt>
                <c:pt idx="65">
                  <c:v>0</c:v>
                </c:pt>
                <c:pt idx="66">
                  <c:v>0.46000000834465027</c:v>
                </c:pt>
                <c:pt idx="67">
                  <c:v>0.81000000238418579</c:v>
                </c:pt>
                <c:pt idx="68">
                  <c:v>0</c:v>
                </c:pt>
                <c:pt idx="69">
                  <c:v>0.36000001430511475</c:v>
                </c:pt>
                <c:pt idx="70">
                  <c:v>0</c:v>
                </c:pt>
                <c:pt idx="71">
                  <c:v>0.5899999737739563</c:v>
                </c:pt>
                <c:pt idx="72">
                  <c:v>0.56999999284744263</c:v>
                </c:pt>
                <c:pt idx="73">
                  <c:v>0.50999999046325684</c:v>
                </c:pt>
                <c:pt idx="74">
                  <c:v>0.62000000476837158</c:v>
                </c:pt>
                <c:pt idx="75">
                  <c:v>0.38999998569488525</c:v>
                </c:pt>
                <c:pt idx="76">
                  <c:v>0</c:v>
                </c:pt>
                <c:pt idx="77">
                  <c:v>0.43000000715255737</c:v>
                </c:pt>
                <c:pt idx="78">
                  <c:v>0.73000001907348633</c:v>
                </c:pt>
                <c:pt idx="79">
                  <c:v>0.5</c:v>
                </c:pt>
                <c:pt idx="80">
                  <c:v>0.33000001311302185</c:v>
                </c:pt>
                <c:pt idx="81">
                  <c:v>0.52999997138977051</c:v>
                </c:pt>
                <c:pt idx="82">
                  <c:v>0</c:v>
                </c:pt>
                <c:pt idx="83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B4-4C25-A639-88193DB0F72E}"/>
            </c:ext>
          </c:extLst>
        </c:ser>
        <c:ser>
          <c:idx val="1"/>
          <c:order val="1"/>
          <c:tx>
            <c:strRef>
              <c:f>'LL Revascularisation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'LL Revascularisation Summary'!$AC$2</c:f>
                <c:numCache>
                  <c:formatCode>General</c:formatCode>
                  <c:ptCount val="1"/>
                  <c:pt idx="0">
                    <c:v>3.9999991655349731E-2</c:v>
                  </c:pt>
                </c:numCache>
              </c:numRef>
            </c:plus>
            <c:minus>
              <c:numRef>
                <c:f>'LL Revascularisation Summary'!$AB$2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00B050"/>
                </a:solidFill>
                <a:round/>
              </a:ln>
              <a:effectLst/>
            </c:spPr>
          </c:errBars>
          <c:xVal>
            <c:numRef>
              <c:f>'LL Revascularisation Summary'!$AD$2</c:f>
              <c:numCache>
                <c:formatCode>General</c:formatCode>
                <c:ptCount val="1"/>
                <c:pt idx="0">
                  <c:v>46</c:v>
                </c:pt>
              </c:numCache>
            </c:numRef>
          </c:xVal>
          <c:yVal>
            <c:numRef>
              <c:f>'LL Revascularisation Summary'!$AA$2</c:f>
              <c:numCache>
                <c:formatCode>General</c:formatCode>
                <c:ptCount val="1"/>
                <c:pt idx="0">
                  <c:v>0.46000000834465027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B4-4C25-A639-88193DB0F72E}"/>
            </c:ext>
          </c:extLst>
        </c:ser>
        <c:ser>
          <c:idx val="2"/>
          <c:order val="2"/>
          <c:tx>
            <c:strRef>
              <c:f>'LL Revasc Data'!$E$1</c:f>
              <c:strCache>
                <c:ptCount val="1"/>
                <c:pt idx="0">
                  <c:v>All revascularisations procedures treated within 5 days 2019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'LL Revasc Data'!$P$2:$P$85</c:f>
              <c:numCache>
                <c:formatCode>0%</c:formatCode>
                <c:ptCount val="84"/>
                <c:pt idx="0" formatCode="General">
                  <c:v>46</c:v>
                </c:pt>
                <c:pt idx="1">
                  <c:v>0</c:v>
                </c:pt>
                <c:pt idx="2" formatCode="General">
                  <c:v>53</c:v>
                </c:pt>
                <c:pt idx="3" formatCode="General">
                  <c:v>55</c:v>
                </c:pt>
                <c:pt idx="4" formatCode="General">
                  <c:v>30</c:v>
                </c:pt>
                <c:pt idx="5" formatCode="General">
                  <c:v>36</c:v>
                </c:pt>
                <c:pt idx="6" formatCode="General">
                  <c:v>59</c:v>
                </c:pt>
                <c:pt idx="7">
                  <c:v>0</c:v>
                </c:pt>
                <c:pt idx="8" formatCode="General">
                  <c:v>27</c:v>
                </c:pt>
                <c:pt idx="9">
                  <c:v>0</c:v>
                </c:pt>
                <c:pt idx="10" formatCode="General">
                  <c:v>42</c:v>
                </c:pt>
                <c:pt idx="11" formatCode="General">
                  <c:v>40</c:v>
                </c:pt>
                <c:pt idx="12" formatCode="General">
                  <c:v>34</c:v>
                </c:pt>
                <c:pt idx="13" formatCode="General">
                  <c:v>58</c:v>
                </c:pt>
                <c:pt idx="14">
                  <c:v>0</c:v>
                </c:pt>
                <c:pt idx="15" formatCode="General">
                  <c:v>10</c:v>
                </c:pt>
                <c:pt idx="16" formatCode="General">
                  <c:v>7</c:v>
                </c:pt>
                <c:pt idx="17" formatCode="General">
                  <c:v>45</c:v>
                </c:pt>
                <c:pt idx="18" formatCode="General">
                  <c:v>24</c:v>
                </c:pt>
                <c:pt idx="19">
                  <c:v>0</c:v>
                </c:pt>
                <c:pt idx="20" formatCode="General">
                  <c:v>3</c:v>
                </c:pt>
                <c:pt idx="21" formatCode="General">
                  <c:v>44</c:v>
                </c:pt>
                <c:pt idx="22">
                  <c:v>0</c:v>
                </c:pt>
                <c:pt idx="23" formatCode="General">
                  <c:v>19</c:v>
                </c:pt>
                <c:pt idx="24" formatCode="General">
                  <c:v>28</c:v>
                </c:pt>
                <c:pt idx="25" formatCode="General">
                  <c:v>50</c:v>
                </c:pt>
                <c:pt idx="26" formatCode="General">
                  <c:v>38</c:v>
                </c:pt>
                <c:pt idx="27" formatCode="General">
                  <c:v>57</c:v>
                </c:pt>
                <c:pt idx="28" formatCode="General">
                  <c:v>48</c:v>
                </c:pt>
                <c:pt idx="29" formatCode="General">
                  <c:v>29</c:v>
                </c:pt>
                <c:pt idx="30" formatCode="General">
                  <c:v>22</c:v>
                </c:pt>
                <c:pt idx="31">
                  <c:v>0</c:v>
                </c:pt>
                <c:pt idx="32" formatCode="General">
                  <c:v>17</c:v>
                </c:pt>
                <c:pt idx="33">
                  <c:v>0</c:v>
                </c:pt>
                <c:pt idx="34">
                  <c:v>0</c:v>
                </c:pt>
                <c:pt idx="35" formatCode="General">
                  <c:v>37</c:v>
                </c:pt>
                <c:pt idx="36">
                  <c:v>0</c:v>
                </c:pt>
                <c:pt idx="37">
                  <c:v>0</c:v>
                </c:pt>
                <c:pt idx="38" formatCode="General">
                  <c:v>13</c:v>
                </c:pt>
                <c:pt idx="39" formatCode="General">
                  <c:v>12</c:v>
                </c:pt>
                <c:pt idx="40" formatCode="General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General">
                  <c:v>14</c:v>
                </c:pt>
                <c:pt idx="45" formatCode="General">
                  <c:v>15</c:v>
                </c:pt>
                <c:pt idx="46" formatCode="General">
                  <c:v>33</c:v>
                </c:pt>
                <c:pt idx="47" formatCode="General">
                  <c:v>20</c:v>
                </c:pt>
                <c:pt idx="48">
                  <c:v>0</c:v>
                </c:pt>
                <c:pt idx="49" formatCode="General">
                  <c:v>1</c:v>
                </c:pt>
                <c:pt idx="50" formatCode="General">
                  <c:v>26</c:v>
                </c:pt>
                <c:pt idx="51">
                  <c:v>0</c:v>
                </c:pt>
                <c:pt idx="52">
                  <c:v>0</c:v>
                </c:pt>
                <c:pt idx="53" formatCode="General">
                  <c:v>8</c:v>
                </c:pt>
                <c:pt idx="54" formatCode="General">
                  <c:v>5</c:v>
                </c:pt>
                <c:pt idx="55" formatCode="General">
                  <c:v>11</c:v>
                </c:pt>
                <c:pt idx="56">
                  <c:v>0</c:v>
                </c:pt>
                <c:pt idx="57" formatCode="General">
                  <c:v>31</c:v>
                </c:pt>
                <c:pt idx="58" formatCode="General">
                  <c:v>18</c:v>
                </c:pt>
                <c:pt idx="59" formatCode="General">
                  <c:v>21</c:v>
                </c:pt>
                <c:pt idx="60" formatCode="General">
                  <c:v>51</c:v>
                </c:pt>
                <c:pt idx="61" formatCode="General">
                  <c:v>16</c:v>
                </c:pt>
                <c:pt idx="62">
                  <c:v>0</c:v>
                </c:pt>
                <c:pt idx="63" formatCode="General">
                  <c:v>23</c:v>
                </c:pt>
                <c:pt idx="64">
                  <c:v>0</c:v>
                </c:pt>
                <c:pt idx="65">
                  <c:v>0</c:v>
                </c:pt>
                <c:pt idx="66" formatCode="General">
                  <c:v>47</c:v>
                </c:pt>
                <c:pt idx="67" formatCode="General">
                  <c:v>2</c:v>
                </c:pt>
                <c:pt idx="68">
                  <c:v>0</c:v>
                </c:pt>
                <c:pt idx="69" formatCode="General">
                  <c:v>54</c:v>
                </c:pt>
                <c:pt idx="70">
                  <c:v>0</c:v>
                </c:pt>
                <c:pt idx="71" formatCode="General">
                  <c:v>32</c:v>
                </c:pt>
                <c:pt idx="72" formatCode="General">
                  <c:v>35</c:v>
                </c:pt>
                <c:pt idx="73" formatCode="General">
                  <c:v>41</c:v>
                </c:pt>
                <c:pt idx="74" formatCode="General">
                  <c:v>25</c:v>
                </c:pt>
                <c:pt idx="75" formatCode="General">
                  <c:v>52</c:v>
                </c:pt>
                <c:pt idx="76">
                  <c:v>0</c:v>
                </c:pt>
                <c:pt idx="77" formatCode="General">
                  <c:v>49</c:v>
                </c:pt>
                <c:pt idx="78" formatCode="General">
                  <c:v>9</c:v>
                </c:pt>
                <c:pt idx="79" formatCode="General">
                  <c:v>43</c:v>
                </c:pt>
                <c:pt idx="80" formatCode="General">
                  <c:v>56</c:v>
                </c:pt>
                <c:pt idx="81" formatCode="General">
                  <c:v>39</c:v>
                </c:pt>
                <c:pt idx="82">
                  <c:v>0</c:v>
                </c:pt>
                <c:pt idx="83" formatCode="General">
                  <c:v>6</c:v>
                </c:pt>
              </c:numCache>
            </c:numRef>
          </c:xVal>
          <c:yVal>
            <c:numRef>
              <c:f>'LL Revasc Data'!$E$2:$E$85</c:f>
              <c:numCache>
                <c:formatCode>0%</c:formatCode>
                <c:ptCount val="84"/>
                <c:pt idx="0">
                  <c:v>0.5</c:v>
                </c:pt>
                <c:pt idx="1">
                  <c:v>0</c:v>
                </c:pt>
                <c:pt idx="2">
                  <c:v>0.23000000417232513</c:v>
                </c:pt>
                <c:pt idx="3">
                  <c:v>0.2199999988079071</c:v>
                </c:pt>
                <c:pt idx="4">
                  <c:v>0.69999998807907104</c:v>
                </c:pt>
                <c:pt idx="5">
                  <c:v>0.50999999046325684</c:v>
                </c:pt>
                <c:pt idx="6">
                  <c:v>0.10000000149011612</c:v>
                </c:pt>
                <c:pt idx="7">
                  <c:v>0</c:v>
                </c:pt>
                <c:pt idx="8">
                  <c:v>0.44999998807907104</c:v>
                </c:pt>
                <c:pt idx="9">
                  <c:v>0</c:v>
                </c:pt>
                <c:pt idx="10">
                  <c:v>0.51999998092651367</c:v>
                </c:pt>
                <c:pt idx="11">
                  <c:v>0.43999999761581421</c:v>
                </c:pt>
                <c:pt idx="12">
                  <c:v>0.49000000953674316</c:v>
                </c:pt>
                <c:pt idx="13">
                  <c:v>0.27000001072883606</c:v>
                </c:pt>
                <c:pt idx="14">
                  <c:v>0</c:v>
                </c:pt>
                <c:pt idx="15">
                  <c:v>0.55000001192092896</c:v>
                </c:pt>
                <c:pt idx="16">
                  <c:v>0.6600000262260437</c:v>
                </c:pt>
                <c:pt idx="17">
                  <c:v>0.36000001430511475</c:v>
                </c:pt>
                <c:pt idx="18">
                  <c:v>0.51999998092651367</c:v>
                </c:pt>
                <c:pt idx="19">
                  <c:v>0</c:v>
                </c:pt>
                <c:pt idx="20">
                  <c:v>0.62999999523162842</c:v>
                </c:pt>
                <c:pt idx="21">
                  <c:v>0.51999998092651367</c:v>
                </c:pt>
                <c:pt idx="22">
                  <c:v>0</c:v>
                </c:pt>
                <c:pt idx="23">
                  <c:v>0.68000000715255737</c:v>
                </c:pt>
                <c:pt idx="24">
                  <c:v>0.62000000476837158</c:v>
                </c:pt>
                <c:pt idx="25">
                  <c:v>0.52999997138977051</c:v>
                </c:pt>
                <c:pt idx="26">
                  <c:v>0.55000001192092896</c:v>
                </c:pt>
                <c:pt idx="27">
                  <c:v>0.31000000238418579</c:v>
                </c:pt>
                <c:pt idx="28">
                  <c:v>0.2800000011920929</c:v>
                </c:pt>
                <c:pt idx="29">
                  <c:v>0.5</c:v>
                </c:pt>
                <c:pt idx="30">
                  <c:v>0.44999998807907104</c:v>
                </c:pt>
                <c:pt idx="31">
                  <c:v>0</c:v>
                </c:pt>
                <c:pt idx="32">
                  <c:v>0.37999999523162842</c:v>
                </c:pt>
                <c:pt idx="33">
                  <c:v>0</c:v>
                </c:pt>
                <c:pt idx="34">
                  <c:v>0</c:v>
                </c:pt>
                <c:pt idx="35">
                  <c:v>0.5</c:v>
                </c:pt>
                <c:pt idx="36">
                  <c:v>0</c:v>
                </c:pt>
                <c:pt idx="37">
                  <c:v>0</c:v>
                </c:pt>
                <c:pt idx="38">
                  <c:v>0.68999999761581421</c:v>
                </c:pt>
                <c:pt idx="39">
                  <c:v>0.70999997854232788</c:v>
                </c:pt>
                <c:pt idx="40">
                  <c:v>0.62999999523162842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0.75999999046325684</c:v>
                </c:pt>
                <c:pt idx="45">
                  <c:v>0.62000000476837158</c:v>
                </c:pt>
                <c:pt idx="46">
                  <c:v>0.5899999737739563</c:v>
                </c:pt>
                <c:pt idx="47">
                  <c:v>0.74000000953674316</c:v>
                </c:pt>
                <c:pt idx="48">
                  <c:v>0</c:v>
                </c:pt>
                <c:pt idx="49">
                  <c:v>0.61000001430511475</c:v>
                </c:pt>
                <c:pt idx="50">
                  <c:v>0.5</c:v>
                </c:pt>
                <c:pt idx="51">
                  <c:v>0</c:v>
                </c:pt>
                <c:pt idx="52">
                  <c:v>0</c:v>
                </c:pt>
                <c:pt idx="53">
                  <c:v>0.61000001430511475</c:v>
                </c:pt>
                <c:pt idx="54">
                  <c:v>0.44999998807907104</c:v>
                </c:pt>
                <c:pt idx="55">
                  <c:v>0.37999999523162842</c:v>
                </c:pt>
                <c:pt idx="56">
                  <c:v>0</c:v>
                </c:pt>
                <c:pt idx="57">
                  <c:v>0.47999998927116394</c:v>
                </c:pt>
                <c:pt idx="58">
                  <c:v>0.61000001430511475</c:v>
                </c:pt>
                <c:pt idx="59">
                  <c:v>0.60000002384185791</c:v>
                </c:pt>
                <c:pt idx="60">
                  <c:v>0.43999999761581421</c:v>
                </c:pt>
                <c:pt idx="61">
                  <c:v>0.25999999046325684</c:v>
                </c:pt>
                <c:pt idx="62">
                  <c:v>0</c:v>
                </c:pt>
                <c:pt idx="63">
                  <c:v>0.50999999046325684</c:v>
                </c:pt>
                <c:pt idx="64">
                  <c:v>0</c:v>
                </c:pt>
                <c:pt idx="65">
                  <c:v>0</c:v>
                </c:pt>
                <c:pt idx="66">
                  <c:v>0.30000001192092896</c:v>
                </c:pt>
                <c:pt idx="67">
                  <c:v>0.68000000715255737</c:v>
                </c:pt>
                <c:pt idx="68">
                  <c:v>0</c:v>
                </c:pt>
                <c:pt idx="69">
                  <c:v>0.33000001311302185</c:v>
                </c:pt>
                <c:pt idx="70">
                  <c:v>0</c:v>
                </c:pt>
                <c:pt idx="71">
                  <c:v>0.36000001430511475</c:v>
                </c:pt>
                <c:pt idx="72">
                  <c:v>0.44999998807907104</c:v>
                </c:pt>
                <c:pt idx="73">
                  <c:v>0.40000000596046448</c:v>
                </c:pt>
                <c:pt idx="74">
                  <c:v>0.44999998807907104</c:v>
                </c:pt>
                <c:pt idx="75">
                  <c:v>0.34999999403953552</c:v>
                </c:pt>
                <c:pt idx="76">
                  <c:v>0</c:v>
                </c:pt>
                <c:pt idx="77">
                  <c:v>0.5</c:v>
                </c:pt>
                <c:pt idx="78">
                  <c:v>0.55000001192092896</c:v>
                </c:pt>
                <c:pt idx="79">
                  <c:v>0.43000000715255737</c:v>
                </c:pt>
                <c:pt idx="80">
                  <c:v>0.27000001072883606</c:v>
                </c:pt>
                <c:pt idx="81">
                  <c:v>0.41999998688697815</c:v>
                </c:pt>
                <c:pt idx="82">
                  <c:v>0</c:v>
                </c:pt>
                <c:pt idx="83">
                  <c:v>0.72000002861022949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B4-4C25-A639-88193DB0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6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'AAA Summary'!$L$3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'LL Revascularisation Summary'!$AH$1</c:f>
              <c:strCache>
                <c:ptCount val="1"/>
                <c:pt idx="0">
                  <c:v>% Open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'LL Revascularisation Summary'!$AG$2:$AG$72</c:f>
              <c:strCache>
                <c:ptCount val="71"/>
                <c:pt idx="0">
                  <c:v>R1K</c:v>
                </c:pt>
                <c:pt idx="1">
                  <c:v>RRV</c:v>
                </c:pt>
                <c:pt idx="2">
                  <c:v>RVV</c:v>
                </c:pt>
                <c:pt idx="3">
                  <c:v>RF4</c:v>
                </c:pt>
                <c:pt idx="4">
                  <c:v>R0A</c:v>
                </c:pt>
                <c:pt idx="5">
                  <c:v>RTG</c:v>
                </c:pt>
                <c:pt idx="6">
                  <c:v>RC1</c:v>
                </c:pt>
                <c:pt idx="7">
                  <c:v>R1H</c:v>
                </c:pt>
                <c:pt idx="8">
                  <c:v>RXR</c:v>
                </c:pt>
                <c:pt idx="9">
                  <c:v>RCB</c:v>
                </c:pt>
                <c:pt idx="10">
                  <c:v>RRK</c:v>
                </c:pt>
                <c:pt idx="11">
                  <c:v>RJ7</c:v>
                </c:pt>
                <c:pt idx="12">
                  <c:v>RNL</c:v>
                </c:pt>
                <c:pt idx="13">
                  <c:v>RXN</c:v>
                </c:pt>
                <c:pt idx="14">
                  <c:v>RWD</c:v>
                </c:pt>
                <c:pt idx="15">
                  <c:v>RWA</c:v>
                </c:pt>
                <c:pt idx="16">
                  <c:v>RVJ</c:v>
                </c:pt>
                <c:pt idx="17">
                  <c:v>RWE</c:v>
                </c:pt>
                <c:pt idx="18">
                  <c:v>RTD</c:v>
                </c:pt>
                <c:pt idx="19">
                  <c:v>RJE</c:v>
                </c:pt>
                <c:pt idx="20">
                  <c:v>RGT</c:v>
                </c:pt>
                <c:pt idx="21">
                  <c:v>RAL</c:v>
                </c:pt>
                <c:pt idx="22">
                  <c:v>RXW</c:v>
                </c:pt>
                <c:pt idx="23">
                  <c:v>RW6</c:v>
                </c:pt>
                <c:pt idx="24">
                  <c:v>RWG</c:v>
                </c:pt>
                <c:pt idx="25">
                  <c:v>RTH</c:v>
                </c:pt>
                <c:pt idx="26">
                  <c:v>RH5</c:v>
                </c:pt>
                <c:pt idx="27">
                  <c:v>RJR</c:v>
                </c:pt>
                <c:pt idx="28">
                  <c:v>RJZ</c:v>
                </c:pt>
                <c:pt idx="29">
                  <c:v>RNA</c:v>
                </c:pt>
                <c:pt idx="30">
                  <c:v>RYJ</c:v>
                </c:pt>
                <c:pt idx="31">
                  <c:v>RDE</c:v>
                </c:pt>
                <c:pt idx="32">
                  <c:v>RWP</c:v>
                </c:pt>
                <c:pt idx="33">
                  <c:v>ZT001</c:v>
                </c:pt>
                <c:pt idx="34">
                  <c:v>RAJ</c:v>
                </c:pt>
                <c:pt idx="35">
                  <c:v>R0B</c:v>
                </c:pt>
                <c:pt idx="36">
                  <c:v>RDU</c:v>
                </c:pt>
                <c:pt idx="37">
                  <c:v>RTE</c:v>
                </c:pt>
                <c:pt idx="38">
                  <c:v>REM</c:v>
                </c:pt>
                <c:pt idx="39">
                  <c:v>RT3</c:v>
                </c:pt>
                <c:pt idx="40">
                  <c:v>SN999</c:v>
                </c:pt>
                <c:pt idx="41">
                  <c:v>7A3</c:v>
                </c:pt>
                <c:pt idx="42">
                  <c:v>RHM</c:v>
                </c:pt>
                <c:pt idx="43">
                  <c:v>RJ1</c:v>
                </c:pt>
                <c:pt idx="44">
                  <c:v>RH8</c:v>
                </c:pt>
                <c:pt idx="45">
                  <c:v>RWH</c:v>
                </c:pt>
                <c:pt idx="46">
                  <c:v>RHQ</c:v>
                </c:pt>
                <c:pt idx="47">
                  <c:v>RPA</c:v>
                </c:pt>
                <c:pt idx="48">
                  <c:v>RR8</c:v>
                </c:pt>
                <c:pt idx="49">
                  <c:v>RKB</c:v>
                </c:pt>
                <c:pt idx="50">
                  <c:v>7A4</c:v>
                </c:pt>
                <c:pt idx="51">
                  <c:v>R0D</c:v>
                </c:pt>
                <c:pt idx="52">
                  <c:v>7A1</c:v>
                </c:pt>
                <c:pt idx="53">
                  <c:v>RP5</c:v>
                </c:pt>
                <c:pt idx="54">
                  <c:v>RK9</c:v>
                </c:pt>
                <c:pt idx="55">
                  <c:v>RM1</c:v>
                </c:pt>
                <c:pt idx="56">
                  <c:v>RNS</c:v>
                </c:pt>
                <c:pt idx="57">
                  <c:v>7A6</c:v>
                </c:pt>
                <c:pt idx="58">
                  <c:v>ST999</c:v>
                </c:pt>
                <c:pt idx="59">
                  <c:v>RA9</c:v>
                </c:pt>
                <c:pt idx="60">
                  <c:v>RWY</c:v>
                </c:pt>
                <c:pt idx="61">
                  <c:v>SS999</c:v>
                </c:pt>
                <c:pt idx="62">
                  <c:v>RAE</c:v>
                </c:pt>
                <c:pt idx="63">
                  <c:v>RTR</c:v>
                </c:pt>
                <c:pt idx="64">
                  <c:v>SG999</c:v>
                </c:pt>
                <c:pt idx="65">
                  <c:v>REF</c:v>
                </c:pt>
                <c:pt idx="66">
                  <c:v>RX1</c:v>
                </c:pt>
                <c:pt idx="67">
                  <c:v>SL999</c:v>
                </c:pt>
                <c:pt idx="68">
                  <c:v>RYR</c:v>
                </c:pt>
                <c:pt idx="69">
                  <c:v>SH999</c:v>
                </c:pt>
                <c:pt idx="70">
                  <c:v>SA999</c:v>
                </c:pt>
              </c:strCache>
            </c:strRef>
          </c:cat>
          <c:val>
            <c:numRef>
              <c:f>'LL Revascularisation Summary'!$AH$2:$AH$72</c:f>
              <c:numCache>
                <c:formatCode>0%</c:formatCode>
                <c:ptCount val="71"/>
                <c:pt idx="0">
                  <c:v>0.10526315789473684</c:v>
                </c:pt>
                <c:pt idx="1">
                  <c:v>0.11627906976744186</c:v>
                </c:pt>
                <c:pt idx="2">
                  <c:v>0.11827956989247312</c:v>
                </c:pt>
                <c:pt idx="3">
                  <c:v>0.13649025069637882</c:v>
                </c:pt>
                <c:pt idx="4">
                  <c:v>0.17017828200972449</c:v>
                </c:pt>
                <c:pt idx="5">
                  <c:v>0.19494584837545126</c:v>
                </c:pt>
                <c:pt idx="6">
                  <c:v>0.20689655172413793</c:v>
                </c:pt>
                <c:pt idx="7">
                  <c:v>0.21336206896551724</c:v>
                </c:pt>
                <c:pt idx="8">
                  <c:v>0.21459227467811159</c:v>
                </c:pt>
                <c:pt idx="9">
                  <c:v>0.21661054994388329</c:v>
                </c:pt>
                <c:pt idx="10">
                  <c:v>0.21809045226130652</c:v>
                </c:pt>
                <c:pt idx="11">
                  <c:v>0.22994652406417113</c:v>
                </c:pt>
                <c:pt idx="12">
                  <c:v>0.23454545454545456</c:v>
                </c:pt>
                <c:pt idx="13">
                  <c:v>0.24385805277525022</c:v>
                </c:pt>
                <c:pt idx="14">
                  <c:v>0.25714285714285712</c:v>
                </c:pt>
                <c:pt idx="15">
                  <c:v>0.26206244087038788</c:v>
                </c:pt>
                <c:pt idx="16">
                  <c:v>0.2644295302013423</c:v>
                </c:pt>
                <c:pt idx="17">
                  <c:v>0.26950354609929078</c:v>
                </c:pt>
                <c:pt idx="18">
                  <c:v>0.27145359019264448</c:v>
                </c:pt>
                <c:pt idx="19">
                  <c:v>0.3053040103492885</c:v>
                </c:pt>
                <c:pt idx="20">
                  <c:v>0.32537313432835818</c:v>
                </c:pt>
                <c:pt idx="21">
                  <c:v>0.32558139534883723</c:v>
                </c:pt>
                <c:pt idx="22">
                  <c:v>0.33852140077821014</c:v>
                </c:pt>
                <c:pt idx="23">
                  <c:v>0.33965244865718797</c:v>
                </c:pt>
                <c:pt idx="24">
                  <c:v>0.35135135135135137</c:v>
                </c:pt>
                <c:pt idx="25">
                  <c:v>0.37686567164179102</c:v>
                </c:pt>
                <c:pt idx="26">
                  <c:v>0.37931034482758619</c:v>
                </c:pt>
                <c:pt idx="27">
                  <c:v>0.38150289017341038</c:v>
                </c:pt>
                <c:pt idx="28">
                  <c:v>0.3838120104438642</c:v>
                </c:pt>
                <c:pt idx="29">
                  <c:v>0.38596491228070173</c:v>
                </c:pt>
                <c:pt idx="30">
                  <c:v>0.38663967611336031</c:v>
                </c:pt>
                <c:pt idx="31">
                  <c:v>0.40105540897097625</c:v>
                </c:pt>
                <c:pt idx="32">
                  <c:v>0.41275797373358347</c:v>
                </c:pt>
                <c:pt idx="33">
                  <c:v>0.41353383458646614</c:v>
                </c:pt>
                <c:pt idx="34">
                  <c:v>0.42297650130548303</c:v>
                </c:pt>
                <c:pt idx="35">
                  <c:v>0.43016759776536312</c:v>
                </c:pt>
                <c:pt idx="36">
                  <c:v>0.43290734824281152</c:v>
                </c:pt>
                <c:pt idx="37">
                  <c:v>0.45112781954887216</c:v>
                </c:pt>
                <c:pt idx="38">
                  <c:v>0.45769230769230768</c:v>
                </c:pt>
                <c:pt idx="39">
                  <c:v>0.46153846153846156</c:v>
                </c:pt>
                <c:pt idx="40">
                  <c:v>0.49612403100775193</c:v>
                </c:pt>
                <c:pt idx="41">
                  <c:v>0.50569476082004561</c:v>
                </c:pt>
                <c:pt idx="42">
                  <c:v>0.50804597701149423</c:v>
                </c:pt>
                <c:pt idx="43">
                  <c:v>0.52734375</c:v>
                </c:pt>
                <c:pt idx="44">
                  <c:v>0.53937007874015752</c:v>
                </c:pt>
                <c:pt idx="45">
                  <c:v>0.54761904761904767</c:v>
                </c:pt>
                <c:pt idx="46">
                  <c:v>0.562962962962963</c:v>
                </c:pt>
                <c:pt idx="47">
                  <c:v>0.58208955223880599</c:v>
                </c:pt>
                <c:pt idx="48">
                  <c:v>0.68609865470852016</c:v>
                </c:pt>
                <c:pt idx="49">
                  <c:v>0.71153846153846156</c:v>
                </c:pt>
                <c:pt idx="50">
                  <c:v>0.72043010752688175</c:v>
                </c:pt>
                <c:pt idx="51">
                  <c:v>0.76859504132231404</c:v>
                </c:pt>
                <c:pt idx="52">
                  <c:v>0.77127659574468088</c:v>
                </c:pt>
                <c:pt idx="53">
                  <c:v>0.77272727272727271</c:v>
                </c:pt>
                <c:pt idx="54">
                  <c:v>0.78294573643410847</c:v>
                </c:pt>
                <c:pt idx="55">
                  <c:v>0.79136690647482011</c:v>
                </c:pt>
                <c:pt idx="56">
                  <c:v>0.79865771812080533</c:v>
                </c:pt>
                <c:pt idx="57">
                  <c:v>0.8</c:v>
                </c:pt>
                <c:pt idx="58">
                  <c:v>0.8</c:v>
                </c:pt>
                <c:pt idx="59">
                  <c:v>0.8125</c:v>
                </c:pt>
                <c:pt idx="60">
                  <c:v>0.81690140845070425</c:v>
                </c:pt>
                <c:pt idx="61">
                  <c:v>0.82222222222222219</c:v>
                </c:pt>
                <c:pt idx="62">
                  <c:v>0.8666666666666667</c:v>
                </c:pt>
                <c:pt idx="63">
                  <c:v>0.87037037037037035</c:v>
                </c:pt>
                <c:pt idx="64">
                  <c:v>0.87628865979381443</c:v>
                </c:pt>
                <c:pt idx="65">
                  <c:v>0.91515151515151516</c:v>
                </c:pt>
                <c:pt idx="66">
                  <c:v>0.95774647887323938</c:v>
                </c:pt>
                <c:pt idx="67">
                  <c:v>0.95833333333333337</c:v>
                </c:pt>
                <c:pt idx="68">
                  <c:v>0.97093023255813948</c:v>
                </c:pt>
                <c:pt idx="69">
                  <c:v>0.98529411764705888</c:v>
                </c:pt>
                <c:pt idx="7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5F0B-4DF1-8C8F-61CC73068848}"/>
            </c:ext>
          </c:extLst>
        </c:ser>
        <c:ser>
          <c:idx val="1"/>
          <c:order val="1"/>
          <c:tx>
            <c:strRef>
              <c:f>'LL Revascularisation Summary'!$AI$1</c:f>
              <c:strCache>
                <c:ptCount val="1"/>
                <c:pt idx="0">
                  <c:v>% Hybrid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'LL Revascularisation Summary'!$AG$2:$AG$72</c:f>
              <c:strCache>
                <c:ptCount val="71"/>
                <c:pt idx="0">
                  <c:v>R1K</c:v>
                </c:pt>
                <c:pt idx="1">
                  <c:v>RRV</c:v>
                </c:pt>
                <c:pt idx="2">
                  <c:v>RVV</c:v>
                </c:pt>
                <c:pt idx="3">
                  <c:v>RF4</c:v>
                </c:pt>
                <c:pt idx="4">
                  <c:v>R0A</c:v>
                </c:pt>
                <c:pt idx="5">
                  <c:v>RTG</c:v>
                </c:pt>
                <c:pt idx="6">
                  <c:v>RC1</c:v>
                </c:pt>
                <c:pt idx="7">
                  <c:v>R1H</c:v>
                </c:pt>
                <c:pt idx="8">
                  <c:v>RXR</c:v>
                </c:pt>
                <c:pt idx="9">
                  <c:v>RCB</c:v>
                </c:pt>
                <c:pt idx="10">
                  <c:v>RRK</c:v>
                </c:pt>
                <c:pt idx="11">
                  <c:v>RJ7</c:v>
                </c:pt>
                <c:pt idx="12">
                  <c:v>RNL</c:v>
                </c:pt>
                <c:pt idx="13">
                  <c:v>RXN</c:v>
                </c:pt>
                <c:pt idx="14">
                  <c:v>RWD</c:v>
                </c:pt>
                <c:pt idx="15">
                  <c:v>RWA</c:v>
                </c:pt>
                <c:pt idx="16">
                  <c:v>RVJ</c:v>
                </c:pt>
                <c:pt idx="17">
                  <c:v>RWE</c:v>
                </c:pt>
                <c:pt idx="18">
                  <c:v>RTD</c:v>
                </c:pt>
                <c:pt idx="19">
                  <c:v>RJE</c:v>
                </c:pt>
                <c:pt idx="20">
                  <c:v>RGT</c:v>
                </c:pt>
                <c:pt idx="21">
                  <c:v>RAL</c:v>
                </c:pt>
                <c:pt idx="22">
                  <c:v>RXW</c:v>
                </c:pt>
                <c:pt idx="23">
                  <c:v>RW6</c:v>
                </c:pt>
                <c:pt idx="24">
                  <c:v>RWG</c:v>
                </c:pt>
                <c:pt idx="25">
                  <c:v>RTH</c:v>
                </c:pt>
                <c:pt idx="26">
                  <c:v>RH5</c:v>
                </c:pt>
                <c:pt idx="27">
                  <c:v>RJR</c:v>
                </c:pt>
                <c:pt idx="28">
                  <c:v>RJZ</c:v>
                </c:pt>
                <c:pt idx="29">
                  <c:v>RNA</c:v>
                </c:pt>
                <c:pt idx="30">
                  <c:v>RYJ</c:v>
                </c:pt>
                <c:pt idx="31">
                  <c:v>RDE</c:v>
                </c:pt>
                <c:pt idx="32">
                  <c:v>RWP</c:v>
                </c:pt>
                <c:pt idx="33">
                  <c:v>ZT001</c:v>
                </c:pt>
                <c:pt idx="34">
                  <c:v>RAJ</c:v>
                </c:pt>
                <c:pt idx="35">
                  <c:v>R0B</c:v>
                </c:pt>
                <c:pt idx="36">
                  <c:v>RDU</c:v>
                </c:pt>
                <c:pt idx="37">
                  <c:v>RTE</c:v>
                </c:pt>
                <c:pt idx="38">
                  <c:v>REM</c:v>
                </c:pt>
                <c:pt idx="39">
                  <c:v>RT3</c:v>
                </c:pt>
                <c:pt idx="40">
                  <c:v>SN999</c:v>
                </c:pt>
                <c:pt idx="41">
                  <c:v>7A3</c:v>
                </c:pt>
                <c:pt idx="42">
                  <c:v>RHM</c:v>
                </c:pt>
                <c:pt idx="43">
                  <c:v>RJ1</c:v>
                </c:pt>
                <c:pt idx="44">
                  <c:v>RH8</c:v>
                </c:pt>
                <c:pt idx="45">
                  <c:v>RWH</c:v>
                </c:pt>
                <c:pt idx="46">
                  <c:v>RHQ</c:v>
                </c:pt>
                <c:pt idx="47">
                  <c:v>RPA</c:v>
                </c:pt>
                <c:pt idx="48">
                  <c:v>RR8</c:v>
                </c:pt>
                <c:pt idx="49">
                  <c:v>RKB</c:v>
                </c:pt>
                <c:pt idx="50">
                  <c:v>7A4</c:v>
                </c:pt>
                <c:pt idx="51">
                  <c:v>R0D</c:v>
                </c:pt>
                <c:pt idx="52">
                  <c:v>7A1</c:v>
                </c:pt>
                <c:pt idx="53">
                  <c:v>RP5</c:v>
                </c:pt>
                <c:pt idx="54">
                  <c:v>RK9</c:v>
                </c:pt>
                <c:pt idx="55">
                  <c:v>RM1</c:v>
                </c:pt>
                <c:pt idx="56">
                  <c:v>RNS</c:v>
                </c:pt>
                <c:pt idx="57">
                  <c:v>7A6</c:v>
                </c:pt>
                <c:pt idx="58">
                  <c:v>ST999</c:v>
                </c:pt>
                <c:pt idx="59">
                  <c:v>RA9</c:v>
                </c:pt>
                <c:pt idx="60">
                  <c:v>RWY</c:v>
                </c:pt>
                <c:pt idx="61">
                  <c:v>SS999</c:v>
                </c:pt>
                <c:pt idx="62">
                  <c:v>RAE</c:v>
                </c:pt>
                <c:pt idx="63">
                  <c:v>RTR</c:v>
                </c:pt>
                <c:pt idx="64">
                  <c:v>SG999</c:v>
                </c:pt>
                <c:pt idx="65">
                  <c:v>REF</c:v>
                </c:pt>
                <c:pt idx="66">
                  <c:v>RX1</c:v>
                </c:pt>
                <c:pt idx="67">
                  <c:v>SL999</c:v>
                </c:pt>
                <c:pt idx="68">
                  <c:v>RYR</c:v>
                </c:pt>
                <c:pt idx="69">
                  <c:v>SH999</c:v>
                </c:pt>
                <c:pt idx="70">
                  <c:v>SA999</c:v>
                </c:pt>
              </c:strCache>
            </c:strRef>
          </c:cat>
          <c:val>
            <c:numRef>
              <c:f>'LL Revascularisation Summary'!$AI$2:$AI$72</c:f>
              <c:numCache>
                <c:formatCode>0%</c:formatCode>
                <c:ptCount val="71"/>
                <c:pt idx="0">
                  <c:v>8.5872576177285317E-2</c:v>
                </c:pt>
                <c:pt idx="1">
                  <c:v>0.16279069767441862</c:v>
                </c:pt>
                <c:pt idx="2">
                  <c:v>0.27956989247311825</c:v>
                </c:pt>
                <c:pt idx="3">
                  <c:v>5.5710306406685237E-3</c:v>
                </c:pt>
                <c:pt idx="4">
                  <c:v>0.10858995137763371</c:v>
                </c:pt>
                <c:pt idx="5">
                  <c:v>9.1456077015643802E-2</c:v>
                </c:pt>
                <c:pt idx="6">
                  <c:v>8.5057471264367815E-2</c:v>
                </c:pt>
                <c:pt idx="7">
                  <c:v>6.6810344827586202E-2</c:v>
                </c:pt>
                <c:pt idx="8">
                  <c:v>0.1148068669527897</c:v>
                </c:pt>
                <c:pt idx="9">
                  <c:v>1.4590347923681257E-2</c:v>
                </c:pt>
                <c:pt idx="10">
                  <c:v>9.6482412060301503E-2</c:v>
                </c:pt>
                <c:pt idx="11">
                  <c:v>0.11229946524064172</c:v>
                </c:pt>
                <c:pt idx="12">
                  <c:v>5.6363636363636366E-2</c:v>
                </c:pt>
                <c:pt idx="13">
                  <c:v>0.12101910828025478</c:v>
                </c:pt>
                <c:pt idx="14">
                  <c:v>9.5238095238095247E-3</c:v>
                </c:pt>
                <c:pt idx="15">
                  <c:v>2.8382213812677389E-3</c:v>
                </c:pt>
                <c:pt idx="16">
                  <c:v>0.15033557046979865</c:v>
                </c:pt>
                <c:pt idx="17">
                  <c:v>0.20330969267139479</c:v>
                </c:pt>
                <c:pt idx="18">
                  <c:v>3.6777583187390543E-2</c:v>
                </c:pt>
                <c:pt idx="19">
                  <c:v>4.6571798188874518E-2</c:v>
                </c:pt>
                <c:pt idx="20">
                  <c:v>4.7761194029850747E-2</c:v>
                </c:pt>
                <c:pt idx="21">
                  <c:v>0.15503875968992248</c:v>
                </c:pt>
                <c:pt idx="22">
                  <c:v>5.2529182879377433E-2</c:v>
                </c:pt>
                <c:pt idx="23">
                  <c:v>0.19431279620853081</c:v>
                </c:pt>
                <c:pt idx="24">
                  <c:v>0.1554054054054054</c:v>
                </c:pt>
                <c:pt idx="25">
                  <c:v>9.3283582089552244E-2</c:v>
                </c:pt>
                <c:pt idx="26">
                  <c:v>3.4482758620689655E-2</c:v>
                </c:pt>
                <c:pt idx="27">
                  <c:v>9.2485549132947972E-2</c:v>
                </c:pt>
                <c:pt idx="28">
                  <c:v>8.6161879895561358E-2</c:v>
                </c:pt>
                <c:pt idx="29">
                  <c:v>8.1339712918660281E-2</c:v>
                </c:pt>
                <c:pt idx="30">
                  <c:v>2.8340080971659919E-2</c:v>
                </c:pt>
                <c:pt idx="31">
                  <c:v>0.15039577836411611</c:v>
                </c:pt>
                <c:pt idx="32">
                  <c:v>9.3808630393996242E-2</c:v>
                </c:pt>
                <c:pt idx="33">
                  <c:v>0.11278195488721804</c:v>
                </c:pt>
                <c:pt idx="34">
                  <c:v>0.15404699738903394</c:v>
                </c:pt>
                <c:pt idx="35">
                  <c:v>0.17318435754189945</c:v>
                </c:pt>
                <c:pt idx="36">
                  <c:v>9.1054313099041537E-2</c:v>
                </c:pt>
                <c:pt idx="37">
                  <c:v>0.17293233082706766</c:v>
                </c:pt>
                <c:pt idx="38">
                  <c:v>0.14615384615384616</c:v>
                </c:pt>
                <c:pt idx="39">
                  <c:v>7.6923076923076927E-2</c:v>
                </c:pt>
                <c:pt idx="40">
                  <c:v>0.16279069767441862</c:v>
                </c:pt>
                <c:pt idx="41">
                  <c:v>3.644646924829157E-2</c:v>
                </c:pt>
                <c:pt idx="42">
                  <c:v>0.1793103448275862</c:v>
                </c:pt>
                <c:pt idx="43">
                  <c:v>6.25E-2</c:v>
                </c:pt>
                <c:pt idx="44">
                  <c:v>1.5748031496062992E-2</c:v>
                </c:pt>
                <c:pt idx="45">
                  <c:v>0.19047619047619047</c:v>
                </c:pt>
                <c:pt idx="46">
                  <c:v>7.407407407407407E-2</c:v>
                </c:pt>
                <c:pt idx="47">
                  <c:v>0.29850746268656714</c:v>
                </c:pt>
                <c:pt idx="48">
                  <c:v>0.14349775784753363</c:v>
                </c:pt>
                <c:pt idx="49">
                  <c:v>5.2884615384615384E-2</c:v>
                </c:pt>
                <c:pt idx="50">
                  <c:v>3.2258064516129031E-2</c:v>
                </c:pt>
                <c:pt idx="51">
                  <c:v>0.21487603305785125</c:v>
                </c:pt>
                <c:pt idx="52">
                  <c:v>0.20212765957446807</c:v>
                </c:pt>
                <c:pt idx="53">
                  <c:v>0.22727272727272727</c:v>
                </c:pt>
                <c:pt idx="54">
                  <c:v>3.1007751937984496E-2</c:v>
                </c:pt>
                <c:pt idx="55">
                  <c:v>0.17266187050359713</c:v>
                </c:pt>
                <c:pt idx="56">
                  <c:v>0.12080536912751678</c:v>
                </c:pt>
                <c:pt idx="57">
                  <c:v>0.11666666666666667</c:v>
                </c:pt>
                <c:pt idx="58">
                  <c:v>0.16666666666666666</c:v>
                </c:pt>
                <c:pt idx="59">
                  <c:v>0.1875</c:v>
                </c:pt>
                <c:pt idx="60">
                  <c:v>0.18309859154929578</c:v>
                </c:pt>
                <c:pt idx="61">
                  <c:v>0.17777777777777778</c:v>
                </c:pt>
                <c:pt idx="62">
                  <c:v>0.13333333333333333</c:v>
                </c:pt>
                <c:pt idx="63">
                  <c:v>0.12962962962962962</c:v>
                </c:pt>
                <c:pt idx="64">
                  <c:v>0.10309278350515463</c:v>
                </c:pt>
                <c:pt idx="65">
                  <c:v>7.2727272727272724E-2</c:v>
                </c:pt>
                <c:pt idx="66">
                  <c:v>4.2253521126760563E-2</c:v>
                </c:pt>
                <c:pt idx="67">
                  <c:v>4.1666666666666664E-2</c:v>
                </c:pt>
                <c:pt idx="68">
                  <c:v>2.9069767441860465E-2</c:v>
                </c:pt>
                <c:pt idx="69">
                  <c:v>1.4705882352941176E-2</c:v>
                </c:pt>
                <c:pt idx="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5F0B-4DF1-8C8F-61CC73068848}"/>
            </c:ext>
          </c:extLst>
        </c:ser>
        <c:ser>
          <c:idx val="2"/>
          <c:order val="2"/>
          <c:tx>
            <c:strRef>
              <c:f>'LL Revascularisation Summary'!$AJ$1</c:f>
              <c:strCache>
                <c:ptCount val="1"/>
                <c:pt idx="0">
                  <c:v>% Endovascular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'LL Revascularisation Summary'!$AG$2:$AG$72</c:f>
              <c:strCache>
                <c:ptCount val="71"/>
                <c:pt idx="0">
                  <c:v>R1K</c:v>
                </c:pt>
                <c:pt idx="1">
                  <c:v>RRV</c:v>
                </c:pt>
                <c:pt idx="2">
                  <c:v>RVV</c:v>
                </c:pt>
                <c:pt idx="3">
                  <c:v>RF4</c:v>
                </c:pt>
                <c:pt idx="4">
                  <c:v>R0A</c:v>
                </c:pt>
                <c:pt idx="5">
                  <c:v>RTG</c:v>
                </c:pt>
                <c:pt idx="6">
                  <c:v>RC1</c:v>
                </c:pt>
                <c:pt idx="7">
                  <c:v>R1H</c:v>
                </c:pt>
                <c:pt idx="8">
                  <c:v>RXR</c:v>
                </c:pt>
                <c:pt idx="9">
                  <c:v>RCB</c:v>
                </c:pt>
                <c:pt idx="10">
                  <c:v>RRK</c:v>
                </c:pt>
                <c:pt idx="11">
                  <c:v>RJ7</c:v>
                </c:pt>
                <c:pt idx="12">
                  <c:v>RNL</c:v>
                </c:pt>
                <c:pt idx="13">
                  <c:v>RXN</c:v>
                </c:pt>
                <c:pt idx="14">
                  <c:v>RWD</c:v>
                </c:pt>
                <c:pt idx="15">
                  <c:v>RWA</c:v>
                </c:pt>
                <c:pt idx="16">
                  <c:v>RVJ</c:v>
                </c:pt>
                <c:pt idx="17">
                  <c:v>RWE</c:v>
                </c:pt>
                <c:pt idx="18">
                  <c:v>RTD</c:v>
                </c:pt>
                <c:pt idx="19">
                  <c:v>RJE</c:v>
                </c:pt>
                <c:pt idx="20">
                  <c:v>RGT</c:v>
                </c:pt>
                <c:pt idx="21">
                  <c:v>RAL</c:v>
                </c:pt>
                <c:pt idx="22">
                  <c:v>RXW</c:v>
                </c:pt>
                <c:pt idx="23">
                  <c:v>RW6</c:v>
                </c:pt>
                <c:pt idx="24">
                  <c:v>RWG</c:v>
                </c:pt>
                <c:pt idx="25">
                  <c:v>RTH</c:v>
                </c:pt>
                <c:pt idx="26">
                  <c:v>RH5</c:v>
                </c:pt>
                <c:pt idx="27">
                  <c:v>RJR</c:v>
                </c:pt>
                <c:pt idx="28">
                  <c:v>RJZ</c:v>
                </c:pt>
                <c:pt idx="29">
                  <c:v>RNA</c:v>
                </c:pt>
                <c:pt idx="30">
                  <c:v>RYJ</c:v>
                </c:pt>
                <c:pt idx="31">
                  <c:v>RDE</c:v>
                </c:pt>
                <c:pt idx="32">
                  <c:v>RWP</c:v>
                </c:pt>
                <c:pt idx="33">
                  <c:v>ZT001</c:v>
                </c:pt>
                <c:pt idx="34">
                  <c:v>RAJ</c:v>
                </c:pt>
                <c:pt idx="35">
                  <c:v>R0B</c:v>
                </c:pt>
                <c:pt idx="36">
                  <c:v>RDU</c:v>
                </c:pt>
                <c:pt idx="37">
                  <c:v>RTE</c:v>
                </c:pt>
                <c:pt idx="38">
                  <c:v>REM</c:v>
                </c:pt>
                <c:pt idx="39">
                  <c:v>RT3</c:v>
                </c:pt>
                <c:pt idx="40">
                  <c:v>SN999</c:v>
                </c:pt>
                <c:pt idx="41">
                  <c:v>7A3</c:v>
                </c:pt>
                <c:pt idx="42">
                  <c:v>RHM</c:v>
                </c:pt>
                <c:pt idx="43">
                  <c:v>RJ1</c:v>
                </c:pt>
                <c:pt idx="44">
                  <c:v>RH8</c:v>
                </c:pt>
                <c:pt idx="45">
                  <c:v>RWH</c:v>
                </c:pt>
                <c:pt idx="46">
                  <c:v>RHQ</c:v>
                </c:pt>
                <c:pt idx="47">
                  <c:v>RPA</c:v>
                </c:pt>
                <c:pt idx="48">
                  <c:v>RR8</c:v>
                </c:pt>
                <c:pt idx="49">
                  <c:v>RKB</c:v>
                </c:pt>
                <c:pt idx="50">
                  <c:v>7A4</c:v>
                </c:pt>
                <c:pt idx="51">
                  <c:v>R0D</c:v>
                </c:pt>
                <c:pt idx="52">
                  <c:v>7A1</c:v>
                </c:pt>
                <c:pt idx="53">
                  <c:v>RP5</c:v>
                </c:pt>
                <c:pt idx="54">
                  <c:v>RK9</c:v>
                </c:pt>
                <c:pt idx="55">
                  <c:v>RM1</c:v>
                </c:pt>
                <c:pt idx="56">
                  <c:v>RNS</c:v>
                </c:pt>
                <c:pt idx="57">
                  <c:v>7A6</c:v>
                </c:pt>
                <c:pt idx="58">
                  <c:v>ST999</c:v>
                </c:pt>
                <c:pt idx="59">
                  <c:v>RA9</c:v>
                </c:pt>
                <c:pt idx="60">
                  <c:v>RWY</c:v>
                </c:pt>
                <c:pt idx="61">
                  <c:v>SS999</c:v>
                </c:pt>
                <c:pt idx="62">
                  <c:v>RAE</c:v>
                </c:pt>
                <c:pt idx="63">
                  <c:v>RTR</c:v>
                </c:pt>
                <c:pt idx="64">
                  <c:v>SG999</c:v>
                </c:pt>
                <c:pt idx="65">
                  <c:v>REF</c:v>
                </c:pt>
                <c:pt idx="66">
                  <c:v>RX1</c:v>
                </c:pt>
                <c:pt idx="67">
                  <c:v>SL999</c:v>
                </c:pt>
                <c:pt idx="68">
                  <c:v>RYR</c:v>
                </c:pt>
                <c:pt idx="69">
                  <c:v>SH999</c:v>
                </c:pt>
                <c:pt idx="70">
                  <c:v>SA999</c:v>
                </c:pt>
              </c:strCache>
            </c:strRef>
          </c:cat>
          <c:val>
            <c:numRef>
              <c:f>'LL Revascularisation Summary'!$AJ$2:$AJ$72</c:f>
              <c:numCache>
                <c:formatCode>0%</c:formatCode>
                <c:ptCount val="71"/>
                <c:pt idx="0">
                  <c:v>0.80886426592797789</c:v>
                </c:pt>
                <c:pt idx="1">
                  <c:v>0.72093023255813948</c:v>
                </c:pt>
                <c:pt idx="2">
                  <c:v>0.60215053763440862</c:v>
                </c:pt>
                <c:pt idx="3">
                  <c:v>0.85793871866295268</c:v>
                </c:pt>
                <c:pt idx="4">
                  <c:v>0.72123176661264177</c:v>
                </c:pt>
                <c:pt idx="5">
                  <c:v>0.7135980746089049</c:v>
                </c:pt>
                <c:pt idx="6">
                  <c:v>0.7080459770114943</c:v>
                </c:pt>
                <c:pt idx="7">
                  <c:v>0.71982758620689657</c:v>
                </c:pt>
                <c:pt idx="8">
                  <c:v>0.67060085836909866</c:v>
                </c:pt>
                <c:pt idx="9">
                  <c:v>0.76879910213243552</c:v>
                </c:pt>
                <c:pt idx="10">
                  <c:v>0.68542713567839197</c:v>
                </c:pt>
                <c:pt idx="11">
                  <c:v>0.65775401069518713</c:v>
                </c:pt>
                <c:pt idx="12">
                  <c:v>0.70909090909090911</c:v>
                </c:pt>
                <c:pt idx="13">
                  <c:v>0.63512283894449495</c:v>
                </c:pt>
                <c:pt idx="14">
                  <c:v>0.73333333333333328</c:v>
                </c:pt>
                <c:pt idx="15">
                  <c:v>0.73509933774834435</c:v>
                </c:pt>
                <c:pt idx="16">
                  <c:v>0.58523489932885908</c:v>
                </c:pt>
                <c:pt idx="17">
                  <c:v>0.5271867612293144</c:v>
                </c:pt>
                <c:pt idx="18">
                  <c:v>0.69176882661996497</c:v>
                </c:pt>
                <c:pt idx="19">
                  <c:v>0.64812419146183697</c:v>
                </c:pt>
                <c:pt idx="20">
                  <c:v>0.62686567164179108</c:v>
                </c:pt>
                <c:pt idx="21">
                  <c:v>0.51937984496124034</c:v>
                </c:pt>
                <c:pt idx="22">
                  <c:v>0.6089494163424124</c:v>
                </c:pt>
                <c:pt idx="23">
                  <c:v>0.46603475513428122</c:v>
                </c:pt>
                <c:pt idx="24">
                  <c:v>0.49324324324324326</c:v>
                </c:pt>
                <c:pt idx="25">
                  <c:v>0.52985074626865669</c:v>
                </c:pt>
                <c:pt idx="26">
                  <c:v>0.58620689655172409</c:v>
                </c:pt>
                <c:pt idx="27">
                  <c:v>0.52601156069364163</c:v>
                </c:pt>
                <c:pt idx="28">
                  <c:v>0.5300261096605744</c:v>
                </c:pt>
                <c:pt idx="29">
                  <c:v>0.532695374800638</c:v>
                </c:pt>
                <c:pt idx="30">
                  <c:v>0.58502024291497978</c:v>
                </c:pt>
                <c:pt idx="31">
                  <c:v>0.44854881266490765</c:v>
                </c:pt>
                <c:pt idx="32">
                  <c:v>0.49343339587242024</c:v>
                </c:pt>
                <c:pt idx="33">
                  <c:v>0.47368421052631576</c:v>
                </c:pt>
                <c:pt idx="34">
                  <c:v>0.42297650130548303</c:v>
                </c:pt>
                <c:pt idx="35">
                  <c:v>0.39664804469273746</c:v>
                </c:pt>
                <c:pt idx="36">
                  <c:v>0.47603833865814699</c:v>
                </c:pt>
                <c:pt idx="37">
                  <c:v>0.37593984962406013</c:v>
                </c:pt>
                <c:pt idx="38">
                  <c:v>0.39615384615384613</c:v>
                </c:pt>
                <c:pt idx="39">
                  <c:v>0.46153846153846156</c:v>
                </c:pt>
                <c:pt idx="40">
                  <c:v>0.34108527131782945</c:v>
                </c:pt>
                <c:pt idx="41">
                  <c:v>0.45785876993166286</c:v>
                </c:pt>
                <c:pt idx="42">
                  <c:v>0.31264367816091954</c:v>
                </c:pt>
                <c:pt idx="43">
                  <c:v>0.41015625</c:v>
                </c:pt>
                <c:pt idx="44">
                  <c:v>0.44488188976377951</c:v>
                </c:pt>
                <c:pt idx="45">
                  <c:v>0.26190476190476192</c:v>
                </c:pt>
                <c:pt idx="46">
                  <c:v>0.36296296296296299</c:v>
                </c:pt>
                <c:pt idx="47">
                  <c:v>0.11940298507462686</c:v>
                </c:pt>
                <c:pt idx="48">
                  <c:v>0.17040358744394618</c:v>
                </c:pt>
                <c:pt idx="49">
                  <c:v>0.23557692307692307</c:v>
                </c:pt>
                <c:pt idx="50">
                  <c:v>0.24731182795698925</c:v>
                </c:pt>
                <c:pt idx="51">
                  <c:v>1.6528925619834711E-2</c:v>
                </c:pt>
                <c:pt idx="52">
                  <c:v>2.6595744680851064E-2</c:v>
                </c:pt>
                <c:pt idx="53">
                  <c:v>0</c:v>
                </c:pt>
                <c:pt idx="54">
                  <c:v>0.18604651162790697</c:v>
                </c:pt>
                <c:pt idx="55">
                  <c:v>3.5971223021582732E-2</c:v>
                </c:pt>
                <c:pt idx="56">
                  <c:v>8.0536912751677847E-2</c:v>
                </c:pt>
                <c:pt idx="57">
                  <c:v>8.3333333333333329E-2</c:v>
                </c:pt>
                <c:pt idx="58">
                  <c:v>3.3333333333333333E-2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2.0618556701030927E-2</c:v>
                </c:pt>
                <c:pt idx="65">
                  <c:v>1.2121212121212121E-2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5F0B-4DF1-8C8F-61CC7306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186136"/>
        <c:axId val="606183840"/>
      </c:barChart>
      <c:scatterChart>
        <c:scatterStyle val="lineMarker"/>
        <c:varyColors val="0"/>
        <c:ser>
          <c:idx val="3"/>
          <c:order val="3"/>
          <c:tx>
            <c:strRef>
              <c:f>'LL Revascularisation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'LL Revascularisation Summary'!$AA$6</c:f>
              <c:numCache>
                <c:formatCode>General</c:formatCode>
                <c:ptCount val="1"/>
                <c:pt idx="0">
                  <c:v>58</c:v>
                </c:pt>
              </c:numCache>
            </c:numRef>
          </c:xVal>
          <c:yVal>
            <c:numRef>
              <c:f>'LL Revascularisation Summary'!$AB$6</c:f>
              <c:numCache>
                <c:formatCode>General</c:formatCode>
                <c:ptCount val="1"/>
                <c:pt idx="0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5F0B-4DF1-8C8F-61CC7306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'Angioplasty Summary'!$E$2</c:f>
          <c:strCache>
            <c:ptCount val="1"/>
            <c:pt idx="0">
              <c:v>CLTI % within 5 days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6465108885538578E-2"/>
          <c:y val="9.5993189165075848E-2"/>
          <c:w val="0.95681694014630059"/>
          <c:h val="0.778799705534012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'Lower Limb Angioplasty'!$AF$1</c:f>
              <c:strCache>
                <c:ptCount val="1"/>
                <c:pt idx="0">
                  <c:v>Graph Value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1"/>
            <c:plus>
              <c:numRef>
                <c:f>'Lower Limb Angioplasty'!$AH$2:$AH$91</c:f>
                <c:numCache>
                  <c:formatCode>General</c:formatCode>
                  <c:ptCount val="9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0.1600000262260437</c:v>
                  </c:pt>
                  <c:pt idx="5">
                    <c:v>9.9999904632568359E-3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0.11000001430511475</c:v>
                  </c:pt>
                  <c:pt idx="27">
                    <c:v>4.0000021457672119E-2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2.0000040531158447E-2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0</c:v>
                  </c:pt>
                  <c:pt idx="73">
                    <c:v>0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0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0</c:v>
                  </c:pt>
                  <c:pt idx="82">
                    <c:v>4.9999982118606567E-2</c:v>
                  </c:pt>
                  <c:pt idx="83">
                    <c:v>0</c:v>
                  </c:pt>
                  <c:pt idx="84">
                    <c:v>0</c:v>
                  </c:pt>
                  <c:pt idx="85">
                    <c:v>0</c:v>
                  </c:pt>
                  <c:pt idx="86">
                    <c:v>0</c:v>
                  </c:pt>
                  <c:pt idx="87">
                    <c:v>0</c:v>
                  </c:pt>
                  <c:pt idx="88">
                    <c:v>0</c:v>
                  </c:pt>
                  <c:pt idx="89">
                    <c:v>0</c:v>
                  </c:pt>
                </c:numCache>
              </c:numRef>
            </c:plus>
            <c:minus>
              <c:numRef>
                <c:f>'Lower Limb Angioplasty'!$AI$2:$AI$91</c:f>
                <c:numCache>
                  <c:formatCode>General</c:formatCode>
                  <c:ptCount val="90"/>
                  <c:pt idx="0">
                    <c:v>0</c:v>
                  </c:pt>
                  <c:pt idx="1">
                    <c:v>0</c:v>
                  </c:pt>
                  <c:pt idx="2">
                    <c:v>0.10999999940395355</c:v>
                  </c:pt>
                  <c:pt idx="3">
                    <c:v>0.11999997496604919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0.13999998569488525</c:v>
                  </c:pt>
                  <c:pt idx="18">
                    <c:v>0.11000001430511475</c:v>
                  </c:pt>
                  <c:pt idx="19">
                    <c:v>0</c:v>
                  </c:pt>
                  <c:pt idx="20">
                    <c:v>2.0000040531158447E-2</c:v>
                  </c:pt>
                  <c:pt idx="21">
                    <c:v>0</c:v>
                  </c:pt>
                  <c:pt idx="22">
                    <c:v>3.9999961853027344E-2</c:v>
                  </c:pt>
                  <c:pt idx="23">
                    <c:v>0</c:v>
                  </c:pt>
                  <c:pt idx="24">
                    <c:v>8.0000042915344238E-2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1.9999980926513672E-2</c:v>
                  </c:pt>
                  <c:pt idx="30">
                    <c:v>0</c:v>
                  </c:pt>
                  <c:pt idx="31">
                    <c:v>0.27000001445412636</c:v>
                  </c:pt>
                  <c:pt idx="32">
                    <c:v>0.11999997496604919</c:v>
                  </c:pt>
                  <c:pt idx="33">
                    <c:v>6.0000002384185791E-2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1.9999980926513672E-2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0.13000005483627319</c:v>
                  </c:pt>
                  <c:pt idx="48">
                    <c:v>3.9999961853027344E-2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0.40000003576278687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6.9999992847442627E-2</c:v>
                  </c:pt>
                  <c:pt idx="70">
                    <c:v>0</c:v>
                  </c:pt>
                  <c:pt idx="71">
                    <c:v>0</c:v>
                  </c:pt>
                  <c:pt idx="72">
                    <c:v>0</c:v>
                  </c:pt>
                  <c:pt idx="73">
                    <c:v>5.0000011920928955E-2</c:v>
                  </c:pt>
                  <c:pt idx="74">
                    <c:v>0.14000001549720764</c:v>
                  </c:pt>
                  <c:pt idx="75">
                    <c:v>0</c:v>
                  </c:pt>
                  <c:pt idx="76">
                    <c:v>0.16999998688697815</c:v>
                  </c:pt>
                  <c:pt idx="77">
                    <c:v>0</c:v>
                  </c:pt>
                  <c:pt idx="78">
                    <c:v>0</c:v>
                  </c:pt>
                  <c:pt idx="79">
                    <c:v>0.14999997615814209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0.27999997138977051</c:v>
                  </c:pt>
                  <c:pt idx="84">
                    <c:v>0</c:v>
                  </c:pt>
                  <c:pt idx="85">
                    <c:v>0</c:v>
                  </c:pt>
                  <c:pt idx="86">
                    <c:v>0</c:v>
                  </c:pt>
                  <c:pt idx="87">
                    <c:v>0</c:v>
                  </c:pt>
                  <c:pt idx="88">
                    <c:v>0</c:v>
                  </c:pt>
                  <c:pt idx="89">
                    <c:v>2.9999971389770508E-2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'Lower Limb Angioplasty'!$AE$2:$AE$91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28</c:v>
                </c:pt>
                <c:pt idx="3">
                  <c:v>26</c:v>
                </c:pt>
                <c:pt idx="4">
                  <c:v>16</c:v>
                </c:pt>
                <c:pt idx="5">
                  <c:v>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3</c:v>
                </c:pt>
                <c:pt idx="19">
                  <c:v>0</c:v>
                </c:pt>
                <c:pt idx="20">
                  <c:v>13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14</c:v>
                </c:pt>
                <c:pt idx="25">
                  <c:v>0</c:v>
                </c:pt>
                <c:pt idx="26">
                  <c:v>10</c:v>
                </c:pt>
                <c:pt idx="27">
                  <c:v>11</c:v>
                </c:pt>
                <c:pt idx="28">
                  <c:v>0</c:v>
                </c:pt>
                <c:pt idx="29">
                  <c:v>23</c:v>
                </c:pt>
                <c:pt idx="30">
                  <c:v>0</c:v>
                </c:pt>
                <c:pt idx="31">
                  <c:v>29</c:v>
                </c:pt>
                <c:pt idx="32">
                  <c:v>21</c:v>
                </c:pt>
                <c:pt idx="33">
                  <c:v>15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18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8</c:v>
                </c:pt>
                <c:pt idx="70">
                  <c:v>0</c:v>
                </c:pt>
                <c:pt idx="71">
                  <c:v>0</c:v>
                </c:pt>
                <c:pt idx="72">
                  <c:v>30</c:v>
                </c:pt>
                <c:pt idx="73">
                  <c:v>1</c:v>
                </c:pt>
                <c:pt idx="74">
                  <c:v>25</c:v>
                </c:pt>
                <c:pt idx="75">
                  <c:v>0</c:v>
                </c:pt>
                <c:pt idx="76">
                  <c:v>20</c:v>
                </c:pt>
                <c:pt idx="77">
                  <c:v>0</c:v>
                </c:pt>
                <c:pt idx="78">
                  <c:v>0</c:v>
                </c:pt>
                <c:pt idx="79">
                  <c:v>22</c:v>
                </c:pt>
                <c:pt idx="80">
                  <c:v>0</c:v>
                </c:pt>
                <c:pt idx="81">
                  <c:v>0</c:v>
                </c:pt>
                <c:pt idx="82">
                  <c:v>24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6</c:v>
                </c:pt>
              </c:numCache>
            </c:numRef>
          </c:xVal>
          <c:yVal>
            <c:numRef>
              <c:f>'Lower Limb Angioplasty'!$AF$2:$AF$91</c:f>
              <c:numCache>
                <c:formatCode>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0.34000000357627869</c:v>
                </c:pt>
                <c:pt idx="3">
                  <c:v>0.38999998569488525</c:v>
                </c:pt>
                <c:pt idx="4">
                  <c:v>0.5899999737739563</c:v>
                </c:pt>
                <c:pt idx="5">
                  <c:v>0.37000000476837158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0.62999999523162842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0.68999999761581421</c:v>
                </c:pt>
                <c:pt idx="18">
                  <c:v>0.75</c:v>
                </c:pt>
                <c:pt idx="19">
                  <c:v>0</c:v>
                </c:pt>
                <c:pt idx="20">
                  <c:v>0.61000001430511475</c:v>
                </c:pt>
                <c:pt idx="21">
                  <c:v>0</c:v>
                </c:pt>
                <c:pt idx="22">
                  <c:v>0.70999997854232788</c:v>
                </c:pt>
                <c:pt idx="23">
                  <c:v>0</c:v>
                </c:pt>
                <c:pt idx="24">
                  <c:v>0.60000002384185791</c:v>
                </c:pt>
                <c:pt idx="25">
                  <c:v>0</c:v>
                </c:pt>
                <c:pt idx="26">
                  <c:v>0.63999998569488525</c:v>
                </c:pt>
                <c:pt idx="27">
                  <c:v>0.63999998569488525</c:v>
                </c:pt>
                <c:pt idx="28">
                  <c:v>0</c:v>
                </c:pt>
                <c:pt idx="29">
                  <c:v>0.56999999284744263</c:v>
                </c:pt>
                <c:pt idx="30">
                  <c:v>0</c:v>
                </c:pt>
                <c:pt idx="31">
                  <c:v>0.33000001311302185</c:v>
                </c:pt>
                <c:pt idx="32">
                  <c:v>0.57999998331069946</c:v>
                </c:pt>
                <c:pt idx="33">
                  <c:v>0.60000002384185791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0.5899999737739563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0.72000002861022949</c:v>
                </c:pt>
                <c:pt idx="48">
                  <c:v>0.5899999737739563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0.6600000262260437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0.5899999737739563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0.67000001668930054</c:v>
                </c:pt>
                <c:pt idx="70">
                  <c:v>0</c:v>
                </c:pt>
                <c:pt idx="71">
                  <c:v>0</c:v>
                </c:pt>
                <c:pt idx="72">
                  <c:v>0.23999999463558197</c:v>
                </c:pt>
                <c:pt idx="73">
                  <c:v>0.80000001192092896</c:v>
                </c:pt>
                <c:pt idx="74">
                  <c:v>0.43000000715255737</c:v>
                </c:pt>
                <c:pt idx="75">
                  <c:v>0</c:v>
                </c:pt>
                <c:pt idx="76">
                  <c:v>0.5899999737739563</c:v>
                </c:pt>
                <c:pt idx="77">
                  <c:v>0</c:v>
                </c:pt>
                <c:pt idx="78">
                  <c:v>0</c:v>
                </c:pt>
                <c:pt idx="79">
                  <c:v>0.57999998331069946</c:v>
                </c:pt>
                <c:pt idx="80">
                  <c:v>0</c:v>
                </c:pt>
                <c:pt idx="81">
                  <c:v>0</c:v>
                </c:pt>
                <c:pt idx="82">
                  <c:v>0.4699999988079071</c:v>
                </c:pt>
                <c:pt idx="83">
                  <c:v>0.77999997138977051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0.70999997854232788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8C-45FF-9349-945CD7C6D071}"/>
            </c:ext>
          </c:extLst>
        </c:ser>
        <c:ser>
          <c:idx val="1"/>
          <c:order val="1"/>
          <c:tx>
            <c:strRef>
              <c:f>'Angioplasty Summary'!$B$30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'Angioplasty Summary'!$AE$2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'Angioplasty Summary'!$AD$2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noFill/>
              <a:ln w="34925" cap="flat" cmpd="sng" algn="ctr">
                <a:solidFill>
                  <a:srgbClr val="00B05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'Angioplasty Summary'!$AA$2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'Angioplasty Summary'!$AB$2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8C-45FF-9349-945CD7C6D071}"/>
            </c:ext>
          </c:extLst>
        </c:ser>
        <c:ser>
          <c:idx val="2"/>
          <c:order val="2"/>
          <c:tx>
            <c:strRef>
              <c:f>'Lower Limb Angioplasty'!$AG$1</c:f>
              <c:strCache>
                <c:ptCount val="1"/>
                <c:pt idx="0">
                  <c:v>Graph Value 2019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'Lower Limb Angioplasty'!$AE$2:$AE$91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28</c:v>
                </c:pt>
                <c:pt idx="3">
                  <c:v>26</c:v>
                </c:pt>
                <c:pt idx="4">
                  <c:v>16</c:v>
                </c:pt>
                <c:pt idx="5">
                  <c:v>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3</c:v>
                </c:pt>
                <c:pt idx="19">
                  <c:v>0</c:v>
                </c:pt>
                <c:pt idx="20">
                  <c:v>13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14</c:v>
                </c:pt>
                <c:pt idx="25">
                  <c:v>0</c:v>
                </c:pt>
                <c:pt idx="26">
                  <c:v>10</c:v>
                </c:pt>
                <c:pt idx="27">
                  <c:v>11</c:v>
                </c:pt>
                <c:pt idx="28">
                  <c:v>0</c:v>
                </c:pt>
                <c:pt idx="29">
                  <c:v>23</c:v>
                </c:pt>
                <c:pt idx="30">
                  <c:v>0</c:v>
                </c:pt>
                <c:pt idx="31">
                  <c:v>29</c:v>
                </c:pt>
                <c:pt idx="32">
                  <c:v>21</c:v>
                </c:pt>
                <c:pt idx="33">
                  <c:v>15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18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8</c:v>
                </c:pt>
                <c:pt idx="70">
                  <c:v>0</c:v>
                </c:pt>
                <c:pt idx="71">
                  <c:v>0</c:v>
                </c:pt>
                <c:pt idx="72">
                  <c:v>30</c:v>
                </c:pt>
                <c:pt idx="73">
                  <c:v>1</c:v>
                </c:pt>
                <c:pt idx="74">
                  <c:v>25</c:v>
                </c:pt>
                <c:pt idx="75">
                  <c:v>0</c:v>
                </c:pt>
                <c:pt idx="76">
                  <c:v>20</c:v>
                </c:pt>
                <c:pt idx="77">
                  <c:v>0</c:v>
                </c:pt>
                <c:pt idx="78">
                  <c:v>0</c:v>
                </c:pt>
                <c:pt idx="79">
                  <c:v>22</c:v>
                </c:pt>
                <c:pt idx="80">
                  <c:v>0</c:v>
                </c:pt>
                <c:pt idx="81">
                  <c:v>0</c:v>
                </c:pt>
                <c:pt idx="82">
                  <c:v>24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6</c:v>
                </c:pt>
              </c:numCache>
            </c:numRef>
          </c:xVal>
          <c:yVal>
            <c:numRef>
              <c:f>'Lower Limb Angioplasty'!$AG$2:$AG$91</c:f>
              <c:numCache>
                <c:formatCode>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0.23000000417232513</c:v>
                </c:pt>
                <c:pt idx="3">
                  <c:v>0.27000001072883606</c:v>
                </c:pt>
                <c:pt idx="4">
                  <c:v>0.75</c:v>
                </c:pt>
                <c:pt idx="5">
                  <c:v>0.37999999523162842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0.62999999523162842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0.55000001192092896</c:v>
                </c:pt>
                <c:pt idx="18">
                  <c:v>0.63999998569488525</c:v>
                </c:pt>
                <c:pt idx="19">
                  <c:v>0</c:v>
                </c:pt>
                <c:pt idx="20">
                  <c:v>0.5899999737739563</c:v>
                </c:pt>
                <c:pt idx="21">
                  <c:v>0</c:v>
                </c:pt>
                <c:pt idx="22">
                  <c:v>0.67000001668930054</c:v>
                </c:pt>
                <c:pt idx="23">
                  <c:v>0</c:v>
                </c:pt>
                <c:pt idx="24">
                  <c:v>0.51999998092651367</c:v>
                </c:pt>
                <c:pt idx="25">
                  <c:v>0</c:v>
                </c:pt>
                <c:pt idx="26">
                  <c:v>0.75</c:v>
                </c:pt>
                <c:pt idx="27">
                  <c:v>0.68000000715255737</c:v>
                </c:pt>
                <c:pt idx="28">
                  <c:v>0</c:v>
                </c:pt>
                <c:pt idx="29">
                  <c:v>0.55000001192092896</c:v>
                </c:pt>
                <c:pt idx="30">
                  <c:v>0</c:v>
                </c:pt>
                <c:pt idx="31">
                  <c:v>5.9999998658895493E-2</c:v>
                </c:pt>
                <c:pt idx="32">
                  <c:v>0.46000000834465027</c:v>
                </c:pt>
                <c:pt idx="33">
                  <c:v>0.54000002145767212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0.56999999284744263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0.5899999737739563</c:v>
                </c:pt>
                <c:pt idx="48">
                  <c:v>0.55000001192092896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0.25999999046325684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0.61000001430511475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0.60000002384185791</c:v>
                </c:pt>
                <c:pt idx="70">
                  <c:v>0</c:v>
                </c:pt>
                <c:pt idx="71">
                  <c:v>0</c:v>
                </c:pt>
                <c:pt idx="72">
                  <c:v>0.23999999463558197</c:v>
                </c:pt>
                <c:pt idx="73">
                  <c:v>0.75</c:v>
                </c:pt>
                <c:pt idx="74">
                  <c:v>0.28999999165534973</c:v>
                </c:pt>
                <c:pt idx="75">
                  <c:v>0</c:v>
                </c:pt>
                <c:pt idx="76">
                  <c:v>0.41999998688697815</c:v>
                </c:pt>
                <c:pt idx="77">
                  <c:v>0</c:v>
                </c:pt>
                <c:pt idx="78">
                  <c:v>0</c:v>
                </c:pt>
                <c:pt idx="79">
                  <c:v>0.43000000715255737</c:v>
                </c:pt>
                <c:pt idx="80">
                  <c:v>0</c:v>
                </c:pt>
                <c:pt idx="81">
                  <c:v>0</c:v>
                </c:pt>
                <c:pt idx="82">
                  <c:v>0.51999998092651367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0.68000000715255737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12-475B-856E-512B8835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Angioplasty'!$G$1</c:f>
              <c:strCache>
                <c:ptCount val="1"/>
                <c:pt idx="0">
                  <c:v>Adjusted in-hospital mortality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'Lower Limb Angioplasty'!$C$2:$C$91</c:f>
              <c:numCache>
                <c:formatCode>0</c:formatCode>
                <c:ptCount val="90"/>
                <c:pt idx="0">
                  <c:v>20</c:v>
                </c:pt>
                <c:pt idx="1">
                  <c:v>19</c:v>
                </c:pt>
                <c:pt idx="2">
                  <c:v>512</c:v>
                </c:pt>
                <c:pt idx="3">
                  <c:v>540</c:v>
                </c:pt>
                <c:pt idx="4">
                  <c:v>433</c:v>
                </c:pt>
                <c:pt idx="5">
                  <c:v>420</c:v>
                </c:pt>
                <c:pt idx="6">
                  <c:v>5</c:v>
                </c:pt>
                <c:pt idx="7">
                  <c:v>212</c:v>
                </c:pt>
                <c:pt idx="8">
                  <c:v>38</c:v>
                </c:pt>
                <c:pt idx="9">
                  <c:v>0</c:v>
                </c:pt>
                <c:pt idx="10">
                  <c:v>434</c:v>
                </c:pt>
                <c:pt idx="11">
                  <c:v>73</c:v>
                </c:pt>
                <c:pt idx="12">
                  <c:v>276</c:v>
                </c:pt>
                <c:pt idx="13">
                  <c:v>99</c:v>
                </c:pt>
                <c:pt idx="14">
                  <c:v>0</c:v>
                </c:pt>
                <c:pt idx="15">
                  <c:v>0</c:v>
                </c:pt>
                <c:pt idx="16">
                  <c:v>37</c:v>
                </c:pt>
                <c:pt idx="17">
                  <c:v>236</c:v>
                </c:pt>
                <c:pt idx="18">
                  <c:v>1003</c:v>
                </c:pt>
                <c:pt idx="19">
                  <c:v>280</c:v>
                </c:pt>
                <c:pt idx="20">
                  <c:v>470</c:v>
                </c:pt>
                <c:pt idx="21">
                  <c:v>215</c:v>
                </c:pt>
                <c:pt idx="22">
                  <c:v>140</c:v>
                </c:pt>
                <c:pt idx="23">
                  <c:v>23</c:v>
                </c:pt>
                <c:pt idx="24">
                  <c:v>335</c:v>
                </c:pt>
                <c:pt idx="25">
                  <c:v>92</c:v>
                </c:pt>
                <c:pt idx="26">
                  <c:v>937</c:v>
                </c:pt>
                <c:pt idx="27">
                  <c:v>412</c:v>
                </c:pt>
                <c:pt idx="28">
                  <c:v>223</c:v>
                </c:pt>
                <c:pt idx="29">
                  <c:v>1103</c:v>
                </c:pt>
                <c:pt idx="30">
                  <c:v>78</c:v>
                </c:pt>
                <c:pt idx="31">
                  <c:v>243</c:v>
                </c:pt>
                <c:pt idx="32">
                  <c:v>478</c:v>
                </c:pt>
                <c:pt idx="33">
                  <c:v>638</c:v>
                </c:pt>
                <c:pt idx="34">
                  <c:v>16</c:v>
                </c:pt>
                <c:pt idx="35">
                  <c:v>328</c:v>
                </c:pt>
                <c:pt idx="36">
                  <c:v>153</c:v>
                </c:pt>
                <c:pt idx="37">
                  <c:v>62</c:v>
                </c:pt>
                <c:pt idx="38">
                  <c:v>615</c:v>
                </c:pt>
                <c:pt idx="39">
                  <c:v>0</c:v>
                </c:pt>
                <c:pt idx="40">
                  <c:v>0</c:v>
                </c:pt>
                <c:pt idx="41">
                  <c:v>108</c:v>
                </c:pt>
                <c:pt idx="42">
                  <c:v>60</c:v>
                </c:pt>
                <c:pt idx="43">
                  <c:v>30</c:v>
                </c:pt>
                <c:pt idx="44">
                  <c:v>0</c:v>
                </c:pt>
                <c:pt idx="45">
                  <c:v>1</c:v>
                </c:pt>
                <c:pt idx="46">
                  <c:v>8</c:v>
                </c:pt>
                <c:pt idx="47">
                  <c:v>537</c:v>
                </c:pt>
                <c:pt idx="48">
                  <c:v>589</c:v>
                </c:pt>
                <c:pt idx="49">
                  <c:v>1</c:v>
                </c:pt>
                <c:pt idx="50">
                  <c:v>12</c:v>
                </c:pt>
                <c:pt idx="51">
                  <c:v>0</c:v>
                </c:pt>
                <c:pt idx="52">
                  <c:v>197</c:v>
                </c:pt>
                <c:pt idx="53">
                  <c:v>338</c:v>
                </c:pt>
                <c:pt idx="54">
                  <c:v>0</c:v>
                </c:pt>
                <c:pt idx="55">
                  <c:v>0</c:v>
                </c:pt>
                <c:pt idx="56">
                  <c:v>351</c:v>
                </c:pt>
                <c:pt idx="57">
                  <c:v>23</c:v>
                </c:pt>
                <c:pt idx="58">
                  <c:v>2</c:v>
                </c:pt>
                <c:pt idx="59">
                  <c:v>176</c:v>
                </c:pt>
                <c:pt idx="60">
                  <c:v>299</c:v>
                </c:pt>
                <c:pt idx="61">
                  <c:v>7</c:v>
                </c:pt>
                <c:pt idx="62">
                  <c:v>114</c:v>
                </c:pt>
                <c:pt idx="63">
                  <c:v>72</c:v>
                </c:pt>
                <c:pt idx="64">
                  <c:v>496</c:v>
                </c:pt>
                <c:pt idx="65">
                  <c:v>680</c:v>
                </c:pt>
                <c:pt idx="66">
                  <c:v>0</c:v>
                </c:pt>
                <c:pt idx="67">
                  <c:v>73</c:v>
                </c:pt>
                <c:pt idx="68">
                  <c:v>34</c:v>
                </c:pt>
                <c:pt idx="69">
                  <c:v>562</c:v>
                </c:pt>
                <c:pt idx="70">
                  <c:v>23</c:v>
                </c:pt>
                <c:pt idx="71">
                  <c:v>104</c:v>
                </c:pt>
                <c:pt idx="72">
                  <c:v>348</c:v>
                </c:pt>
                <c:pt idx="73">
                  <c:v>629</c:v>
                </c:pt>
                <c:pt idx="74">
                  <c:v>312</c:v>
                </c:pt>
                <c:pt idx="75">
                  <c:v>34</c:v>
                </c:pt>
                <c:pt idx="76">
                  <c:v>767</c:v>
                </c:pt>
                <c:pt idx="77">
                  <c:v>138</c:v>
                </c:pt>
                <c:pt idx="78">
                  <c:v>0</c:v>
                </c:pt>
                <c:pt idx="79">
                  <c:v>1107</c:v>
                </c:pt>
                <c:pt idx="80">
                  <c:v>86</c:v>
                </c:pt>
                <c:pt idx="81">
                  <c:v>2</c:v>
                </c:pt>
                <c:pt idx="82">
                  <c:v>891</c:v>
                </c:pt>
                <c:pt idx="83">
                  <c:v>223</c:v>
                </c:pt>
                <c:pt idx="84">
                  <c:v>47</c:v>
                </c:pt>
                <c:pt idx="85">
                  <c:v>144</c:v>
                </c:pt>
                <c:pt idx="86">
                  <c:v>0</c:v>
                </c:pt>
                <c:pt idx="87">
                  <c:v>411</c:v>
                </c:pt>
                <c:pt idx="88">
                  <c:v>298</c:v>
                </c:pt>
                <c:pt idx="89">
                  <c:v>1060</c:v>
                </c:pt>
              </c:numCache>
            </c:numRef>
          </c:xVal>
          <c:yVal>
            <c:numRef>
              <c:f>'Lower Limb Angioplasty'!$G$2:$G$91</c:f>
              <c:numCache>
                <c:formatCode>0.0%</c:formatCode>
                <c:ptCount val="90"/>
                <c:pt idx="0">
                  <c:v>0</c:v>
                </c:pt>
                <c:pt idx="1">
                  <c:v>5.1585078239440918E-2</c:v>
                </c:pt>
                <c:pt idx="2">
                  <c:v>2.5506595149636269E-2</c:v>
                </c:pt>
                <c:pt idx="3">
                  <c:v>1.5910197049379349E-2</c:v>
                </c:pt>
                <c:pt idx="4">
                  <c:v>1.1549730785191059E-2</c:v>
                </c:pt>
                <c:pt idx="5">
                  <c:v>1.1468547396361828E-2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1.6044763848185539E-2</c:v>
                </c:pt>
                <c:pt idx="11">
                  <c:v>5.8647502213716507E-2</c:v>
                </c:pt>
                <c:pt idx="12">
                  <c:v>3.2477408647537231E-2</c:v>
                </c:pt>
                <c:pt idx="13">
                  <c:v>1.1857552453875542E-2</c:v>
                </c:pt>
                <c:pt idx="16">
                  <c:v>2.6440398767590523E-2</c:v>
                </c:pt>
                <c:pt idx="17">
                  <c:v>1.6897151246666908E-2</c:v>
                </c:pt>
                <c:pt idx="18">
                  <c:v>1.8515856936573982E-2</c:v>
                </c:pt>
                <c:pt idx="19">
                  <c:v>0</c:v>
                </c:pt>
                <c:pt idx="20">
                  <c:v>1.4829393476247787E-2</c:v>
                </c:pt>
                <c:pt idx="21">
                  <c:v>3.0723534524440765E-2</c:v>
                </c:pt>
                <c:pt idx="22">
                  <c:v>1.6528457403182983E-2</c:v>
                </c:pt>
                <c:pt idx="23">
                  <c:v>0</c:v>
                </c:pt>
                <c:pt idx="24">
                  <c:v>1.0842799209058285E-2</c:v>
                </c:pt>
                <c:pt idx="25">
                  <c:v>2.9033772647380829E-2</c:v>
                </c:pt>
                <c:pt idx="26">
                  <c:v>1.3148590922355652E-2</c:v>
                </c:pt>
                <c:pt idx="27">
                  <c:v>6.1244084499776363E-3</c:v>
                </c:pt>
                <c:pt idx="28">
                  <c:v>1.5775447711348534E-2</c:v>
                </c:pt>
                <c:pt idx="29">
                  <c:v>2.117362804710865E-2</c:v>
                </c:pt>
                <c:pt idx="30">
                  <c:v>0</c:v>
                </c:pt>
                <c:pt idx="31">
                  <c:v>7.3775132186710835E-3</c:v>
                </c:pt>
                <c:pt idx="32">
                  <c:v>2.6443244889378548E-2</c:v>
                </c:pt>
                <c:pt idx="33">
                  <c:v>2.8506731614470482E-2</c:v>
                </c:pt>
                <c:pt idx="34">
                  <c:v>3.7106428295373917E-2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2.4160344153642654E-2</c:v>
                </c:pt>
                <c:pt idx="41">
                  <c:v>1.7913196235895157E-2</c:v>
                </c:pt>
                <c:pt idx="42">
                  <c:v>1.7712939530611038E-2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8.3117838948965073E-3</c:v>
                </c:pt>
                <c:pt idx="48">
                  <c:v>1.8135169520974159E-2</c:v>
                </c:pt>
                <c:pt idx="49">
                  <c:v>0</c:v>
                </c:pt>
                <c:pt idx="50">
                  <c:v>0</c:v>
                </c:pt>
                <c:pt idx="52">
                  <c:v>1.4422264881432056E-2</c:v>
                </c:pt>
                <c:pt idx="53">
                  <c:v>2.5999999999999999E-2</c:v>
                </c:pt>
                <c:pt idx="56">
                  <c:v>2.3911261931061745E-2</c:v>
                </c:pt>
                <c:pt idx="57">
                  <c:v>0.11575838923454285</c:v>
                </c:pt>
                <c:pt idx="58">
                  <c:v>0</c:v>
                </c:pt>
                <c:pt idx="59">
                  <c:v>3.5491030663251877E-2</c:v>
                </c:pt>
                <c:pt idx="60">
                  <c:v>1.5508508309721947E-2</c:v>
                </c:pt>
                <c:pt idx="61">
                  <c:v>0</c:v>
                </c:pt>
                <c:pt idx="62">
                  <c:v>1.6796715557575226E-2</c:v>
                </c:pt>
                <c:pt idx="63">
                  <c:v>1.5565472654998302E-2</c:v>
                </c:pt>
                <c:pt idx="64">
                  <c:v>2.0175890997052193E-2</c:v>
                </c:pt>
                <c:pt idx="65">
                  <c:v>2.5021977722644806E-2</c:v>
                </c:pt>
                <c:pt idx="67">
                  <c:v>1.2268244288861752E-2</c:v>
                </c:pt>
                <c:pt idx="68">
                  <c:v>0</c:v>
                </c:pt>
                <c:pt idx="69">
                  <c:v>1.0388175025582314E-2</c:v>
                </c:pt>
                <c:pt idx="70">
                  <c:v>0</c:v>
                </c:pt>
                <c:pt idx="71">
                  <c:v>3.3686000853776932E-2</c:v>
                </c:pt>
                <c:pt idx="72">
                  <c:v>2.2154530510306358E-2</c:v>
                </c:pt>
                <c:pt idx="73">
                  <c:v>3.2351456582546234E-2</c:v>
                </c:pt>
                <c:pt idx="74">
                  <c:v>7.6896287500858307E-3</c:v>
                </c:pt>
                <c:pt idx="75">
                  <c:v>0</c:v>
                </c:pt>
                <c:pt idx="76">
                  <c:v>2.1768487989902496E-2</c:v>
                </c:pt>
                <c:pt idx="77">
                  <c:v>8.4778936579823494E-3</c:v>
                </c:pt>
                <c:pt idx="79">
                  <c:v>1.303096953779459E-2</c:v>
                </c:pt>
                <c:pt idx="80">
                  <c:v>1.1161224916577339E-2</c:v>
                </c:pt>
                <c:pt idx="81">
                  <c:v>0</c:v>
                </c:pt>
                <c:pt idx="82">
                  <c:v>1.4129108749330044E-2</c:v>
                </c:pt>
                <c:pt idx="83">
                  <c:v>4.7223819419741631E-3</c:v>
                </c:pt>
                <c:pt idx="84">
                  <c:v>0</c:v>
                </c:pt>
                <c:pt idx="85">
                  <c:v>1.5937553718686104E-2</c:v>
                </c:pt>
                <c:pt idx="87">
                  <c:v>2.0610792562365532E-2</c:v>
                </c:pt>
                <c:pt idx="88">
                  <c:v>1.9103171303868294E-2</c:v>
                </c:pt>
                <c:pt idx="89">
                  <c:v>1.501829456537962E-2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E3-401B-82A3-4464EDE6AA65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'Angio Funnel'!$B$2:$B$68</c:f>
              <c:numCache>
                <c:formatCode>General</c:formatCode>
                <c:ptCount val="67"/>
                <c:pt idx="0">
                  <c:v>0</c:v>
                </c:pt>
                <c:pt idx="1">
                  <c:v>12</c:v>
                </c:pt>
                <c:pt idx="2">
                  <c:v>16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30</c:v>
                </c:pt>
                <c:pt idx="7">
                  <c:v>34</c:v>
                </c:pt>
                <c:pt idx="8">
                  <c:v>37</c:v>
                </c:pt>
                <c:pt idx="9">
                  <c:v>38</c:v>
                </c:pt>
                <c:pt idx="10">
                  <c:v>47</c:v>
                </c:pt>
                <c:pt idx="11">
                  <c:v>60</c:v>
                </c:pt>
                <c:pt idx="12">
                  <c:v>62</c:v>
                </c:pt>
                <c:pt idx="13">
                  <c:v>72</c:v>
                </c:pt>
                <c:pt idx="14">
                  <c:v>73</c:v>
                </c:pt>
                <c:pt idx="15">
                  <c:v>78</c:v>
                </c:pt>
                <c:pt idx="16">
                  <c:v>86</c:v>
                </c:pt>
                <c:pt idx="17">
                  <c:v>92</c:v>
                </c:pt>
                <c:pt idx="18">
                  <c:v>99</c:v>
                </c:pt>
                <c:pt idx="19">
                  <c:v>104</c:v>
                </c:pt>
                <c:pt idx="20">
                  <c:v>108</c:v>
                </c:pt>
                <c:pt idx="21">
                  <c:v>114</c:v>
                </c:pt>
                <c:pt idx="22">
                  <c:v>138</c:v>
                </c:pt>
                <c:pt idx="23">
                  <c:v>140</c:v>
                </c:pt>
                <c:pt idx="24">
                  <c:v>144</c:v>
                </c:pt>
                <c:pt idx="25">
                  <c:v>153</c:v>
                </c:pt>
                <c:pt idx="26">
                  <c:v>176</c:v>
                </c:pt>
                <c:pt idx="27">
                  <c:v>197</c:v>
                </c:pt>
                <c:pt idx="28">
                  <c:v>212</c:v>
                </c:pt>
                <c:pt idx="29">
                  <c:v>215</c:v>
                </c:pt>
                <c:pt idx="30">
                  <c:v>223</c:v>
                </c:pt>
                <c:pt idx="31">
                  <c:v>236</c:v>
                </c:pt>
                <c:pt idx="32">
                  <c:v>243</c:v>
                </c:pt>
                <c:pt idx="33">
                  <c:v>276</c:v>
                </c:pt>
                <c:pt idx="34">
                  <c:v>280</c:v>
                </c:pt>
                <c:pt idx="35">
                  <c:v>298</c:v>
                </c:pt>
                <c:pt idx="36">
                  <c:v>299</c:v>
                </c:pt>
                <c:pt idx="37">
                  <c:v>312</c:v>
                </c:pt>
                <c:pt idx="38">
                  <c:v>328</c:v>
                </c:pt>
                <c:pt idx="39">
                  <c:v>335</c:v>
                </c:pt>
                <c:pt idx="40">
                  <c:v>338</c:v>
                </c:pt>
                <c:pt idx="41">
                  <c:v>348</c:v>
                </c:pt>
                <c:pt idx="42">
                  <c:v>351</c:v>
                </c:pt>
                <c:pt idx="43">
                  <c:v>411</c:v>
                </c:pt>
                <c:pt idx="44">
                  <c:v>412</c:v>
                </c:pt>
                <c:pt idx="45">
                  <c:v>420</c:v>
                </c:pt>
                <c:pt idx="46">
                  <c:v>433</c:v>
                </c:pt>
                <c:pt idx="47">
                  <c:v>434</c:v>
                </c:pt>
                <c:pt idx="48">
                  <c:v>470</c:v>
                </c:pt>
                <c:pt idx="49">
                  <c:v>478</c:v>
                </c:pt>
                <c:pt idx="50">
                  <c:v>496</c:v>
                </c:pt>
                <c:pt idx="51">
                  <c:v>512</c:v>
                </c:pt>
                <c:pt idx="52">
                  <c:v>537</c:v>
                </c:pt>
                <c:pt idx="53">
                  <c:v>540</c:v>
                </c:pt>
                <c:pt idx="54">
                  <c:v>562</c:v>
                </c:pt>
                <c:pt idx="55">
                  <c:v>589</c:v>
                </c:pt>
                <c:pt idx="56">
                  <c:v>615</c:v>
                </c:pt>
                <c:pt idx="57">
                  <c:v>629</c:v>
                </c:pt>
                <c:pt idx="58">
                  <c:v>638</c:v>
                </c:pt>
                <c:pt idx="59">
                  <c:v>680</c:v>
                </c:pt>
                <c:pt idx="60">
                  <c:v>767</c:v>
                </c:pt>
                <c:pt idx="61">
                  <c:v>891</c:v>
                </c:pt>
                <c:pt idx="62">
                  <c:v>937</c:v>
                </c:pt>
                <c:pt idx="63">
                  <c:v>1003</c:v>
                </c:pt>
                <c:pt idx="64">
                  <c:v>1060</c:v>
                </c:pt>
                <c:pt idx="65">
                  <c:v>1103</c:v>
                </c:pt>
                <c:pt idx="66">
                  <c:v>1107</c:v>
                </c:pt>
              </c:numCache>
            </c:numRef>
          </c:xVal>
          <c:yVal>
            <c:numRef>
              <c:f>'Angio Funnel'!$E$2:$E$68</c:f>
              <c:numCache>
                <c:formatCode>0.0%</c:formatCode>
                <c:ptCount val="67"/>
                <c:pt idx="0">
                  <c:v>1.7999999999999999E-2</c:v>
                </c:pt>
                <c:pt idx="1">
                  <c:v>1.7999999999999999E-2</c:v>
                </c:pt>
                <c:pt idx="2">
                  <c:v>1.7999999999999999E-2</c:v>
                </c:pt>
                <c:pt idx="3">
                  <c:v>1.7999999999999999E-2</c:v>
                </c:pt>
                <c:pt idx="4">
                  <c:v>1.7999999999999999E-2</c:v>
                </c:pt>
                <c:pt idx="5">
                  <c:v>1.7999999999999999E-2</c:v>
                </c:pt>
                <c:pt idx="6">
                  <c:v>1.7999999999999999E-2</c:v>
                </c:pt>
                <c:pt idx="7">
                  <c:v>1.7999999999999999E-2</c:v>
                </c:pt>
                <c:pt idx="8">
                  <c:v>1.7999999999999999E-2</c:v>
                </c:pt>
                <c:pt idx="9">
                  <c:v>1.7999999999999999E-2</c:v>
                </c:pt>
                <c:pt idx="10">
                  <c:v>1.7999999999999999E-2</c:v>
                </c:pt>
                <c:pt idx="11">
                  <c:v>1.7999999999999999E-2</c:v>
                </c:pt>
                <c:pt idx="12">
                  <c:v>1.7999999999999999E-2</c:v>
                </c:pt>
                <c:pt idx="13">
                  <c:v>1.7999999999999999E-2</c:v>
                </c:pt>
                <c:pt idx="14">
                  <c:v>1.7999999999999999E-2</c:v>
                </c:pt>
                <c:pt idx="15">
                  <c:v>1.7999999999999999E-2</c:v>
                </c:pt>
                <c:pt idx="16">
                  <c:v>1.7999999999999999E-2</c:v>
                </c:pt>
                <c:pt idx="17">
                  <c:v>1.7999999999999999E-2</c:v>
                </c:pt>
                <c:pt idx="18">
                  <c:v>1.7999999999999999E-2</c:v>
                </c:pt>
                <c:pt idx="19">
                  <c:v>1.7999999999999999E-2</c:v>
                </c:pt>
                <c:pt idx="20">
                  <c:v>1.7999999999999999E-2</c:v>
                </c:pt>
                <c:pt idx="21">
                  <c:v>1.7999999999999999E-2</c:v>
                </c:pt>
                <c:pt idx="22">
                  <c:v>1.7999999999999999E-2</c:v>
                </c:pt>
                <c:pt idx="23">
                  <c:v>1.7999999999999999E-2</c:v>
                </c:pt>
                <c:pt idx="24">
                  <c:v>1.7999999999999999E-2</c:v>
                </c:pt>
                <c:pt idx="25">
                  <c:v>1.7999999999999999E-2</c:v>
                </c:pt>
                <c:pt idx="26">
                  <c:v>1.7999999999999999E-2</c:v>
                </c:pt>
                <c:pt idx="27">
                  <c:v>1.7999999999999999E-2</c:v>
                </c:pt>
                <c:pt idx="28">
                  <c:v>1.7999999999999999E-2</c:v>
                </c:pt>
                <c:pt idx="29">
                  <c:v>1.7999999999999999E-2</c:v>
                </c:pt>
                <c:pt idx="30">
                  <c:v>1.7999999999999999E-2</c:v>
                </c:pt>
                <c:pt idx="31">
                  <c:v>1.7999999999999999E-2</c:v>
                </c:pt>
                <c:pt idx="32">
                  <c:v>1.7999999999999999E-2</c:v>
                </c:pt>
                <c:pt idx="33">
                  <c:v>1.7999999999999999E-2</c:v>
                </c:pt>
                <c:pt idx="34">
                  <c:v>1.7999999999999999E-2</c:v>
                </c:pt>
                <c:pt idx="35">
                  <c:v>1.7999999999999999E-2</c:v>
                </c:pt>
                <c:pt idx="36">
                  <c:v>1.7999999999999999E-2</c:v>
                </c:pt>
                <c:pt idx="37">
                  <c:v>1.7999999999999999E-2</c:v>
                </c:pt>
                <c:pt idx="38">
                  <c:v>1.7999999999999999E-2</c:v>
                </c:pt>
                <c:pt idx="39">
                  <c:v>1.7999999999999999E-2</c:v>
                </c:pt>
                <c:pt idx="40">
                  <c:v>1.7999999999999999E-2</c:v>
                </c:pt>
                <c:pt idx="41">
                  <c:v>1.7999999999999999E-2</c:v>
                </c:pt>
                <c:pt idx="42">
                  <c:v>1.7999999999999999E-2</c:v>
                </c:pt>
                <c:pt idx="43">
                  <c:v>1.7999999999999999E-2</c:v>
                </c:pt>
                <c:pt idx="44">
                  <c:v>1.7999999999999999E-2</c:v>
                </c:pt>
                <c:pt idx="45">
                  <c:v>1.7999999999999999E-2</c:v>
                </c:pt>
                <c:pt idx="46">
                  <c:v>1.7999999999999999E-2</c:v>
                </c:pt>
                <c:pt idx="47">
                  <c:v>1.7999999999999999E-2</c:v>
                </c:pt>
                <c:pt idx="48">
                  <c:v>1.7999999999999999E-2</c:v>
                </c:pt>
                <c:pt idx="49">
                  <c:v>1.7999999999999999E-2</c:v>
                </c:pt>
                <c:pt idx="50">
                  <c:v>1.7999999999999999E-2</c:v>
                </c:pt>
                <c:pt idx="51">
                  <c:v>1.7999999999999999E-2</c:v>
                </c:pt>
                <c:pt idx="52">
                  <c:v>1.7999999999999999E-2</c:v>
                </c:pt>
                <c:pt idx="53">
                  <c:v>1.7999999999999999E-2</c:v>
                </c:pt>
                <c:pt idx="54">
                  <c:v>1.7999999999999999E-2</c:v>
                </c:pt>
                <c:pt idx="55">
                  <c:v>1.7999999999999999E-2</c:v>
                </c:pt>
                <c:pt idx="56">
                  <c:v>1.7999999999999999E-2</c:v>
                </c:pt>
                <c:pt idx="57">
                  <c:v>1.7999999999999999E-2</c:v>
                </c:pt>
                <c:pt idx="58">
                  <c:v>1.7999999999999999E-2</c:v>
                </c:pt>
                <c:pt idx="59">
                  <c:v>1.7999999999999999E-2</c:v>
                </c:pt>
                <c:pt idx="60">
                  <c:v>1.7999999999999999E-2</c:v>
                </c:pt>
                <c:pt idx="61">
                  <c:v>1.7999999999999999E-2</c:v>
                </c:pt>
                <c:pt idx="62">
                  <c:v>1.7999999999999999E-2</c:v>
                </c:pt>
                <c:pt idx="63">
                  <c:v>1.7999999999999999E-2</c:v>
                </c:pt>
                <c:pt idx="64">
                  <c:v>1.7999999999999999E-2</c:v>
                </c:pt>
                <c:pt idx="65">
                  <c:v>1.7999999999999999E-2</c:v>
                </c:pt>
                <c:pt idx="66">
                  <c:v>1.7999999999999999E-2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E3-401B-82A3-4464EDE6AA65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'Angio Funnel'!$B$2:$B$68</c:f>
              <c:numCache>
                <c:formatCode>General</c:formatCode>
                <c:ptCount val="67"/>
                <c:pt idx="0">
                  <c:v>0</c:v>
                </c:pt>
                <c:pt idx="1">
                  <c:v>12</c:v>
                </c:pt>
                <c:pt idx="2">
                  <c:v>16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30</c:v>
                </c:pt>
                <c:pt idx="7">
                  <c:v>34</c:v>
                </c:pt>
                <c:pt idx="8">
                  <c:v>37</c:v>
                </c:pt>
                <c:pt idx="9">
                  <c:v>38</c:v>
                </c:pt>
                <c:pt idx="10">
                  <c:v>47</c:v>
                </c:pt>
                <c:pt idx="11">
                  <c:v>60</c:v>
                </c:pt>
                <c:pt idx="12">
                  <c:v>62</c:v>
                </c:pt>
                <c:pt idx="13">
                  <c:v>72</c:v>
                </c:pt>
                <c:pt idx="14">
                  <c:v>73</c:v>
                </c:pt>
                <c:pt idx="15">
                  <c:v>78</c:v>
                </c:pt>
                <c:pt idx="16">
                  <c:v>86</c:v>
                </c:pt>
                <c:pt idx="17">
                  <c:v>92</c:v>
                </c:pt>
                <c:pt idx="18">
                  <c:v>99</c:v>
                </c:pt>
                <c:pt idx="19">
                  <c:v>104</c:v>
                </c:pt>
                <c:pt idx="20">
                  <c:v>108</c:v>
                </c:pt>
                <c:pt idx="21">
                  <c:v>114</c:v>
                </c:pt>
                <c:pt idx="22">
                  <c:v>138</c:v>
                </c:pt>
                <c:pt idx="23">
                  <c:v>140</c:v>
                </c:pt>
                <c:pt idx="24">
                  <c:v>144</c:v>
                </c:pt>
                <c:pt idx="25">
                  <c:v>153</c:v>
                </c:pt>
                <c:pt idx="26">
                  <c:v>176</c:v>
                </c:pt>
                <c:pt idx="27">
                  <c:v>197</c:v>
                </c:pt>
                <c:pt idx="28">
                  <c:v>212</c:v>
                </c:pt>
                <c:pt idx="29">
                  <c:v>215</c:v>
                </c:pt>
                <c:pt idx="30">
                  <c:v>223</c:v>
                </c:pt>
                <c:pt idx="31">
                  <c:v>236</c:v>
                </c:pt>
                <c:pt idx="32">
                  <c:v>243</c:v>
                </c:pt>
                <c:pt idx="33">
                  <c:v>276</c:v>
                </c:pt>
                <c:pt idx="34">
                  <c:v>280</c:v>
                </c:pt>
                <c:pt idx="35">
                  <c:v>298</c:v>
                </c:pt>
                <c:pt idx="36">
                  <c:v>299</c:v>
                </c:pt>
                <c:pt idx="37">
                  <c:v>312</c:v>
                </c:pt>
                <c:pt idx="38">
                  <c:v>328</c:v>
                </c:pt>
                <c:pt idx="39">
                  <c:v>335</c:v>
                </c:pt>
                <c:pt idx="40">
                  <c:v>338</c:v>
                </c:pt>
                <c:pt idx="41">
                  <c:v>348</c:v>
                </c:pt>
                <c:pt idx="42">
                  <c:v>351</c:v>
                </c:pt>
                <c:pt idx="43">
                  <c:v>411</c:v>
                </c:pt>
                <c:pt idx="44">
                  <c:v>412</c:v>
                </c:pt>
                <c:pt idx="45">
                  <c:v>420</c:v>
                </c:pt>
                <c:pt idx="46">
                  <c:v>433</c:v>
                </c:pt>
                <c:pt idx="47">
                  <c:v>434</c:v>
                </c:pt>
                <c:pt idx="48">
                  <c:v>470</c:v>
                </c:pt>
                <c:pt idx="49">
                  <c:v>478</c:v>
                </c:pt>
                <c:pt idx="50">
                  <c:v>496</c:v>
                </c:pt>
                <c:pt idx="51">
                  <c:v>512</c:v>
                </c:pt>
                <c:pt idx="52">
                  <c:v>537</c:v>
                </c:pt>
                <c:pt idx="53">
                  <c:v>540</c:v>
                </c:pt>
                <c:pt idx="54">
                  <c:v>562</c:v>
                </c:pt>
                <c:pt idx="55">
                  <c:v>589</c:v>
                </c:pt>
                <c:pt idx="56">
                  <c:v>615</c:v>
                </c:pt>
                <c:pt idx="57">
                  <c:v>629</c:v>
                </c:pt>
                <c:pt idx="58">
                  <c:v>638</c:v>
                </c:pt>
                <c:pt idx="59">
                  <c:v>680</c:v>
                </c:pt>
                <c:pt idx="60">
                  <c:v>767</c:v>
                </c:pt>
                <c:pt idx="61">
                  <c:v>891</c:v>
                </c:pt>
                <c:pt idx="62">
                  <c:v>937</c:v>
                </c:pt>
                <c:pt idx="63">
                  <c:v>1003</c:v>
                </c:pt>
                <c:pt idx="64">
                  <c:v>1060</c:v>
                </c:pt>
                <c:pt idx="65">
                  <c:v>1103</c:v>
                </c:pt>
                <c:pt idx="66">
                  <c:v>1107</c:v>
                </c:pt>
              </c:numCache>
            </c:numRef>
          </c:xVal>
          <c:yVal>
            <c:numRef>
              <c:f>'Angio Funnel'!$C$2:$C$68</c:f>
              <c:numCache>
                <c:formatCode>0.00%</c:formatCode>
                <c:ptCount val="67"/>
                <c:pt idx="0">
                  <c:v>0.5</c:v>
                </c:pt>
                <c:pt idx="1">
                  <c:v>0.25907307863235474</c:v>
                </c:pt>
                <c:pt idx="2">
                  <c:v>0.22923512756824493</c:v>
                </c:pt>
                <c:pt idx="3">
                  <c:v>0.20192557573318481</c:v>
                </c:pt>
                <c:pt idx="4">
                  <c:v>0.19370271265506744</c:v>
                </c:pt>
                <c:pt idx="5">
                  <c:v>0.17201524972915649</c:v>
                </c:pt>
                <c:pt idx="6">
                  <c:v>0.15110830962657928</c:v>
                </c:pt>
                <c:pt idx="7">
                  <c:v>0.13994614779949188</c:v>
                </c:pt>
                <c:pt idx="8">
                  <c:v>0.13148538768291473</c:v>
                </c:pt>
                <c:pt idx="9">
                  <c:v>0.12877039611339569</c:v>
                </c:pt>
                <c:pt idx="10">
                  <c:v>0.11455077677965164</c:v>
                </c:pt>
                <c:pt idx="11">
                  <c:v>9.8736964166164398E-2</c:v>
                </c:pt>
                <c:pt idx="12">
                  <c:v>9.6227355301380157E-2</c:v>
                </c:pt>
                <c:pt idx="13">
                  <c:v>9.1096408665180206E-2</c:v>
                </c:pt>
                <c:pt idx="14">
                  <c:v>9.0473145246505737E-2</c:v>
                </c:pt>
                <c:pt idx="15">
                  <c:v>8.7018102407455444E-2</c:v>
                </c:pt>
                <c:pt idx="16">
                  <c:v>8.1137843430042267E-2</c:v>
                </c:pt>
                <c:pt idx="17">
                  <c:v>7.9679675400257111E-2</c:v>
                </c:pt>
                <c:pt idx="18">
                  <c:v>7.7307134866714478E-2</c:v>
                </c:pt>
                <c:pt idx="19">
                  <c:v>7.5103811919689178E-2</c:v>
                </c:pt>
                <c:pt idx="20">
                  <c:v>7.322576642036438E-2</c:v>
                </c:pt>
                <c:pt idx="21">
                  <c:v>7.0982091128826141E-2</c:v>
                </c:pt>
                <c:pt idx="22">
                  <c:v>6.4972594380378723E-2</c:v>
                </c:pt>
                <c:pt idx="23">
                  <c:v>6.435365229845047E-2</c:v>
                </c:pt>
                <c:pt idx="24">
                  <c:v>6.4191833138465881E-2</c:v>
                </c:pt>
                <c:pt idx="25">
                  <c:v>6.2891989946365356E-2</c:v>
                </c:pt>
                <c:pt idx="26">
                  <c:v>5.8984100818634033E-2</c:v>
                </c:pt>
                <c:pt idx="27">
                  <c:v>5.5709131062030792E-2</c:v>
                </c:pt>
                <c:pt idx="28">
                  <c:v>5.4637953639030457E-2</c:v>
                </c:pt>
                <c:pt idx="29">
                  <c:v>5.4300349205732346E-2</c:v>
                </c:pt>
                <c:pt idx="30">
                  <c:v>5.3248971700668335E-2</c:v>
                </c:pt>
                <c:pt idx="31">
                  <c:v>5.2152737975120544E-2</c:v>
                </c:pt>
                <c:pt idx="32">
                  <c:v>5.1694229245185852E-2</c:v>
                </c:pt>
                <c:pt idx="33">
                  <c:v>4.9183651804924011E-2</c:v>
                </c:pt>
                <c:pt idx="34">
                  <c:v>4.8888925462961197E-2</c:v>
                </c:pt>
                <c:pt idx="35">
                  <c:v>4.7545552253723145E-2</c:v>
                </c:pt>
                <c:pt idx="36">
                  <c:v>4.75265271961689E-2</c:v>
                </c:pt>
                <c:pt idx="37">
                  <c:v>4.695061594247818E-2</c:v>
                </c:pt>
                <c:pt idx="38">
                  <c:v>4.5741479843854904E-2</c:v>
                </c:pt>
                <c:pt idx="39">
                  <c:v>4.5653127133846283E-2</c:v>
                </c:pt>
                <c:pt idx="40">
                  <c:v>4.5032969999999999E-2</c:v>
                </c:pt>
                <c:pt idx="41">
                  <c:v>4.5102644711732864E-2</c:v>
                </c:pt>
                <c:pt idx="42">
                  <c:v>4.4926900416612625E-2</c:v>
                </c:pt>
                <c:pt idx="43">
                  <c:v>4.2565234005451202E-2</c:v>
                </c:pt>
                <c:pt idx="44">
                  <c:v>4.2533524334430695E-2</c:v>
                </c:pt>
                <c:pt idx="45">
                  <c:v>4.222564771771431E-2</c:v>
                </c:pt>
                <c:pt idx="46">
                  <c:v>4.1580460965633392E-2</c:v>
                </c:pt>
                <c:pt idx="47">
                  <c:v>4.1579976677894592E-2</c:v>
                </c:pt>
                <c:pt idx="48">
                  <c:v>4.0508165955543518E-2</c:v>
                </c:pt>
                <c:pt idx="49">
                  <c:v>4.0436375886201859E-2</c:v>
                </c:pt>
                <c:pt idx="50">
                  <c:v>3.9939623326063156E-2</c:v>
                </c:pt>
                <c:pt idx="51">
                  <c:v>3.9519671350717545E-2</c:v>
                </c:pt>
                <c:pt idx="52">
                  <c:v>3.8903452455997467E-2</c:v>
                </c:pt>
                <c:pt idx="53">
                  <c:v>3.8794498890638351E-2</c:v>
                </c:pt>
                <c:pt idx="54">
                  <c:v>3.8449984043836594E-2</c:v>
                </c:pt>
                <c:pt idx="55">
                  <c:v>3.7863384932279587E-2</c:v>
                </c:pt>
                <c:pt idx="56">
                  <c:v>3.7300355732440948E-2</c:v>
                </c:pt>
                <c:pt idx="57">
                  <c:v>3.7137575447559357E-2</c:v>
                </c:pt>
                <c:pt idx="58">
                  <c:v>3.7000719457864761E-2</c:v>
                </c:pt>
                <c:pt idx="59">
                  <c:v>3.6306086927652359E-2</c:v>
                </c:pt>
                <c:pt idx="60">
                  <c:v>3.5038534551858902E-2</c:v>
                </c:pt>
                <c:pt idx="61">
                  <c:v>3.3620167523622513E-2</c:v>
                </c:pt>
                <c:pt idx="62">
                  <c:v>3.3191796392202377E-2</c:v>
                </c:pt>
                <c:pt idx="63">
                  <c:v>3.2658156007528305E-2</c:v>
                </c:pt>
                <c:pt idx="64">
                  <c:v>3.2173998653888702E-2</c:v>
                </c:pt>
                <c:pt idx="65">
                  <c:v>3.1870104372501373E-2</c:v>
                </c:pt>
                <c:pt idx="66">
                  <c:v>3.1859390437602997E-2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E3-401B-82A3-4464EDE6AA65}"/>
            </c:ext>
          </c:extLst>
        </c:ser>
        <c:ser>
          <c:idx val="3"/>
          <c:order val="3"/>
          <c:tx>
            <c:strRef>
              <c:f>'Angioplasty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'Angioplasty Summary'!$E$30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'Angioplasty Summary'!$H$30</c:f>
              <c:numCache>
                <c:formatCode>0.0%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E3-401B-82A3-4464EDE6AA65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'Angio Funnel'!$B$2:$B$68</c:f>
              <c:numCache>
                <c:formatCode>General</c:formatCode>
                <c:ptCount val="67"/>
                <c:pt idx="0">
                  <c:v>0</c:v>
                </c:pt>
                <c:pt idx="1">
                  <c:v>12</c:v>
                </c:pt>
                <c:pt idx="2">
                  <c:v>16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30</c:v>
                </c:pt>
                <c:pt idx="7">
                  <c:v>34</c:v>
                </c:pt>
                <c:pt idx="8">
                  <c:v>37</c:v>
                </c:pt>
                <c:pt idx="9">
                  <c:v>38</c:v>
                </c:pt>
                <c:pt idx="10">
                  <c:v>47</c:v>
                </c:pt>
                <c:pt idx="11">
                  <c:v>60</c:v>
                </c:pt>
                <c:pt idx="12">
                  <c:v>62</c:v>
                </c:pt>
                <c:pt idx="13">
                  <c:v>72</c:v>
                </c:pt>
                <c:pt idx="14">
                  <c:v>73</c:v>
                </c:pt>
                <c:pt idx="15">
                  <c:v>78</c:v>
                </c:pt>
                <c:pt idx="16">
                  <c:v>86</c:v>
                </c:pt>
                <c:pt idx="17">
                  <c:v>92</c:v>
                </c:pt>
                <c:pt idx="18">
                  <c:v>99</c:v>
                </c:pt>
                <c:pt idx="19">
                  <c:v>104</c:v>
                </c:pt>
                <c:pt idx="20">
                  <c:v>108</c:v>
                </c:pt>
                <c:pt idx="21">
                  <c:v>114</c:v>
                </c:pt>
                <c:pt idx="22">
                  <c:v>138</c:v>
                </c:pt>
                <c:pt idx="23">
                  <c:v>140</c:v>
                </c:pt>
                <c:pt idx="24">
                  <c:v>144</c:v>
                </c:pt>
                <c:pt idx="25">
                  <c:v>153</c:v>
                </c:pt>
                <c:pt idx="26">
                  <c:v>176</c:v>
                </c:pt>
                <c:pt idx="27">
                  <c:v>197</c:v>
                </c:pt>
                <c:pt idx="28">
                  <c:v>212</c:v>
                </c:pt>
                <c:pt idx="29">
                  <c:v>215</c:v>
                </c:pt>
                <c:pt idx="30">
                  <c:v>223</c:v>
                </c:pt>
                <c:pt idx="31">
                  <c:v>236</c:v>
                </c:pt>
                <c:pt idx="32">
                  <c:v>243</c:v>
                </c:pt>
                <c:pt idx="33">
                  <c:v>276</c:v>
                </c:pt>
                <c:pt idx="34">
                  <c:v>280</c:v>
                </c:pt>
                <c:pt idx="35">
                  <c:v>298</c:v>
                </c:pt>
                <c:pt idx="36">
                  <c:v>299</c:v>
                </c:pt>
                <c:pt idx="37">
                  <c:v>312</c:v>
                </c:pt>
                <c:pt idx="38">
                  <c:v>328</c:v>
                </c:pt>
                <c:pt idx="39">
                  <c:v>335</c:v>
                </c:pt>
                <c:pt idx="40">
                  <c:v>338</c:v>
                </c:pt>
                <c:pt idx="41">
                  <c:v>348</c:v>
                </c:pt>
                <c:pt idx="42">
                  <c:v>351</c:v>
                </c:pt>
                <c:pt idx="43">
                  <c:v>411</c:v>
                </c:pt>
                <c:pt idx="44">
                  <c:v>412</c:v>
                </c:pt>
                <c:pt idx="45">
                  <c:v>420</c:v>
                </c:pt>
                <c:pt idx="46">
                  <c:v>433</c:v>
                </c:pt>
                <c:pt idx="47">
                  <c:v>434</c:v>
                </c:pt>
                <c:pt idx="48">
                  <c:v>470</c:v>
                </c:pt>
                <c:pt idx="49">
                  <c:v>478</c:v>
                </c:pt>
                <c:pt idx="50">
                  <c:v>496</c:v>
                </c:pt>
                <c:pt idx="51">
                  <c:v>512</c:v>
                </c:pt>
                <c:pt idx="52">
                  <c:v>537</c:v>
                </c:pt>
                <c:pt idx="53">
                  <c:v>540</c:v>
                </c:pt>
                <c:pt idx="54">
                  <c:v>562</c:v>
                </c:pt>
                <c:pt idx="55">
                  <c:v>589</c:v>
                </c:pt>
                <c:pt idx="56">
                  <c:v>615</c:v>
                </c:pt>
                <c:pt idx="57">
                  <c:v>629</c:v>
                </c:pt>
                <c:pt idx="58">
                  <c:v>638</c:v>
                </c:pt>
                <c:pt idx="59">
                  <c:v>680</c:v>
                </c:pt>
                <c:pt idx="60">
                  <c:v>767</c:v>
                </c:pt>
                <c:pt idx="61">
                  <c:v>891</c:v>
                </c:pt>
                <c:pt idx="62">
                  <c:v>937</c:v>
                </c:pt>
                <c:pt idx="63">
                  <c:v>1003</c:v>
                </c:pt>
                <c:pt idx="64">
                  <c:v>1060</c:v>
                </c:pt>
                <c:pt idx="65">
                  <c:v>1103</c:v>
                </c:pt>
                <c:pt idx="66">
                  <c:v>1107</c:v>
                </c:pt>
              </c:numCache>
            </c:numRef>
          </c:xVal>
          <c:yVal>
            <c:numRef>
              <c:f>'Angio Funnel'!$D$2:$D$68</c:f>
              <c:numCache>
                <c:formatCode>0.00%</c:formatCode>
                <c:ptCount val="67"/>
                <c:pt idx="43">
                  <c:v>2.1790689788758755E-4</c:v>
                </c:pt>
                <c:pt idx="44">
                  <c:v>2.2669252939522266E-4</c:v>
                </c:pt>
                <c:pt idx="45">
                  <c:v>3.0038910335861146E-4</c:v>
                </c:pt>
                <c:pt idx="46">
                  <c:v>4.3484175694175065E-4</c:v>
                </c:pt>
                <c:pt idx="47">
                  <c:v>4.4603555579669774E-4</c:v>
                </c:pt>
                <c:pt idx="48">
                  <c:v>9.5601624343544245E-4</c:v>
                </c:pt>
                <c:pt idx="49">
                  <c:v>1.1052472982555628E-3</c:v>
                </c:pt>
                <c:pt idx="50">
                  <c:v>1.5063703758642077E-3</c:v>
                </c:pt>
                <c:pt idx="51">
                  <c:v>1.9540302455425262E-3</c:v>
                </c:pt>
                <c:pt idx="52">
                  <c:v>2.0753561984747648E-3</c:v>
                </c:pt>
                <c:pt idx="53">
                  <c:v>2.0940576214343309E-3</c:v>
                </c:pt>
                <c:pt idx="54">
                  <c:v>2.2650894243270159E-3</c:v>
                </c:pt>
                <c:pt idx="55">
                  <c:v>2.5787984486669302E-3</c:v>
                </c:pt>
                <c:pt idx="56">
                  <c:v>3.0335793271660805E-3</c:v>
                </c:pt>
                <c:pt idx="57">
                  <c:v>3.2277295831590891E-3</c:v>
                </c:pt>
                <c:pt idx="58">
                  <c:v>3.2586883753538132E-3</c:v>
                </c:pt>
                <c:pt idx="59">
                  <c:v>3.5231797955930233E-3</c:v>
                </c:pt>
                <c:pt idx="60">
                  <c:v>4.2986250482499599E-3</c:v>
                </c:pt>
                <c:pt idx="61">
                  <c:v>5.2102329209446907E-3</c:v>
                </c:pt>
                <c:pt idx="62">
                  <c:v>5.5190431885421276E-3</c:v>
                </c:pt>
                <c:pt idx="63">
                  <c:v>5.9762387536466122E-3</c:v>
                </c:pt>
                <c:pt idx="64">
                  <c:v>6.1672544106841087E-3</c:v>
                </c:pt>
                <c:pt idx="65">
                  <c:v>6.4344867132604122E-3</c:v>
                </c:pt>
                <c:pt idx="66">
                  <c:v>6.441689096391201E-3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93-4C39-9C20-859BF100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11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100"/>
      </c:valAx>
      <c:valAx>
        <c:axId val="578493408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In hospital deaths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non-elective patients with CLTI who had surgical revascularisation within 5 days from admission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Bypass'!$L$1</c:f>
              <c:strCache>
                <c:ptCount val="1"/>
                <c:pt idx="0">
                  <c:v>Bypass treated within 5 days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'Lower Limb Bypass'!$O$2:$O$74</c:f>
                <c:numCache>
                  <c:formatCode>General</c:formatCode>
                  <c:ptCount val="73"/>
                  <c:pt idx="0">
                    <c:v>3.9999991655349731E-2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2.9999971389770508E-2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5.0000011920928955E-2</c:v>
                  </c:pt>
                  <c:pt idx="16">
                    <c:v>0</c:v>
                  </c:pt>
                  <c:pt idx="17">
                    <c:v>0</c:v>
                  </c:pt>
                  <c:pt idx="18">
                    <c:v>7.0000022649765015E-2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0.12000000476837158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3.9999961853027344E-2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6.9999992847442627E-2</c:v>
                  </c:pt>
                  <c:pt idx="39">
                    <c:v>7.9999983310699463E-2</c:v>
                  </c:pt>
                  <c:pt idx="40">
                    <c:v>0.17000001668930054</c:v>
                  </c:pt>
                  <c:pt idx="41">
                    <c:v>0.11000001430511475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2.000001072883606E-2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0.16999998688697815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0.18999999761581421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0</c:v>
                  </c:pt>
                </c:numCache>
              </c:numRef>
            </c:plus>
            <c:minus>
              <c:numRef>
                <c:f>'Lower Limb Bypass'!$P$2:$P$74</c:f>
                <c:numCache>
                  <c:formatCode>General</c:formatCode>
                  <c:ptCount val="73"/>
                  <c:pt idx="0">
                    <c:v>0</c:v>
                  </c:pt>
                  <c:pt idx="1">
                    <c:v>0</c:v>
                  </c:pt>
                  <c:pt idx="2">
                    <c:v>8.999999612569809E-2</c:v>
                  </c:pt>
                  <c:pt idx="3">
                    <c:v>0</c:v>
                  </c:pt>
                  <c:pt idx="4">
                    <c:v>7.9999983310699463E-2</c:v>
                  </c:pt>
                  <c:pt idx="5">
                    <c:v>0.10000000149011612</c:v>
                  </c:pt>
                  <c:pt idx="6">
                    <c:v>0.15000003576278687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0.15000003576278687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9.9999904632568359E-3</c:v>
                  </c:pt>
                  <c:pt idx="15">
                    <c:v>0</c:v>
                  </c:pt>
                  <c:pt idx="16">
                    <c:v>0.17000001668930054</c:v>
                  </c:pt>
                  <c:pt idx="17">
                    <c:v>0.18000000715255737</c:v>
                  </c:pt>
                  <c:pt idx="18">
                    <c:v>0</c:v>
                  </c:pt>
                  <c:pt idx="19">
                    <c:v>0.21000000834465027</c:v>
                  </c:pt>
                  <c:pt idx="20">
                    <c:v>4.0000021457672119E-2</c:v>
                  </c:pt>
                  <c:pt idx="21">
                    <c:v>3.0000001192092896E-2</c:v>
                  </c:pt>
                  <c:pt idx="22">
                    <c:v>0</c:v>
                  </c:pt>
                  <c:pt idx="23">
                    <c:v>1.0000020265579224E-2</c:v>
                  </c:pt>
                  <c:pt idx="24">
                    <c:v>0</c:v>
                  </c:pt>
                  <c:pt idx="25">
                    <c:v>0.16999995708465576</c:v>
                  </c:pt>
                  <c:pt idx="26">
                    <c:v>0</c:v>
                  </c:pt>
                  <c:pt idx="27">
                    <c:v>0.64000001549720764</c:v>
                  </c:pt>
                  <c:pt idx="28">
                    <c:v>0</c:v>
                  </c:pt>
                  <c:pt idx="29">
                    <c:v>0.31999999284744263</c:v>
                  </c:pt>
                  <c:pt idx="30">
                    <c:v>0.12999999523162842</c:v>
                  </c:pt>
                  <c:pt idx="31">
                    <c:v>0</c:v>
                  </c:pt>
                  <c:pt idx="32">
                    <c:v>5.0000011920928955E-2</c:v>
                  </c:pt>
                  <c:pt idx="33">
                    <c:v>0</c:v>
                  </c:pt>
                  <c:pt idx="34">
                    <c:v>0.12999999523162842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0.22000002861022949</c:v>
                  </c:pt>
                  <c:pt idx="44">
                    <c:v>0.13000002503395081</c:v>
                  </c:pt>
                  <c:pt idx="45">
                    <c:v>0</c:v>
                  </c:pt>
                  <c:pt idx="46">
                    <c:v>0</c:v>
                  </c:pt>
                  <c:pt idx="47">
                    <c:v>0.12000000476837158</c:v>
                  </c:pt>
                  <c:pt idx="48">
                    <c:v>0.28999999165534973</c:v>
                  </c:pt>
                  <c:pt idx="49">
                    <c:v>0.25</c:v>
                  </c:pt>
                  <c:pt idx="50">
                    <c:v>0.25000001490116119</c:v>
                  </c:pt>
                  <c:pt idx="51">
                    <c:v>0.17000001668930054</c:v>
                  </c:pt>
                  <c:pt idx="52">
                    <c:v>0.15000000596046448</c:v>
                  </c:pt>
                  <c:pt idx="53">
                    <c:v>0</c:v>
                  </c:pt>
                  <c:pt idx="54">
                    <c:v>0.37999998033046722</c:v>
                  </c:pt>
                  <c:pt idx="55">
                    <c:v>0.26999998092651367</c:v>
                  </c:pt>
                  <c:pt idx="56">
                    <c:v>0.21999996900558472</c:v>
                  </c:pt>
                  <c:pt idx="57">
                    <c:v>0.25</c:v>
                  </c:pt>
                  <c:pt idx="58">
                    <c:v>0</c:v>
                  </c:pt>
                  <c:pt idx="59">
                    <c:v>0</c:v>
                  </c:pt>
                  <c:pt idx="60">
                    <c:v>0</c:v>
                  </c:pt>
                  <c:pt idx="61">
                    <c:v>0.39999997615814209</c:v>
                  </c:pt>
                  <c:pt idx="62">
                    <c:v>0.11000001430511475</c:v>
                  </c:pt>
                  <c:pt idx="63">
                    <c:v>0.10999998450279236</c:v>
                  </c:pt>
                  <c:pt idx="64">
                    <c:v>0.18000000715255737</c:v>
                  </c:pt>
                  <c:pt idx="65">
                    <c:v>6.0000002384185791E-2</c:v>
                  </c:pt>
                  <c:pt idx="66">
                    <c:v>0</c:v>
                  </c:pt>
                  <c:pt idx="67">
                    <c:v>0</c:v>
                  </c:pt>
                  <c:pt idx="68">
                    <c:v>5.0000011920928955E-2</c:v>
                  </c:pt>
                  <c:pt idx="69">
                    <c:v>8.0000013113021851E-2</c:v>
                  </c:pt>
                  <c:pt idx="70">
                    <c:v>0</c:v>
                  </c:pt>
                  <c:pt idx="71">
                    <c:v>0.23000001907348633</c:v>
                  </c:pt>
                  <c:pt idx="72">
                    <c:v>9.9999904632568359E-3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'Lower Limb Bypass'!$N$2:$N$74</c:f>
              <c:numCache>
                <c:formatCode>0%</c:formatCode>
                <c:ptCount val="73"/>
                <c:pt idx="0" formatCode="General">
                  <c:v>40</c:v>
                </c:pt>
                <c:pt idx="1">
                  <c:v>0</c:v>
                </c:pt>
                <c:pt idx="2" formatCode="General">
                  <c:v>51</c:v>
                </c:pt>
                <c:pt idx="3">
                  <c:v>0</c:v>
                </c:pt>
                <c:pt idx="4" formatCode="General">
                  <c:v>17</c:v>
                </c:pt>
                <c:pt idx="5" formatCode="General">
                  <c:v>52</c:v>
                </c:pt>
                <c:pt idx="6" formatCode="General">
                  <c:v>28</c:v>
                </c:pt>
                <c:pt idx="7">
                  <c:v>0</c:v>
                </c:pt>
                <c:pt idx="8" formatCode="General">
                  <c:v>37</c:v>
                </c:pt>
                <c:pt idx="9">
                  <c:v>0</c:v>
                </c:pt>
                <c:pt idx="10" formatCode="General">
                  <c:v>32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General">
                  <c:v>9</c:v>
                </c:pt>
                <c:pt idx="15" formatCode="General">
                  <c:v>42</c:v>
                </c:pt>
                <c:pt idx="16" formatCode="General">
                  <c:v>22</c:v>
                </c:pt>
                <c:pt idx="17" formatCode="General">
                  <c:v>1</c:v>
                </c:pt>
                <c:pt idx="18" formatCode="General">
                  <c:v>44</c:v>
                </c:pt>
                <c:pt idx="19" formatCode="General">
                  <c:v>12</c:v>
                </c:pt>
                <c:pt idx="20" formatCode="General">
                  <c:v>33</c:v>
                </c:pt>
                <c:pt idx="21" formatCode="General">
                  <c:v>47</c:v>
                </c:pt>
                <c:pt idx="22" formatCode="General">
                  <c:v>43</c:v>
                </c:pt>
                <c:pt idx="23" formatCode="General">
                  <c:v>48</c:v>
                </c:pt>
                <c:pt idx="24">
                  <c:v>0</c:v>
                </c:pt>
                <c:pt idx="25" formatCode="General">
                  <c:v>34</c:v>
                </c:pt>
                <c:pt idx="26">
                  <c:v>0</c:v>
                </c:pt>
                <c:pt idx="27" formatCode="General">
                  <c:v>3</c:v>
                </c:pt>
                <c:pt idx="28">
                  <c:v>0</c:v>
                </c:pt>
                <c:pt idx="29" formatCode="General">
                  <c:v>13</c:v>
                </c:pt>
                <c:pt idx="30" formatCode="General">
                  <c:v>38</c:v>
                </c:pt>
                <c:pt idx="31">
                  <c:v>0</c:v>
                </c:pt>
                <c:pt idx="32" formatCode="General">
                  <c:v>19</c:v>
                </c:pt>
                <c:pt idx="33" formatCode="General">
                  <c:v>16</c:v>
                </c:pt>
                <c:pt idx="34" formatCode="General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General">
                  <c:v>14</c:v>
                </c:pt>
                <c:pt idx="39" formatCode="General">
                  <c:v>23</c:v>
                </c:pt>
                <c:pt idx="40" formatCode="General">
                  <c:v>35</c:v>
                </c:pt>
                <c:pt idx="41" formatCode="General">
                  <c:v>20</c:v>
                </c:pt>
                <c:pt idx="42">
                  <c:v>0</c:v>
                </c:pt>
                <c:pt idx="43" formatCode="General">
                  <c:v>5</c:v>
                </c:pt>
                <c:pt idx="44" formatCode="General">
                  <c:v>24</c:v>
                </c:pt>
                <c:pt idx="45">
                  <c:v>0</c:v>
                </c:pt>
                <c:pt idx="46">
                  <c:v>0</c:v>
                </c:pt>
                <c:pt idx="47" formatCode="General">
                  <c:v>11</c:v>
                </c:pt>
                <c:pt idx="48" formatCode="General">
                  <c:v>7</c:v>
                </c:pt>
                <c:pt idx="49" formatCode="General">
                  <c:v>10</c:v>
                </c:pt>
                <c:pt idx="50" formatCode="General">
                  <c:v>41</c:v>
                </c:pt>
                <c:pt idx="51" formatCode="General">
                  <c:v>6</c:v>
                </c:pt>
                <c:pt idx="52" formatCode="General">
                  <c:v>21</c:v>
                </c:pt>
                <c:pt idx="53" formatCode="General">
                  <c:v>45</c:v>
                </c:pt>
                <c:pt idx="54" formatCode="General">
                  <c:v>30</c:v>
                </c:pt>
                <c:pt idx="55" formatCode="General">
                  <c:v>18</c:v>
                </c:pt>
                <c:pt idx="56" formatCode="General">
                  <c:v>29</c:v>
                </c:pt>
                <c:pt idx="57" formatCode="General">
                  <c:v>2</c:v>
                </c:pt>
                <c:pt idx="58">
                  <c:v>0</c:v>
                </c:pt>
                <c:pt idx="59" formatCode="General">
                  <c:v>50</c:v>
                </c:pt>
                <c:pt idx="60">
                  <c:v>0</c:v>
                </c:pt>
                <c:pt idx="61" formatCode="General">
                  <c:v>31</c:v>
                </c:pt>
                <c:pt idx="62" formatCode="General">
                  <c:v>25</c:v>
                </c:pt>
                <c:pt idx="63" formatCode="General">
                  <c:v>36</c:v>
                </c:pt>
                <c:pt idx="64" formatCode="General">
                  <c:v>15</c:v>
                </c:pt>
                <c:pt idx="65" formatCode="General">
                  <c:v>46</c:v>
                </c:pt>
                <c:pt idx="66">
                  <c:v>0</c:v>
                </c:pt>
                <c:pt idx="67" formatCode="General">
                  <c:v>49</c:v>
                </c:pt>
                <c:pt idx="68" formatCode="General">
                  <c:v>26</c:v>
                </c:pt>
                <c:pt idx="69" formatCode="General">
                  <c:v>39</c:v>
                </c:pt>
                <c:pt idx="70">
                  <c:v>0</c:v>
                </c:pt>
                <c:pt idx="71" formatCode="General">
                  <c:v>27</c:v>
                </c:pt>
                <c:pt idx="72" formatCode="General">
                  <c:v>4</c:v>
                </c:pt>
              </c:numCache>
            </c:numRef>
          </c:xVal>
          <c:yVal>
            <c:numRef>
              <c:f>'Lower Limb Bypass'!$L$2:$L$74</c:f>
              <c:numCache>
                <c:formatCode>0%</c:formatCode>
                <c:ptCount val="73"/>
                <c:pt idx="0">
                  <c:v>0.46000000834465027</c:v>
                </c:pt>
                <c:pt idx="1">
                  <c:v>0</c:v>
                </c:pt>
                <c:pt idx="2">
                  <c:v>0.20999999344348907</c:v>
                </c:pt>
                <c:pt idx="3">
                  <c:v>0</c:v>
                </c:pt>
                <c:pt idx="4">
                  <c:v>0.64999997615814209</c:v>
                </c:pt>
                <c:pt idx="5">
                  <c:v>0.20000000298023224</c:v>
                </c:pt>
                <c:pt idx="6">
                  <c:v>0.60000002384185791</c:v>
                </c:pt>
                <c:pt idx="7">
                  <c:v>0</c:v>
                </c:pt>
                <c:pt idx="8">
                  <c:v>0.5</c:v>
                </c:pt>
                <c:pt idx="9">
                  <c:v>0</c:v>
                </c:pt>
                <c:pt idx="10">
                  <c:v>0.54000002145767212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0.75</c:v>
                </c:pt>
                <c:pt idx="15">
                  <c:v>0.44999998807907104</c:v>
                </c:pt>
                <c:pt idx="16">
                  <c:v>0.61000001430511475</c:v>
                </c:pt>
                <c:pt idx="17">
                  <c:v>0.82999998331069946</c:v>
                </c:pt>
                <c:pt idx="18">
                  <c:v>0.41999998688697815</c:v>
                </c:pt>
                <c:pt idx="19">
                  <c:v>0.68999999761581421</c:v>
                </c:pt>
                <c:pt idx="20">
                  <c:v>0.54000002145767212</c:v>
                </c:pt>
                <c:pt idx="21">
                  <c:v>0.36000001430511475</c:v>
                </c:pt>
                <c:pt idx="22">
                  <c:v>0.43999999761581421</c:v>
                </c:pt>
                <c:pt idx="23">
                  <c:v>0.33000001311302185</c:v>
                </c:pt>
                <c:pt idx="24">
                  <c:v>0</c:v>
                </c:pt>
                <c:pt idx="25">
                  <c:v>0.52999997138977051</c:v>
                </c:pt>
                <c:pt idx="26">
                  <c:v>0</c:v>
                </c:pt>
                <c:pt idx="27">
                  <c:v>0.80000001192092896</c:v>
                </c:pt>
                <c:pt idx="28">
                  <c:v>0</c:v>
                </c:pt>
                <c:pt idx="29">
                  <c:v>0.68999999761581421</c:v>
                </c:pt>
                <c:pt idx="30">
                  <c:v>0.5</c:v>
                </c:pt>
                <c:pt idx="31">
                  <c:v>0</c:v>
                </c:pt>
                <c:pt idx="32">
                  <c:v>0.62999999523162842</c:v>
                </c:pt>
                <c:pt idx="33">
                  <c:v>0.67000001668930054</c:v>
                </c:pt>
                <c:pt idx="34">
                  <c:v>0.75999999046325684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0.68999999761581421</c:v>
                </c:pt>
                <c:pt idx="39">
                  <c:v>0.61000001430511475</c:v>
                </c:pt>
                <c:pt idx="40">
                  <c:v>0.52999997138977051</c:v>
                </c:pt>
                <c:pt idx="41">
                  <c:v>0.62999999523162842</c:v>
                </c:pt>
                <c:pt idx="42">
                  <c:v>0</c:v>
                </c:pt>
                <c:pt idx="43">
                  <c:v>0.79000002145767212</c:v>
                </c:pt>
                <c:pt idx="44">
                  <c:v>0.61000001430511475</c:v>
                </c:pt>
                <c:pt idx="45">
                  <c:v>0</c:v>
                </c:pt>
                <c:pt idx="46">
                  <c:v>0</c:v>
                </c:pt>
                <c:pt idx="47">
                  <c:v>0.73000001907348633</c:v>
                </c:pt>
                <c:pt idx="48">
                  <c:v>0.76999998092651367</c:v>
                </c:pt>
                <c:pt idx="49">
                  <c:v>0.75</c:v>
                </c:pt>
                <c:pt idx="50">
                  <c:v>0.46000000834465027</c:v>
                </c:pt>
                <c:pt idx="51">
                  <c:v>0.79000002145767212</c:v>
                </c:pt>
                <c:pt idx="52">
                  <c:v>0.62999999523162842</c:v>
                </c:pt>
                <c:pt idx="53">
                  <c:v>0.41999998688697815</c:v>
                </c:pt>
                <c:pt idx="54">
                  <c:v>0.57999998331069946</c:v>
                </c:pt>
                <c:pt idx="55">
                  <c:v>0.63999998569488525</c:v>
                </c:pt>
                <c:pt idx="56">
                  <c:v>0.5899999737739563</c:v>
                </c:pt>
                <c:pt idx="57">
                  <c:v>0.81999999284744263</c:v>
                </c:pt>
                <c:pt idx="58">
                  <c:v>0</c:v>
                </c:pt>
                <c:pt idx="59">
                  <c:v>0.2199999988079071</c:v>
                </c:pt>
                <c:pt idx="60">
                  <c:v>0</c:v>
                </c:pt>
                <c:pt idx="61">
                  <c:v>0.57999998331069946</c:v>
                </c:pt>
                <c:pt idx="62">
                  <c:v>0.61000001430511475</c:v>
                </c:pt>
                <c:pt idx="63">
                  <c:v>0.50999999046325684</c:v>
                </c:pt>
                <c:pt idx="64">
                  <c:v>0.68000000715255737</c:v>
                </c:pt>
                <c:pt idx="65">
                  <c:v>0.40999999642372131</c:v>
                </c:pt>
                <c:pt idx="66">
                  <c:v>0</c:v>
                </c:pt>
                <c:pt idx="67">
                  <c:v>0.25</c:v>
                </c:pt>
                <c:pt idx="68">
                  <c:v>0.61000001430511475</c:v>
                </c:pt>
                <c:pt idx="69">
                  <c:v>0.5</c:v>
                </c:pt>
                <c:pt idx="70">
                  <c:v>0</c:v>
                </c:pt>
                <c:pt idx="71">
                  <c:v>0.61000001430511475</c:v>
                </c:pt>
                <c:pt idx="72">
                  <c:v>0.80000001192092896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E2-448E-A020-AB6DEF4FA64F}"/>
            </c:ext>
          </c:extLst>
        </c:ser>
        <c:ser>
          <c:idx val="1"/>
          <c:order val="1"/>
          <c:tx>
            <c:strRef>
              <c:f>'Bypass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'Bypass Summary'!$AC$2</c:f>
                <c:numCache>
                  <c:formatCode>General</c:formatCode>
                  <c:ptCount val="1"/>
                  <c:pt idx="0">
                    <c:v>3.9999991655349731E-2</c:v>
                  </c:pt>
                </c:numCache>
              </c:numRef>
            </c:plus>
            <c:minus>
              <c:numRef>
                <c:f>'Bypass Summary'!$AB$2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noFill/>
              <a:ln w="34925" cap="flat" cmpd="sng" algn="ctr">
                <a:solidFill>
                  <a:srgbClr val="00B050"/>
                </a:solidFill>
                <a:round/>
              </a:ln>
              <a:effectLst/>
            </c:spPr>
          </c:errBars>
          <c:xVal>
            <c:numRef>
              <c:f>'Bypass Summary'!$AD$2</c:f>
              <c:numCache>
                <c:formatCode>General</c:formatCode>
                <c:ptCount val="1"/>
                <c:pt idx="0">
                  <c:v>40</c:v>
                </c:pt>
              </c:numCache>
            </c:numRef>
          </c:xVal>
          <c:yVal>
            <c:numRef>
              <c:f>'Bypass Summary'!$AA$2</c:f>
              <c:numCache>
                <c:formatCode>General</c:formatCode>
                <c:ptCount val="1"/>
                <c:pt idx="0">
                  <c:v>0.46000000834465027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E2-448E-A020-AB6DEF4FA64F}"/>
            </c:ext>
          </c:extLst>
        </c:ser>
        <c:ser>
          <c:idx val="2"/>
          <c:order val="2"/>
          <c:tx>
            <c:strRef>
              <c:f>'Lower Limb Bypass'!$I$1</c:f>
              <c:strCache>
                <c:ptCount val="1"/>
                <c:pt idx="0">
                  <c:v>Bypass treated within 5 days 2019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'Lower Limb Bypass'!$N$2:$N$74</c:f>
              <c:numCache>
                <c:formatCode>0%</c:formatCode>
                <c:ptCount val="73"/>
                <c:pt idx="0" formatCode="General">
                  <c:v>40</c:v>
                </c:pt>
                <c:pt idx="1">
                  <c:v>0</c:v>
                </c:pt>
                <c:pt idx="2" formatCode="General">
                  <c:v>51</c:v>
                </c:pt>
                <c:pt idx="3">
                  <c:v>0</c:v>
                </c:pt>
                <c:pt idx="4" formatCode="General">
                  <c:v>17</c:v>
                </c:pt>
                <c:pt idx="5" formatCode="General">
                  <c:v>52</c:v>
                </c:pt>
                <c:pt idx="6" formatCode="General">
                  <c:v>28</c:v>
                </c:pt>
                <c:pt idx="7">
                  <c:v>0</c:v>
                </c:pt>
                <c:pt idx="8" formatCode="General">
                  <c:v>37</c:v>
                </c:pt>
                <c:pt idx="9">
                  <c:v>0</c:v>
                </c:pt>
                <c:pt idx="10" formatCode="General">
                  <c:v>32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General">
                  <c:v>9</c:v>
                </c:pt>
                <c:pt idx="15" formatCode="General">
                  <c:v>42</c:v>
                </c:pt>
                <c:pt idx="16" formatCode="General">
                  <c:v>22</c:v>
                </c:pt>
                <c:pt idx="17" formatCode="General">
                  <c:v>1</c:v>
                </c:pt>
                <c:pt idx="18" formatCode="General">
                  <c:v>44</c:v>
                </c:pt>
                <c:pt idx="19" formatCode="General">
                  <c:v>12</c:v>
                </c:pt>
                <c:pt idx="20" formatCode="General">
                  <c:v>33</c:v>
                </c:pt>
                <c:pt idx="21" formatCode="General">
                  <c:v>47</c:v>
                </c:pt>
                <c:pt idx="22" formatCode="General">
                  <c:v>43</c:v>
                </c:pt>
                <c:pt idx="23" formatCode="General">
                  <c:v>48</c:v>
                </c:pt>
                <c:pt idx="24">
                  <c:v>0</c:v>
                </c:pt>
                <c:pt idx="25" formatCode="General">
                  <c:v>34</c:v>
                </c:pt>
                <c:pt idx="26">
                  <c:v>0</c:v>
                </c:pt>
                <c:pt idx="27" formatCode="General">
                  <c:v>3</c:v>
                </c:pt>
                <c:pt idx="28">
                  <c:v>0</c:v>
                </c:pt>
                <c:pt idx="29" formatCode="General">
                  <c:v>13</c:v>
                </c:pt>
                <c:pt idx="30" formatCode="General">
                  <c:v>38</c:v>
                </c:pt>
                <c:pt idx="31">
                  <c:v>0</c:v>
                </c:pt>
                <c:pt idx="32" formatCode="General">
                  <c:v>19</c:v>
                </c:pt>
                <c:pt idx="33" formatCode="General">
                  <c:v>16</c:v>
                </c:pt>
                <c:pt idx="34" formatCode="General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General">
                  <c:v>14</c:v>
                </c:pt>
                <c:pt idx="39" formatCode="General">
                  <c:v>23</c:v>
                </c:pt>
                <c:pt idx="40" formatCode="General">
                  <c:v>35</c:v>
                </c:pt>
                <c:pt idx="41" formatCode="General">
                  <c:v>20</c:v>
                </c:pt>
                <c:pt idx="42">
                  <c:v>0</c:v>
                </c:pt>
                <c:pt idx="43" formatCode="General">
                  <c:v>5</c:v>
                </c:pt>
                <c:pt idx="44" formatCode="General">
                  <c:v>24</c:v>
                </c:pt>
                <c:pt idx="45">
                  <c:v>0</c:v>
                </c:pt>
                <c:pt idx="46">
                  <c:v>0</c:v>
                </c:pt>
                <c:pt idx="47" formatCode="General">
                  <c:v>11</c:v>
                </c:pt>
                <c:pt idx="48" formatCode="General">
                  <c:v>7</c:v>
                </c:pt>
                <c:pt idx="49" formatCode="General">
                  <c:v>10</c:v>
                </c:pt>
                <c:pt idx="50" formatCode="General">
                  <c:v>41</c:v>
                </c:pt>
                <c:pt idx="51" formatCode="General">
                  <c:v>6</c:v>
                </c:pt>
                <c:pt idx="52" formatCode="General">
                  <c:v>21</c:v>
                </c:pt>
                <c:pt idx="53" formatCode="General">
                  <c:v>45</c:v>
                </c:pt>
                <c:pt idx="54" formatCode="General">
                  <c:v>30</c:v>
                </c:pt>
                <c:pt idx="55" formatCode="General">
                  <c:v>18</c:v>
                </c:pt>
                <c:pt idx="56" formatCode="General">
                  <c:v>29</c:v>
                </c:pt>
                <c:pt idx="57" formatCode="General">
                  <c:v>2</c:v>
                </c:pt>
                <c:pt idx="58">
                  <c:v>0</c:v>
                </c:pt>
                <c:pt idx="59" formatCode="General">
                  <c:v>50</c:v>
                </c:pt>
                <c:pt idx="60">
                  <c:v>0</c:v>
                </c:pt>
                <c:pt idx="61" formatCode="General">
                  <c:v>31</c:v>
                </c:pt>
                <c:pt idx="62" formatCode="General">
                  <c:v>25</c:v>
                </c:pt>
                <c:pt idx="63" formatCode="General">
                  <c:v>36</c:v>
                </c:pt>
                <c:pt idx="64" formatCode="General">
                  <c:v>15</c:v>
                </c:pt>
                <c:pt idx="65" formatCode="General">
                  <c:v>46</c:v>
                </c:pt>
                <c:pt idx="66">
                  <c:v>0</c:v>
                </c:pt>
                <c:pt idx="67" formatCode="General">
                  <c:v>49</c:v>
                </c:pt>
                <c:pt idx="68" formatCode="General">
                  <c:v>26</c:v>
                </c:pt>
                <c:pt idx="69" formatCode="General">
                  <c:v>39</c:v>
                </c:pt>
                <c:pt idx="70">
                  <c:v>0</c:v>
                </c:pt>
                <c:pt idx="71" formatCode="General">
                  <c:v>27</c:v>
                </c:pt>
                <c:pt idx="72" formatCode="General">
                  <c:v>4</c:v>
                </c:pt>
              </c:numCache>
            </c:numRef>
          </c:xVal>
          <c:yVal>
            <c:numRef>
              <c:f>'Lower Limb Bypass'!$I$2:$I$74</c:f>
              <c:numCache>
                <c:formatCode>0%</c:formatCode>
                <c:ptCount val="73"/>
                <c:pt idx="0">
                  <c:v>0.5</c:v>
                </c:pt>
                <c:pt idx="1">
                  <c:v>0</c:v>
                </c:pt>
                <c:pt idx="2">
                  <c:v>0.11999999731779099</c:v>
                </c:pt>
                <c:pt idx="3">
                  <c:v>0</c:v>
                </c:pt>
                <c:pt idx="4">
                  <c:v>0.56999999284744263</c:v>
                </c:pt>
                <c:pt idx="5">
                  <c:v>0.10000000149011612</c:v>
                </c:pt>
                <c:pt idx="6">
                  <c:v>0.44999998807907104</c:v>
                </c:pt>
                <c:pt idx="7">
                  <c:v>0</c:v>
                </c:pt>
                <c:pt idx="8">
                  <c:v>0.52999997138977051</c:v>
                </c:pt>
                <c:pt idx="9">
                  <c:v>0</c:v>
                </c:pt>
                <c:pt idx="10">
                  <c:v>0.38999998569488525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0.74000000953674316</c:v>
                </c:pt>
                <c:pt idx="15">
                  <c:v>0.5</c:v>
                </c:pt>
                <c:pt idx="16">
                  <c:v>0.43999999761581421</c:v>
                </c:pt>
                <c:pt idx="17">
                  <c:v>0.64999997615814209</c:v>
                </c:pt>
                <c:pt idx="18">
                  <c:v>0.49000000953674316</c:v>
                </c:pt>
                <c:pt idx="19">
                  <c:v>0.47999998927116394</c:v>
                </c:pt>
                <c:pt idx="20">
                  <c:v>0.5</c:v>
                </c:pt>
                <c:pt idx="21">
                  <c:v>0.33000001311302185</c:v>
                </c:pt>
                <c:pt idx="22">
                  <c:v>0.56000000238418579</c:v>
                </c:pt>
                <c:pt idx="23">
                  <c:v>0.31999999284744263</c:v>
                </c:pt>
                <c:pt idx="24">
                  <c:v>0</c:v>
                </c:pt>
                <c:pt idx="25">
                  <c:v>0.36000001430511475</c:v>
                </c:pt>
                <c:pt idx="26">
                  <c:v>0</c:v>
                </c:pt>
                <c:pt idx="27">
                  <c:v>0.15999999642372131</c:v>
                </c:pt>
                <c:pt idx="28">
                  <c:v>0</c:v>
                </c:pt>
                <c:pt idx="29">
                  <c:v>0.37000000476837158</c:v>
                </c:pt>
                <c:pt idx="30">
                  <c:v>0.37000000476837158</c:v>
                </c:pt>
                <c:pt idx="31">
                  <c:v>0</c:v>
                </c:pt>
                <c:pt idx="32">
                  <c:v>0.57999998331069946</c:v>
                </c:pt>
                <c:pt idx="33">
                  <c:v>0.70999997854232788</c:v>
                </c:pt>
                <c:pt idx="34">
                  <c:v>0.62999999523162842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0.75999999046325684</c:v>
                </c:pt>
                <c:pt idx="39">
                  <c:v>0.68999999761581421</c:v>
                </c:pt>
                <c:pt idx="40">
                  <c:v>0.69999998807907104</c:v>
                </c:pt>
                <c:pt idx="41">
                  <c:v>0.74000000953674316</c:v>
                </c:pt>
                <c:pt idx="42">
                  <c:v>0</c:v>
                </c:pt>
                <c:pt idx="43">
                  <c:v>0.56999999284744263</c:v>
                </c:pt>
                <c:pt idx="44">
                  <c:v>0.47999998927116394</c:v>
                </c:pt>
                <c:pt idx="45">
                  <c:v>0</c:v>
                </c:pt>
                <c:pt idx="46">
                  <c:v>0</c:v>
                </c:pt>
                <c:pt idx="47">
                  <c:v>0.61000001430511475</c:v>
                </c:pt>
                <c:pt idx="48">
                  <c:v>0.47999998927116394</c:v>
                </c:pt>
                <c:pt idx="49">
                  <c:v>0.5</c:v>
                </c:pt>
                <c:pt idx="50">
                  <c:v>0.20999999344348907</c:v>
                </c:pt>
                <c:pt idx="51">
                  <c:v>0.62000000476837158</c:v>
                </c:pt>
                <c:pt idx="52">
                  <c:v>0.47999998927116394</c:v>
                </c:pt>
                <c:pt idx="53">
                  <c:v>0.43999999761581421</c:v>
                </c:pt>
                <c:pt idx="54">
                  <c:v>0.20000000298023224</c:v>
                </c:pt>
                <c:pt idx="55">
                  <c:v>0.37000000476837158</c:v>
                </c:pt>
                <c:pt idx="56">
                  <c:v>0.37000000476837158</c:v>
                </c:pt>
                <c:pt idx="57">
                  <c:v>0.56999999284744263</c:v>
                </c:pt>
                <c:pt idx="58">
                  <c:v>0</c:v>
                </c:pt>
                <c:pt idx="59">
                  <c:v>0.38999998569488525</c:v>
                </c:pt>
                <c:pt idx="60">
                  <c:v>0</c:v>
                </c:pt>
                <c:pt idx="61">
                  <c:v>0.18000000715255737</c:v>
                </c:pt>
                <c:pt idx="62">
                  <c:v>0.5</c:v>
                </c:pt>
                <c:pt idx="63">
                  <c:v>0.40000000596046448</c:v>
                </c:pt>
                <c:pt idx="64">
                  <c:v>0.5</c:v>
                </c:pt>
                <c:pt idx="65">
                  <c:v>0.34999999403953552</c:v>
                </c:pt>
                <c:pt idx="66">
                  <c:v>0</c:v>
                </c:pt>
                <c:pt idx="67">
                  <c:v>0.43999999761581421</c:v>
                </c:pt>
                <c:pt idx="68">
                  <c:v>0.56000000238418579</c:v>
                </c:pt>
                <c:pt idx="69">
                  <c:v>0.41999998688697815</c:v>
                </c:pt>
                <c:pt idx="70">
                  <c:v>0</c:v>
                </c:pt>
                <c:pt idx="71">
                  <c:v>0.37999999523162842</c:v>
                </c:pt>
                <c:pt idx="72">
                  <c:v>0.79000002145767212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D0-4C0E-A877-6C731F286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55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Bypass'!$E$1</c:f>
              <c:strCache>
                <c:ptCount val="1"/>
                <c:pt idx="0">
                  <c:v>% Adjusted in-hospital mortality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'Lower Limb Bypass'!$C$2:$C$74</c:f>
              <c:numCache>
                <c:formatCode>General</c:formatCode>
                <c:ptCount val="73"/>
                <c:pt idx="0">
                  <c:v>181</c:v>
                </c:pt>
                <c:pt idx="1">
                  <c:v>86</c:v>
                </c:pt>
                <c:pt idx="2">
                  <c:v>211</c:v>
                </c:pt>
                <c:pt idx="3">
                  <c:v>178</c:v>
                </c:pt>
                <c:pt idx="4">
                  <c:v>381</c:v>
                </c:pt>
                <c:pt idx="5">
                  <c:v>196</c:v>
                </c:pt>
                <c:pt idx="6">
                  <c:v>204</c:v>
                </c:pt>
                <c:pt idx="7">
                  <c:v>102</c:v>
                </c:pt>
                <c:pt idx="8">
                  <c:v>381</c:v>
                </c:pt>
                <c:pt idx="9">
                  <c:v>226</c:v>
                </c:pt>
                <c:pt idx="10">
                  <c:v>382</c:v>
                </c:pt>
                <c:pt idx="11">
                  <c:v>124</c:v>
                </c:pt>
                <c:pt idx="12">
                  <c:v>51</c:v>
                </c:pt>
                <c:pt idx="13">
                  <c:v>60</c:v>
                </c:pt>
                <c:pt idx="14">
                  <c:v>335</c:v>
                </c:pt>
                <c:pt idx="15">
                  <c:v>296</c:v>
                </c:pt>
                <c:pt idx="16">
                  <c:v>532</c:v>
                </c:pt>
                <c:pt idx="17">
                  <c:v>235</c:v>
                </c:pt>
                <c:pt idx="18">
                  <c:v>391</c:v>
                </c:pt>
                <c:pt idx="19">
                  <c:v>411</c:v>
                </c:pt>
                <c:pt idx="20">
                  <c:v>291</c:v>
                </c:pt>
                <c:pt idx="21">
                  <c:v>270</c:v>
                </c:pt>
                <c:pt idx="22">
                  <c:v>504</c:v>
                </c:pt>
                <c:pt idx="23">
                  <c:v>283</c:v>
                </c:pt>
                <c:pt idx="24">
                  <c:v>#N/A</c:v>
                </c:pt>
                <c:pt idx="25">
                  <c:v>443</c:v>
                </c:pt>
                <c:pt idx="26">
                  <c:v>97</c:v>
                </c:pt>
                <c:pt idx="27">
                  <c:v>219</c:v>
                </c:pt>
                <c:pt idx="28">
                  <c:v>106</c:v>
                </c:pt>
                <c:pt idx="29">
                  <c:v>303</c:v>
                </c:pt>
                <c:pt idx="30">
                  <c:v>228</c:v>
                </c:pt>
                <c:pt idx="31">
                  <c:v>12</c:v>
                </c:pt>
                <c:pt idx="32">
                  <c:v>108</c:v>
                </c:pt>
                <c:pt idx="33">
                  <c:v>120</c:v>
                </c:pt>
                <c:pt idx="34">
                  <c:v>188</c:v>
                </c:pt>
                <c:pt idx="35">
                  <c:v>92</c:v>
                </c:pt>
                <c:pt idx="36">
                  <c:v>70</c:v>
                </c:pt>
                <c:pt idx="37">
                  <c:v>74</c:v>
                </c:pt>
                <c:pt idx="38">
                  <c:v>177</c:v>
                </c:pt>
                <c:pt idx="39">
                  <c:v>500</c:v>
                </c:pt>
                <c:pt idx="40">
                  <c:v>234</c:v>
                </c:pt>
                <c:pt idx="41">
                  <c:v>207</c:v>
                </c:pt>
                <c:pt idx="42">
                  <c:v>155</c:v>
                </c:pt>
                <c:pt idx="43">
                  <c:v>176</c:v>
                </c:pt>
                <c:pt idx="44">
                  <c:v>526</c:v>
                </c:pt>
                <c:pt idx="45">
                  <c:v>40</c:v>
                </c:pt>
                <c:pt idx="46">
                  <c:v>18</c:v>
                </c:pt>
                <c:pt idx="47">
                  <c:v>248</c:v>
                </c:pt>
                <c:pt idx="48">
                  <c:v>218</c:v>
                </c:pt>
                <c:pt idx="49">
                  <c:v>256</c:v>
                </c:pt>
                <c:pt idx="50">
                  <c:v>132</c:v>
                </c:pt>
                <c:pt idx="51">
                  <c:v>297</c:v>
                </c:pt>
                <c:pt idx="52">
                  <c:v>434</c:v>
                </c:pt>
                <c:pt idx="53">
                  <c:v>144</c:v>
                </c:pt>
                <c:pt idx="54">
                  <c:v>144</c:v>
                </c:pt>
                <c:pt idx="55">
                  <c:v>224</c:v>
                </c:pt>
                <c:pt idx="56">
                  <c:v>365</c:v>
                </c:pt>
                <c:pt idx="57">
                  <c:v>455</c:v>
                </c:pt>
                <c:pt idx="58">
                  <c:v>39</c:v>
                </c:pt>
                <c:pt idx="59">
                  <c:v>161</c:v>
                </c:pt>
                <c:pt idx="60">
                  <c:v>#N/A</c:v>
                </c:pt>
                <c:pt idx="61">
                  <c:v>401</c:v>
                </c:pt>
                <c:pt idx="62">
                  <c:v>423</c:v>
                </c:pt>
                <c:pt idx="63">
                  <c:v>304</c:v>
                </c:pt>
                <c:pt idx="64">
                  <c:v>471</c:v>
                </c:pt>
                <c:pt idx="65">
                  <c:v>237</c:v>
                </c:pt>
                <c:pt idx="66">
                  <c:v>190</c:v>
                </c:pt>
                <c:pt idx="67">
                  <c:v>348</c:v>
                </c:pt>
                <c:pt idx="68">
                  <c:v>260</c:v>
                </c:pt>
                <c:pt idx="69">
                  <c:v>172</c:v>
                </c:pt>
                <c:pt idx="70">
                  <c:v>94</c:v>
                </c:pt>
                <c:pt idx="71">
                  <c:v>415</c:v>
                </c:pt>
                <c:pt idx="72">
                  <c:v>362</c:v>
                </c:pt>
              </c:numCache>
            </c:numRef>
          </c:xVal>
          <c:yVal>
            <c:numRef>
              <c:f>'Lower Limb Bypass'!$E$2:$E$74</c:f>
              <c:numCache>
                <c:formatCode>0.0%</c:formatCode>
                <c:ptCount val="73"/>
                <c:pt idx="0">
                  <c:v>3.5000000000000003E-2</c:v>
                </c:pt>
                <c:pt idx="1">
                  <c:v>0.02</c:v>
                </c:pt>
                <c:pt idx="2">
                  <c:v>3.5000000000000003E-2</c:v>
                </c:pt>
                <c:pt idx="3">
                  <c:v>3.3000000000000002E-2</c:v>
                </c:pt>
                <c:pt idx="4">
                  <c:v>2.5999999999999999E-2</c:v>
                </c:pt>
                <c:pt idx="5">
                  <c:v>4.2999999999999997E-2</c:v>
                </c:pt>
                <c:pt idx="6">
                  <c:v>3.1E-2</c:v>
                </c:pt>
                <c:pt idx="7">
                  <c:v>0.03</c:v>
                </c:pt>
                <c:pt idx="8">
                  <c:v>8.0000000000000002E-3</c:v>
                </c:pt>
                <c:pt idx="9">
                  <c:v>4.2000000000000003E-2</c:v>
                </c:pt>
                <c:pt idx="10">
                  <c:v>2.1000000000000001E-2</c:v>
                </c:pt>
                <c:pt idx="11">
                  <c:v>1.0999999999999999E-2</c:v>
                </c:pt>
                <c:pt idx="12">
                  <c:v>2.9000000000000001E-2</c:v>
                </c:pt>
                <c:pt idx="13">
                  <c:v>0.04</c:v>
                </c:pt>
                <c:pt idx="14">
                  <c:v>4.8000000000000001E-2</c:v>
                </c:pt>
                <c:pt idx="15">
                  <c:v>2.1000000000000001E-2</c:v>
                </c:pt>
                <c:pt idx="16">
                  <c:v>0.02</c:v>
                </c:pt>
                <c:pt idx="17">
                  <c:v>0.01</c:v>
                </c:pt>
                <c:pt idx="18">
                  <c:v>3.3000000000000002E-2</c:v>
                </c:pt>
                <c:pt idx="19">
                  <c:v>3.7999999999999999E-2</c:v>
                </c:pt>
                <c:pt idx="20">
                  <c:v>4.8000000000000001E-2</c:v>
                </c:pt>
                <c:pt idx="21">
                  <c:v>4.4999999999999998E-2</c:v>
                </c:pt>
                <c:pt idx="22">
                  <c:v>0.02</c:v>
                </c:pt>
                <c:pt idx="23">
                  <c:v>4.1000000000000002E-2</c:v>
                </c:pt>
                <c:pt idx="24" formatCode="General">
                  <c:v>#N/A</c:v>
                </c:pt>
                <c:pt idx="25">
                  <c:v>3.7999999999999999E-2</c:v>
                </c:pt>
                <c:pt idx="26">
                  <c:v>1.9E-2</c:v>
                </c:pt>
                <c:pt idx="27">
                  <c:v>4.5999999999999999E-2</c:v>
                </c:pt>
                <c:pt idx="28">
                  <c:v>3.2000000000000001E-2</c:v>
                </c:pt>
                <c:pt idx="29">
                  <c:v>0.03</c:v>
                </c:pt>
                <c:pt idx="30">
                  <c:v>2.3E-2</c:v>
                </c:pt>
                <c:pt idx="31">
                  <c:v>0</c:v>
                </c:pt>
                <c:pt idx="32">
                  <c:v>1.4E-2</c:v>
                </c:pt>
                <c:pt idx="33">
                  <c:v>6.0999999999999999E-2</c:v>
                </c:pt>
                <c:pt idx="34">
                  <c:v>2.5000000000000001E-2</c:v>
                </c:pt>
                <c:pt idx="35">
                  <c:v>2.8000000000000001E-2</c:v>
                </c:pt>
                <c:pt idx="36">
                  <c:v>3.1E-2</c:v>
                </c:pt>
                <c:pt idx="37">
                  <c:v>0</c:v>
                </c:pt>
                <c:pt idx="38">
                  <c:v>2.8000000000000001E-2</c:v>
                </c:pt>
                <c:pt idx="39">
                  <c:v>1.6E-2</c:v>
                </c:pt>
                <c:pt idx="40">
                  <c:v>3.9E-2</c:v>
                </c:pt>
                <c:pt idx="41">
                  <c:v>4.3999999999999997E-2</c:v>
                </c:pt>
                <c:pt idx="42">
                  <c:v>6.0999999999999999E-2</c:v>
                </c:pt>
                <c:pt idx="43">
                  <c:v>2.7E-2</c:v>
                </c:pt>
                <c:pt idx="44">
                  <c:v>2.5000000000000001E-2</c:v>
                </c:pt>
                <c:pt idx="45">
                  <c:v>0.11</c:v>
                </c:pt>
                <c:pt idx="46">
                  <c:v>8.3000000000000004E-2</c:v>
                </c:pt>
                <c:pt idx="47">
                  <c:v>1.7999999999999999E-2</c:v>
                </c:pt>
                <c:pt idx="48">
                  <c:v>0.03</c:v>
                </c:pt>
                <c:pt idx="49">
                  <c:v>2.9000000000000001E-2</c:v>
                </c:pt>
                <c:pt idx="50">
                  <c:v>6.0000000000000001E-3</c:v>
                </c:pt>
                <c:pt idx="51">
                  <c:v>2.8000000000000001E-2</c:v>
                </c:pt>
                <c:pt idx="52">
                  <c:v>7.0000000000000001E-3</c:v>
                </c:pt>
                <c:pt idx="53">
                  <c:v>1.7000000000000001E-2</c:v>
                </c:pt>
                <c:pt idx="54">
                  <c:v>2.5000000000000001E-2</c:v>
                </c:pt>
                <c:pt idx="55">
                  <c:v>1.9E-2</c:v>
                </c:pt>
                <c:pt idx="56">
                  <c:v>2.1999999999999999E-2</c:v>
                </c:pt>
                <c:pt idx="57">
                  <c:v>2.5000000000000001E-2</c:v>
                </c:pt>
                <c:pt idx="58">
                  <c:v>0</c:v>
                </c:pt>
                <c:pt idx="59">
                  <c:v>0.01</c:v>
                </c:pt>
                <c:pt idx="60" formatCode="General">
                  <c:v>#N/A</c:v>
                </c:pt>
                <c:pt idx="61">
                  <c:v>4.9000000000000002E-2</c:v>
                </c:pt>
                <c:pt idx="62">
                  <c:v>1.9E-2</c:v>
                </c:pt>
                <c:pt idx="63">
                  <c:v>1.7000000000000001E-2</c:v>
                </c:pt>
                <c:pt idx="64">
                  <c:v>4.3999999999999997E-2</c:v>
                </c:pt>
                <c:pt idx="65">
                  <c:v>2.1999999999999999E-2</c:v>
                </c:pt>
                <c:pt idx="66">
                  <c:v>1.0999999999999999E-2</c:v>
                </c:pt>
                <c:pt idx="67">
                  <c:v>2.1999999999999999E-2</c:v>
                </c:pt>
                <c:pt idx="68">
                  <c:v>3.0000000000000001E-3</c:v>
                </c:pt>
                <c:pt idx="69">
                  <c:v>3.7999999999999999E-2</c:v>
                </c:pt>
                <c:pt idx="70">
                  <c:v>5.7000000000000002E-2</c:v>
                </c:pt>
                <c:pt idx="71">
                  <c:v>2.4E-2</c:v>
                </c:pt>
                <c:pt idx="72">
                  <c:v>4.2000000000000003E-2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3F-4104-BBA1-A6FFBC42C836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'Bypass Funnel'!$B$2:$B$78</c:f>
              <c:numCache>
                <c:formatCode>General</c:formatCode>
                <c:ptCount val="77"/>
                <c:pt idx="0">
                  <c:v>0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18</c:v>
                </c:pt>
                <c:pt idx="5">
                  <c:v>29</c:v>
                </c:pt>
                <c:pt idx="6">
                  <c:v>39</c:v>
                </c:pt>
                <c:pt idx="7">
                  <c:v>40</c:v>
                </c:pt>
                <c:pt idx="8">
                  <c:v>51</c:v>
                </c:pt>
                <c:pt idx="9">
                  <c:v>60</c:v>
                </c:pt>
                <c:pt idx="10">
                  <c:v>70</c:v>
                </c:pt>
                <c:pt idx="11">
                  <c:v>74</c:v>
                </c:pt>
                <c:pt idx="12">
                  <c:v>78</c:v>
                </c:pt>
                <c:pt idx="13">
                  <c:v>81</c:v>
                </c:pt>
                <c:pt idx="14">
                  <c:v>86</c:v>
                </c:pt>
                <c:pt idx="15">
                  <c:v>92</c:v>
                </c:pt>
                <c:pt idx="16">
                  <c:v>94</c:v>
                </c:pt>
                <c:pt idx="17">
                  <c:v>97</c:v>
                </c:pt>
                <c:pt idx="18">
                  <c:v>102</c:v>
                </c:pt>
                <c:pt idx="19">
                  <c:v>104</c:v>
                </c:pt>
                <c:pt idx="20">
                  <c:v>106</c:v>
                </c:pt>
                <c:pt idx="21">
                  <c:v>108</c:v>
                </c:pt>
                <c:pt idx="22">
                  <c:v>120</c:v>
                </c:pt>
                <c:pt idx="23">
                  <c:v>124</c:v>
                </c:pt>
                <c:pt idx="24">
                  <c:v>132</c:v>
                </c:pt>
                <c:pt idx="25">
                  <c:v>144</c:v>
                </c:pt>
                <c:pt idx="26">
                  <c:v>155</c:v>
                </c:pt>
                <c:pt idx="27">
                  <c:v>161</c:v>
                </c:pt>
                <c:pt idx="28">
                  <c:v>172</c:v>
                </c:pt>
                <c:pt idx="29">
                  <c:v>176</c:v>
                </c:pt>
                <c:pt idx="30">
                  <c:v>177</c:v>
                </c:pt>
                <c:pt idx="31">
                  <c:v>178</c:v>
                </c:pt>
                <c:pt idx="32">
                  <c:v>181</c:v>
                </c:pt>
                <c:pt idx="33">
                  <c:v>188</c:v>
                </c:pt>
                <c:pt idx="34">
                  <c:v>190</c:v>
                </c:pt>
                <c:pt idx="35">
                  <c:v>196</c:v>
                </c:pt>
                <c:pt idx="36">
                  <c:v>204</c:v>
                </c:pt>
                <c:pt idx="37">
                  <c:v>207</c:v>
                </c:pt>
                <c:pt idx="38">
                  <c:v>211</c:v>
                </c:pt>
                <c:pt idx="39">
                  <c:v>217</c:v>
                </c:pt>
                <c:pt idx="40">
                  <c:v>219</c:v>
                </c:pt>
                <c:pt idx="41">
                  <c:v>224</c:v>
                </c:pt>
                <c:pt idx="42">
                  <c:v>226</c:v>
                </c:pt>
                <c:pt idx="43">
                  <c:v>228</c:v>
                </c:pt>
                <c:pt idx="44">
                  <c:v>234</c:v>
                </c:pt>
                <c:pt idx="45">
                  <c:v>235</c:v>
                </c:pt>
                <c:pt idx="46">
                  <c:v>237</c:v>
                </c:pt>
                <c:pt idx="47">
                  <c:v>248</c:v>
                </c:pt>
                <c:pt idx="48">
                  <c:v>256</c:v>
                </c:pt>
                <c:pt idx="49">
                  <c:v>260</c:v>
                </c:pt>
                <c:pt idx="50">
                  <c:v>270</c:v>
                </c:pt>
                <c:pt idx="51">
                  <c:v>283</c:v>
                </c:pt>
                <c:pt idx="52">
                  <c:v>291</c:v>
                </c:pt>
                <c:pt idx="53">
                  <c:v>296</c:v>
                </c:pt>
                <c:pt idx="54">
                  <c:v>297</c:v>
                </c:pt>
                <c:pt idx="55">
                  <c:v>303</c:v>
                </c:pt>
                <c:pt idx="56">
                  <c:v>304</c:v>
                </c:pt>
                <c:pt idx="57">
                  <c:v>335</c:v>
                </c:pt>
                <c:pt idx="58">
                  <c:v>348</c:v>
                </c:pt>
                <c:pt idx="59">
                  <c:v>362</c:v>
                </c:pt>
                <c:pt idx="60">
                  <c:v>365</c:v>
                </c:pt>
                <c:pt idx="61">
                  <c:v>381</c:v>
                </c:pt>
                <c:pt idx="62">
                  <c:v>382</c:v>
                </c:pt>
                <c:pt idx="63">
                  <c:v>391</c:v>
                </c:pt>
                <c:pt idx="64">
                  <c:v>401</c:v>
                </c:pt>
                <c:pt idx="65">
                  <c:v>411</c:v>
                </c:pt>
                <c:pt idx="66">
                  <c:v>415</c:v>
                </c:pt>
                <c:pt idx="67">
                  <c:v>423</c:v>
                </c:pt>
                <c:pt idx="68">
                  <c:v>434</c:v>
                </c:pt>
                <c:pt idx="69">
                  <c:v>443</c:v>
                </c:pt>
                <c:pt idx="70">
                  <c:v>455</c:v>
                </c:pt>
                <c:pt idx="71">
                  <c:v>471</c:v>
                </c:pt>
                <c:pt idx="72">
                  <c:v>500</c:v>
                </c:pt>
                <c:pt idx="73">
                  <c:v>504</c:v>
                </c:pt>
                <c:pt idx="74">
                  <c:v>526</c:v>
                </c:pt>
                <c:pt idx="75">
                  <c:v>532</c:v>
                </c:pt>
                <c:pt idx="76">
                  <c:v>550</c:v>
                </c:pt>
              </c:numCache>
            </c:numRef>
          </c:xVal>
          <c:yVal>
            <c:numRef>
              <c:f>'Bypass Funnel'!$D$2:$D$78</c:f>
              <c:numCache>
                <c:formatCode>0.0%</c:formatCode>
                <c:ptCount val="77"/>
                <c:pt idx="0">
                  <c:v>2.8000000000000001E-2</c:v>
                </c:pt>
                <c:pt idx="1">
                  <c:v>2.8000000000000001E-2</c:v>
                </c:pt>
                <c:pt idx="2">
                  <c:v>2.8000000000000001E-2</c:v>
                </c:pt>
                <c:pt idx="3">
                  <c:v>2.8000000000000001E-2</c:v>
                </c:pt>
                <c:pt idx="4">
                  <c:v>2.8000000000000001E-2</c:v>
                </c:pt>
                <c:pt idx="5">
                  <c:v>2.8000000000000001E-2</c:v>
                </c:pt>
                <c:pt idx="6">
                  <c:v>2.8000000000000001E-2</c:v>
                </c:pt>
                <c:pt idx="7">
                  <c:v>2.8000000000000001E-2</c:v>
                </c:pt>
                <c:pt idx="8">
                  <c:v>2.8000000000000001E-2</c:v>
                </c:pt>
                <c:pt idx="9">
                  <c:v>2.8000000000000001E-2</c:v>
                </c:pt>
                <c:pt idx="10">
                  <c:v>2.8000000000000001E-2</c:v>
                </c:pt>
                <c:pt idx="11">
                  <c:v>2.8000000000000001E-2</c:v>
                </c:pt>
                <c:pt idx="12">
                  <c:v>2.8000000000000001E-2</c:v>
                </c:pt>
                <c:pt idx="13">
                  <c:v>2.8000000000000001E-2</c:v>
                </c:pt>
                <c:pt idx="14">
                  <c:v>2.8000000000000001E-2</c:v>
                </c:pt>
                <c:pt idx="15">
                  <c:v>2.8000000000000001E-2</c:v>
                </c:pt>
                <c:pt idx="16">
                  <c:v>2.8000000000000001E-2</c:v>
                </c:pt>
                <c:pt idx="17">
                  <c:v>2.8000000000000001E-2</c:v>
                </c:pt>
                <c:pt idx="18">
                  <c:v>2.8000000000000001E-2</c:v>
                </c:pt>
                <c:pt idx="19">
                  <c:v>2.8000000000000001E-2</c:v>
                </c:pt>
                <c:pt idx="20">
                  <c:v>2.8000000000000001E-2</c:v>
                </c:pt>
                <c:pt idx="21">
                  <c:v>2.8000000000000001E-2</c:v>
                </c:pt>
                <c:pt idx="22">
                  <c:v>2.8000000000000001E-2</c:v>
                </c:pt>
                <c:pt idx="23">
                  <c:v>2.8000000000000001E-2</c:v>
                </c:pt>
                <c:pt idx="24">
                  <c:v>2.8000000000000001E-2</c:v>
                </c:pt>
                <c:pt idx="25">
                  <c:v>2.8000000000000001E-2</c:v>
                </c:pt>
                <c:pt idx="26">
                  <c:v>2.8000000000000001E-2</c:v>
                </c:pt>
                <c:pt idx="27">
                  <c:v>2.8000000000000001E-2</c:v>
                </c:pt>
                <c:pt idx="28">
                  <c:v>2.8000000000000001E-2</c:v>
                </c:pt>
                <c:pt idx="29">
                  <c:v>2.8000000000000001E-2</c:v>
                </c:pt>
                <c:pt idx="30">
                  <c:v>2.8000000000000001E-2</c:v>
                </c:pt>
                <c:pt idx="31">
                  <c:v>2.8000000000000001E-2</c:v>
                </c:pt>
                <c:pt idx="32">
                  <c:v>2.8000000000000001E-2</c:v>
                </c:pt>
                <c:pt idx="33">
                  <c:v>2.8000000000000001E-2</c:v>
                </c:pt>
                <c:pt idx="34">
                  <c:v>2.8000000000000001E-2</c:v>
                </c:pt>
                <c:pt idx="35">
                  <c:v>2.8000000000000001E-2</c:v>
                </c:pt>
                <c:pt idx="36">
                  <c:v>2.8000000000000001E-2</c:v>
                </c:pt>
                <c:pt idx="37">
                  <c:v>2.8000000000000001E-2</c:v>
                </c:pt>
                <c:pt idx="38">
                  <c:v>2.8000000000000001E-2</c:v>
                </c:pt>
                <c:pt idx="39">
                  <c:v>2.8000000000000001E-2</c:v>
                </c:pt>
                <c:pt idx="40">
                  <c:v>2.8000000000000001E-2</c:v>
                </c:pt>
                <c:pt idx="41">
                  <c:v>2.8000000000000001E-2</c:v>
                </c:pt>
                <c:pt idx="42">
                  <c:v>2.8000000000000001E-2</c:v>
                </c:pt>
                <c:pt idx="43">
                  <c:v>2.8000000000000001E-2</c:v>
                </c:pt>
                <c:pt idx="44">
                  <c:v>2.8000000000000001E-2</c:v>
                </c:pt>
                <c:pt idx="45">
                  <c:v>2.8000000000000001E-2</c:v>
                </c:pt>
                <c:pt idx="46">
                  <c:v>2.8000000000000001E-2</c:v>
                </c:pt>
                <c:pt idx="47">
                  <c:v>2.8000000000000001E-2</c:v>
                </c:pt>
                <c:pt idx="48">
                  <c:v>2.8000000000000001E-2</c:v>
                </c:pt>
                <c:pt idx="49">
                  <c:v>2.8000000000000001E-2</c:v>
                </c:pt>
                <c:pt idx="50">
                  <c:v>2.8000000000000001E-2</c:v>
                </c:pt>
                <c:pt idx="51">
                  <c:v>2.8000000000000001E-2</c:v>
                </c:pt>
                <c:pt idx="52">
                  <c:v>2.8000000000000001E-2</c:v>
                </c:pt>
                <c:pt idx="53">
                  <c:v>2.8000000000000001E-2</c:v>
                </c:pt>
                <c:pt idx="54">
                  <c:v>2.8000000000000001E-2</c:v>
                </c:pt>
                <c:pt idx="55">
                  <c:v>2.8000000000000001E-2</c:v>
                </c:pt>
                <c:pt idx="56">
                  <c:v>2.8000000000000001E-2</c:v>
                </c:pt>
                <c:pt idx="57">
                  <c:v>2.8000000000000001E-2</c:v>
                </c:pt>
                <c:pt idx="58">
                  <c:v>2.8000000000000001E-2</c:v>
                </c:pt>
                <c:pt idx="59">
                  <c:v>2.8000000000000001E-2</c:v>
                </c:pt>
                <c:pt idx="60">
                  <c:v>2.8000000000000001E-2</c:v>
                </c:pt>
                <c:pt idx="61">
                  <c:v>2.8000000000000001E-2</c:v>
                </c:pt>
                <c:pt idx="62">
                  <c:v>2.8000000000000001E-2</c:v>
                </c:pt>
                <c:pt idx="63">
                  <c:v>2.8000000000000001E-2</c:v>
                </c:pt>
                <c:pt idx="64">
                  <c:v>2.8000000000000001E-2</c:v>
                </c:pt>
                <c:pt idx="65">
                  <c:v>2.8000000000000001E-2</c:v>
                </c:pt>
                <c:pt idx="66">
                  <c:v>2.8000000000000001E-2</c:v>
                </c:pt>
                <c:pt idx="67">
                  <c:v>2.8000000000000001E-2</c:v>
                </c:pt>
                <c:pt idx="68">
                  <c:v>2.8000000000000001E-2</c:v>
                </c:pt>
                <c:pt idx="69">
                  <c:v>2.8000000000000001E-2</c:v>
                </c:pt>
                <c:pt idx="70">
                  <c:v>2.8000000000000001E-2</c:v>
                </c:pt>
                <c:pt idx="71">
                  <c:v>2.8000000000000001E-2</c:v>
                </c:pt>
                <c:pt idx="72">
                  <c:v>2.8000000000000001E-2</c:v>
                </c:pt>
                <c:pt idx="73">
                  <c:v>2.8000000000000001E-2</c:v>
                </c:pt>
                <c:pt idx="74">
                  <c:v>2.8000000000000001E-2</c:v>
                </c:pt>
                <c:pt idx="75">
                  <c:v>2.8000000000000001E-2</c:v>
                </c:pt>
                <c:pt idx="76">
                  <c:v>2.8000000000000001E-2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F-4104-BBA1-A6FFBC42C836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'Bypass Funnel'!$B$2:$B$78</c:f>
              <c:numCache>
                <c:formatCode>General</c:formatCode>
                <c:ptCount val="77"/>
                <c:pt idx="0">
                  <c:v>0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18</c:v>
                </c:pt>
                <c:pt idx="5">
                  <c:v>29</c:v>
                </c:pt>
                <c:pt idx="6">
                  <c:v>39</c:v>
                </c:pt>
                <c:pt idx="7">
                  <c:v>40</c:v>
                </c:pt>
                <c:pt idx="8">
                  <c:v>51</c:v>
                </c:pt>
                <c:pt idx="9">
                  <c:v>60</c:v>
                </c:pt>
                <c:pt idx="10">
                  <c:v>70</c:v>
                </c:pt>
                <c:pt idx="11">
                  <c:v>74</c:v>
                </c:pt>
                <c:pt idx="12">
                  <c:v>78</c:v>
                </c:pt>
                <c:pt idx="13">
                  <c:v>81</c:v>
                </c:pt>
                <c:pt idx="14">
                  <c:v>86</c:v>
                </c:pt>
                <c:pt idx="15">
                  <c:v>92</c:v>
                </c:pt>
                <c:pt idx="16">
                  <c:v>94</c:v>
                </c:pt>
                <c:pt idx="17">
                  <c:v>97</c:v>
                </c:pt>
                <c:pt idx="18">
                  <c:v>102</c:v>
                </c:pt>
                <c:pt idx="19">
                  <c:v>104</c:v>
                </c:pt>
                <c:pt idx="20">
                  <c:v>106</c:v>
                </c:pt>
                <c:pt idx="21">
                  <c:v>108</c:v>
                </c:pt>
                <c:pt idx="22">
                  <c:v>120</c:v>
                </c:pt>
                <c:pt idx="23">
                  <c:v>124</c:v>
                </c:pt>
                <c:pt idx="24">
                  <c:v>132</c:v>
                </c:pt>
                <c:pt idx="25">
                  <c:v>144</c:v>
                </c:pt>
                <c:pt idx="26">
                  <c:v>155</c:v>
                </c:pt>
                <c:pt idx="27">
                  <c:v>161</c:v>
                </c:pt>
                <c:pt idx="28">
                  <c:v>172</c:v>
                </c:pt>
                <c:pt idx="29">
                  <c:v>176</c:v>
                </c:pt>
                <c:pt idx="30">
                  <c:v>177</c:v>
                </c:pt>
                <c:pt idx="31">
                  <c:v>178</c:v>
                </c:pt>
                <c:pt idx="32">
                  <c:v>181</c:v>
                </c:pt>
                <c:pt idx="33">
                  <c:v>188</c:v>
                </c:pt>
                <c:pt idx="34">
                  <c:v>190</c:v>
                </c:pt>
                <c:pt idx="35">
                  <c:v>196</c:v>
                </c:pt>
                <c:pt idx="36">
                  <c:v>204</c:v>
                </c:pt>
                <c:pt idx="37">
                  <c:v>207</c:v>
                </c:pt>
                <c:pt idx="38">
                  <c:v>211</c:v>
                </c:pt>
                <c:pt idx="39">
                  <c:v>217</c:v>
                </c:pt>
                <c:pt idx="40">
                  <c:v>219</c:v>
                </c:pt>
                <c:pt idx="41">
                  <c:v>224</c:v>
                </c:pt>
                <c:pt idx="42">
                  <c:v>226</c:v>
                </c:pt>
                <c:pt idx="43">
                  <c:v>228</c:v>
                </c:pt>
                <c:pt idx="44">
                  <c:v>234</c:v>
                </c:pt>
                <c:pt idx="45">
                  <c:v>235</c:v>
                </c:pt>
                <c:pt idx="46">
                  <c:v>237</c:v>
                </c:pt>
                <c:pt idx="47">
                  <c:v>248</c:v>
                </c:pt>
                <c:pt idx="48">
                  <c:v>256</c:v>
                </c:pt>
                <c:pt idx="49">
                  <c:v>260</c:v>
                </c:pt>
                <c:pt idx="50">
                  <c:v>270</c:v>
                </c:pt>
                <c:pt idx="51">
                  <c:v>283</c:v>
                </c:pt>
                <c:pt idx="52">
                  <c:v>291</c:v>
                </c:pt>
                <c:pt idx="53">
                  <c:v>296</c:v>
                </c:pt>
                <c:pt idx="54">
                  <c:v>297</c:v>
                </c:pt>
                <c:pt idx="55">
                  <c:v>303</c:v>
                </c:pt>
                <c:pt idx="56">
                  <c:v>304</c:v>
                </c:pt>
                <c:pt idx="57">
                  <c:v>335</c:v>
                </c:pt>
                <c:pt idx="58">
                  <c:v>348</c:v>
                </c:pt>
                <c:pt idx="59">
                  <c:v>362</c:v>
                </c:pt>
                <c:pt idx="60">
                  <c:v>365</c:v>
                </c:pt>
                <c:pt idx="61">
                  <c:v>381</c:v>
                </c:pt>
                <c:pt idx="62">
                  <c:v>382</c:v>
                </c:pt>
                <c:pt idx="63">
                  <c:v>391</c:v>
                </c:pt>
                <c:pt idx="64">
                  <c:v>401</c:v>
                </c:pt>
                <c:pt idx="65">
                  <c:v>411</c:v>
                </c:pt>
                <c:pt idx="66">
                  <c:v>415</c:v>
                </c:pt>
                <c:pt idx="67">
                  <c:v>423</c:v>
                </c:pt>
                <c:pt idx="68">
                  <c:v>434</c:v>
                </c:pt>
                <c:pt idx="69">
                  <c:v>443</c:v>
                </c:pt>
                <c:pt idx="70">
                  <c:v>455</c:v>
                </c:pt>
                <c:pt idx="71">
                  <c:v>471</c:v>
                </c:pt>
                <c:pt idx="72">
                  <c:v>500</c:v>
                </c:pt>
                <c:pt idx="73">
                  <c:v>504</c:v>
                </c:pt>
                <c:pt idx="74">
                  <c:v>526</c:v>
                </c:pt>
                <c:pt idx="75">
                  <c:v>532</c:v>
                </c:pt>
                <c:pt idx="76">
                  <c:v>550</c:v>
                </c:pt>
              </c:numCache>
            </c:numRef>
          </c:xVal>
          <c:yVal>
            <c:numRef>
              <c:f>'Bypass Funnel'!$C$2:$C$78</c:f>
              <c:numCache>
                <c:formatCode>0.00%</c:formatCode>
                <c:ptCount val="77"/>
                <c:pt idx="0">
                  <c:v>0.5</c:v>
                </c:pt>
                <c:pt idx="1">
                  <c:v>0.42580000000000001</c:v>
                </c:pt>
                <c:pt idx="2">
                  <c:v>0.38979999999999998</c:v>
                </c:pt>
                <c:pt idx="3">
                  <c:v>0.31719999999999998</c:v>
                </c:pt>
                <c:pt idx="4">
                  <c:v>0.2397</c:v>
                </c:pt>
                <c:pt idx="5">
                  <c:v>0.17899999999999999</c:v>
                </c:pt>
                <c:pt idx="6">
                  <c:v>0.15210000000000001</c:v>
                </c:pt>
                <c:pt idx="7">
                  <c:v>0.14910000000000001</c:v>
                </c:pt>
                <c:pt idx="8">
                  <c:v>0.13370000000000001</c:v>
                </c:pt>
                <c:pt idx="9">
                  <c:v>0.12330000000000001</c:v>
                </c:pt>
                <c:pt idx="10">
                  <c:v>0.1132</c:v>
                </c:pt>
                <c:pt idx="11">
                  <c:v>0.1103</c:v>
                </c:pt>
                <c:pt idx="12">
                  <c:v>0.1089</c:v>
                </c:pt>
                <c:pt idx="13">
                  <c:v>0.107</c:v>
                </c:pt>
                <c:pt idx="14">
                  <c:v>0.1033</c:v>
                </c:pt>
                <c:pt idx="15">
                  <c:v>0.10009999999999999</c:v>
                </c:pt>
                <c:pt idx="16">
                  <c:v>9.9599999999999994E-2</c:v>
                </c:pt>
                <c:pt idx="17">
                  <c:v>9.8599999999999993E-2</c:v>
                </c:pt>
                <c:pt idx="18">
                  <c:v>9.6100000000000005E-2</c:v>
                </c:pt>
                <c:pt idx="19">
                  <c:v>9.4899999999999998E-2</c:v>
                </c:pt>
                <c:pt idx="20">
                  <c:v>9.3799999999999994E-2</c:v>
                </c:pt>
                <c:pt idx="21">
                  <c:v>9.2600000000000002E-2</c:v>
                </c:pt>
                <c:pt idx="22">
                  <c:v>8.9700000000000002E-2</c:v>
                </c:pt>
                <c:pt idx="23">
                  <c:v>8.7999999999999995E-2</c:v>
                </c:pt>
                <c:pt idx="24">
                  <c:v>8.6099999999999996E-2</c:v>
                </c:pt>
                <c:pt idx="25">
                  <c:v>8.2699999999999996E-2</c:v>
                </c:pt>
                <c:pt idx="26">
                  <c:v>8.09E-2</c:v>
                </c:pt>
                <c:pt idx="27">
                  <c:v>7.9500000000000001E-2</c:v>
                </c:pt>
                <c:pt idx="28">
                  <c:v>7.7499999999999999E-2</c:v>
                </c:pt>
                <c:pt idx="29">
                  <c:v>7.6999999999999999E-2</c:v>
                </c:pt>
                <c:pt idx="30">
                  <c:v>7.6799999999999993E-2</c:v>
                </c:pt>
                <c:pt idx="31">
                  <c:v>7.6600000000000001E-2</c:v>
                </c:pt>
                <c:pt idx="32">
                  <c:v>7.6100000000000001E-2</c:v>
                </c:pt>
                <c:pt idx="33">
                  <c:v>7.4399999999999994E-2</c:v>
                </c:pt>
                <c:pt idx="34">
                  <c:v>7.4399999999999994E-2</c:v>
                </c:pt>
                <c:pt idx="35">
                  <c:v>7.3899999999999993E-2</c:v>
                </c:pt>
                <c:pt idx="36">
                  <c:v>7.2700000000000001E-2</c:v>
                </c:pt>
                <c:pt idx="37">
                  <c:v>7.2099999999999997E-2</c:v>
                </c:pt>
                <c:pt idx="38">
                  <c:v>7.1499999999999994E-2</c:v>
                </c:pt>
                <c:pt idx="39">
                  <c:v>7.1199999999999999E-2</c:v>
                </c:pt>
                <c:pt idx="40">
                  <c:v>7.0999999999999994E-2</c:v>
                </c:pt>
                <c:pt idx="41">
                  <c:v>7.0300000000000001E-2</c:v>
                </c:pt>
                <c:pt idx="42">
                  <c:v>7.0000000000000007E-2</c:v>
                </c:pt>
                <c:pt idx="43">
                  <c:v>6.9699999999999998E-2</c:v>
                </c:pt>
                <c:pt idx="44">
                  <c:v>6.9099999999999995E-2</c:v>
                </c:pt>
                <c:pt idx="45">
                  <c:v>6.9099999999999995E-2</c:v>
                </c:pt>
                <c:pt idx="46">
                  <c:v>6.9000000000000006E-2</c:v>
                </c:pt>
                <c:pt idx="47">
                  <c:v>6.7799999999999999E-2</c:v>
                </c:pt>
                <c:pt idx="48">
                  <c:v>6.7000000000000004E-2</c:v>
                </c:pt>
                <c:pt idx="49">
                  <c:v>6.6799999999999998E-2</c:v>
                </c:pt>
                <c:pt idx="50">
                  <c:v>6.59E-2</c:v>
                </c:pt>
                <c:pt idx="51">
                  <c:v>6.4899999999999999E-2</c:v>
                </c:pt>
                <c:pt idx="52">
                  <c:v>6.4399999999999999E-2</c:v>
                </c:pt>
                <c:pt idx="53">
                  <c:v>6.3799999999999996E-2</c:v>
                </c:pt>
                <c:pt idx="54">
                  <c:v>6.3700000000000007E-2</c:v>
                </c:pt>
                <c:pt idx="55">
                  <c:v>6.3399999999999998E-2</c:v>
                </c:pt>
                <c:pt idx="56">
                  <c:v>6.3399999999999998E-2</c:v>
                </c:pt>
                <c:pt idx="57">
                  <c:v>6.1499999999999999E-2</c:v>
                </c:pt>
                <c:pt idx="58">
                  <c:v>6.0600000000000001E-2</c:v>
                </c:pt>
                <c:pt idx="59">
                  <c:v>6.0100000000000001E-2</c:v>
                </c:pt>
                <c:pt idx="60">
                  <c:v>5.9799999999999999E-2</c:v>
                </c:pt>
                <c:pt idx="61">
                  <c:v>5.9200000000000003E-2</c:v>
                </c:pt>
                <c:pt idx="62">
                  <c:v>5.91E-2</c:v>
                </c:pt>
                <c:pt idx="63">
                  <c:v>5.8599999999999999E-2</c:v>
                </c:pt>
                <c:pt idx="64">
                  <c:v>5.8200000000000002E-2</c:v>
                </c:pt>
                <c:pt idx="65">
                  <c:v>5.7799999999999997E-2</c:v>
                </c:pt>
                <c:pt idx="66">
                  <c:v>5.7599999999999998E-2</c:v>
                </c:pt>
                <c:pt idx="67">
                  <c:v>5.7299999999999997E-2</c:v>
                </c:pt>
                <c:pt idx="68">
                  <c:v>5.6899999999999999E-2</c:v>
                </c:pt>
                <c:pt idx="69">
                  <c:v>5.6399999999999999E-2</c:v>
                </c:pt>
                <c:pt idx="70">
                  <c:v>5.62E-2</c:v>
                </c:pt>
                <c:pt idx="71">
                  <c:v>5.5500000000000001E-2</c:v>
                </c:pt>
                <c:pt idx="72">
                  <c:v>5.4699999999999999E-2</c:v>
                </c:pt>
                <c:pt idx="73">
                  <c:v>5.4600000000000003E-2</c:v>
                </c:pt>
                <c:pt idx="74">
                  <c:v>5.3900000000000003E-2</c:v>
                </c:pt>
                <c:pt idx="75">
                  <c:v>5.3800000000000001E-2</c:v>
                </c:pt>
                <c:pt idx="76">
                  <c:v>5.33E-2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3F-4104-BBA1-A6FFBC42C836}"/>
            </c:ext>
          </c:extLst>
        </c:ser>
        <c:ser>
          <c:idx val="3"/>
          <c:order val="3"/>
          <c:tx>
            <c:strRef>
              <c:f>'Bypass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'Bypass Summary'!$D$30</c:f>
              <c:numCache>
                <c:formatCode>General</c:formatCode>
                <c:ptCount val="1"/>
                <c:pt idx="0">
                  <c:v>58</c:v>
                </c:pt>
              </c:numCache>
            </c:numRef>
          </c:xVal>
          <c:yVal>
            <c:numRef>
              <c:f>'Bypass Summary'!$F$30</c:f>
              <c:numCache>
                <c:formatCode>0.0%</c:formatCode>
                <c:ptCount val="1"/>
                <c:pt idx="0">
                  <c:v>3.5000000000000005E-4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3F-4104-BBA1-A6FFBC42C836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'Bypass Funnel'!$B$2:$B$78</c:f>
              <c:numCache>
                <c:formatCode>General</c:formatCode>
                <c:ptCount val="77"/>
                <c:pt idx="0">
                  <c:v>0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18</c:v>
                </c:pt>
                <c:pt idx="5">
                  <c:v>29</c:v>
                </c:pt>
                <c:pt idx="6">
                  <c:v>39</c:v>
                </c:pt>
                <c:pt idx="7">
                  <c:v>40</c:v>
                </c:pt>
                <c:pt idx="8">
                  <c:v>51</c:v>
                </c:pt>
                <c:pt idx="9">
                  <c:v>60</c:v>
                </c:pt>
                <c:pt idx="10">
                  <c:v>70</c:v>
                </c:pt>
                <c:pt idx="11">
                  <c:v>74</c:v>
                </c:pt>
                <c:pt idx="12">
                  <c:v>78</c:v>
                </c:pt>
                <c:pt idx="13">
                  <c:v>81</c:v>
                </c:pt>
                <c:pt idx="14">
                  <c:v>86</c:v>
                </c:pt>
                <c:pt idx="15">
                  <c:v>92</c:v>
                </c:pt>
                <c:pt idx="16">
                  <c:v>94</c:v>
                </c:pt>
                <c:pt idx="17">
                  <c:v>97</c:v>
                </c:pt>
                <c:pt idx="18">
                  <c:v>102</c:v>
                </c:pt>
                <c:pt idx="19">
                  <c:v>104</c:v>
                </c:pt>
                <c:pt idx="20">
                  <c:v>106</c:v>
                </c:pt>
                <c:pt idx="21">
                  <c:v>108</c:v>
                </c:pt>
                <c:pt idx="22">
                  <c:v>120</c:v>
                </c:pt>
                <c:pt idx="23">
                  <c:v>124</c:v>
                </c:pt>
                <c:pt idx="24">
                  <c:v>132</c:v>
                </c:pt>
                <c:pt idx="25">
                  <c:v>144</c:v>
                </c:pt>
                <c:pt idx="26">
                  <c:v>155</c:v>
                </c:pt>
                <c:pt idx="27">
                  <c:v>161</c:v>
                </c:pt>
                <c:pt idx="28">
                  <c:v>172</c:v>
                </c:pt>
                <c:pt idx="29">
                  <c:v>176</c:v>
                </c:pt>
                <c:pt idx="30">
                  <c:v>177</c:v>
                </c:pt>
                <c:pt idx="31">
                  <c:v>178</c:v>
                </c:pt>
                <c:pt idx="32">
                  <c:v>181</c:v>
                </c:pt>
                <c:pt idx="33">
                  <c:v>188</c:v>
                </c:pt>
                <c:pt idx="34">
                  <c:v>190</c:v>
                </c:pt>
                <c:pt idx="35">
                  <c:v>196</c:v>
                </c:pt>
                <c:pt idx="36">
                  <c:v>204</c:v>
                </c:pt>
                <c:pt idx="37">
                  <c:v>207</c:v>
                </c:pt>
                <c:pt idx="38">
                  <c:v>211</c:v>
                </c:pt>
                <c:pt idx="39">
                  <c:v>217</c:v>
                </c:pt>
                <c:pt idx="40">
                  <c:v>219</c:v>
                </c:pt>
                <c:pt idx="41">
                  <c:v>224</c:v>
                </c:pt>
                <c:pt idx="42">
                  <c:v>226</c:v>
                </c:pt>
                <c:pt idx="43">
                  <c:v>228</c:v>
                </c:pt>
                <c:pt idx="44">
                  <c:v>234</c:v>
                </c:pt>
                <c:pt idx="45">
                  <c:v>235</c:v>
                </c:pt>
                <c:pt idx="46">
                  <c:v>237</c:v>
                </c:pt>
                <c:pt idx="47">
                  <c:v>248</c:v>
                </c:pt>
                <c:pt idx="48">
                  <c:v>256</c:v>
                </c:pt>
                <c:pt idx="49">
                  <c:v>260</c:v>
                </c:pt>
                <c:pt idx="50">
                  <c:v>270</c:v>
                </c:pt>
                <c:pt idx="51">
                  <c:v>283</c:v>
                </c:pt>
                <c:pt idx="52">
                  <c:v>291</c:v>
                </c:pt>
                <c:pt idx="53">
                  <c:v>296</c:v>
                </c:pt>
                <c:pt idx="54">
                  <c:v>297</c:v>
                </c:pt>
                <c:pt idx="55">
                  <c:v>303</c:v>
                </c:pt>
                <c:pt idx="56">
                  <c:v>304</c:v>
                </c:pt>
                <c:pt idx="57">
                  <c:v>335</c:v>
                </c:pt>
                <c:pt idx="58">
                  <c:v>348</c:v>
                </c:pt>
                <c:pt idx="59">
                  <c:v>362</c:v>
                </c:pt>
                <c:pt idx="60">
                  <c:v>365</c:v>
                </c:pt>
                <c:pt idx="61">
                  <c:v>381</c:v>
                </c:pt>
                <c:pt idx="62">
                  <c:v>382</c:v>
                </c:pt>
                <c:pt idx="63">
                  <c:v>391</c:v>
                </c:pt>
                <c:pt idx="64">
                  <c:v>401</c:v>
                </c:pt>
                <c:pt idx="65">
                  <c:v>411</c:v>
                </c:pt>
                <c:pt idx="66">
                  <c:v>415</c:v>
                </c:pt>
                <c:pt idx="67">
                  <c:v>423</c:v>
                </c:pt>
                <c:pt idx="68">
                  <c:v>434</c:v>
                </c:pt>
                <c:pt idx="69">
                  <c:v>443</c:v>
                </c:pt>
                <c:pt idx="70">
                  <c:v>455</c:v>
                </c:pt>
                <c:pt idx="71">
                  <c:v>471</c:v>
                </c:pt>
                <c:pt idx="72">
                  <c:v>500</c:v>
                </c:pt>
                <c:pt idx="73">
                  <c:v>504</c:v>
                </c:pt>
                <c:pt idx="74">
                  <c:v>526</c:v>
                </c:pt>
                <c:pt idx="75">
                  <c:v>532</c:v>
                </c:pt>
                <c:pt idx="76">
                  <c:v>550</c:v>
                </c:pt>
              </c:numCache>
            </c:numRef>
          </c:xVal>
          <c:yVal>
            <c:numRef>
              <c:f>'Bypass Funnel'!$E$2:$E$78</c:f>
              <c:numCache>
                <c:formatCode>0.00%</c:formatCode>
                <c:ptCount val="77"/>
                <c:pt idx="47">
                  <c:v>1E-4</c:v>
                </c:pt>
                <c:pt idx="48">
                  <c:v>2.9999999999999997E-4</c:v>
                </c:pt>
                <c:pt idx="49">
                  <c:v>4.0000000000000002E-4</c:v>
                </c:pt>
                <c:pt idx="50">
                  <c:v>5.9999999999999995E-4</c:v>
                </c:pt>
                <c:pt idx="51">
                  <c:v>1E-3</c:v>
                </c:pt>
                <c:pt idx="52">
                  <c:v>1.2999999999999999E-3</c:v>
                </c:pt>
                <c:pt idx="53">
                  <c:v>1.5E-3</c:v>
                </c:pt>
                <c:pt idx="54">
                  <c:v>1.5E-3</c:v>
                </c:pt>
                <c:pt idx="55">
                  <c:v>1.8E-3</c:v>
                </c:pt>
                <c:pt idx="56">
                  <c:v>1.9E-3</c:v>
                </c:pt>
                <c:pt idx="57">
                  <c:v>3.2000000000000002E-3</c:v>
                </c:pt>
                <c:pt idx="58">
                  <c:v>3.3999999999999998E-3</c:v>
                </c:pt>
                <c:pt idx="59">
                  <c:v>3.8E-3</c:v>
                </c:pt>
                <c:pt idx="60">
                  <c:v>3.8E-3</c:v>
                </c:pt>
                <c:pt idx="61">
                  <c:v>4.4000000000000003E-3</c:v>
                </c:pt>
                <c:pt idx="62">
                  <c:v>4.4999999999999997E-3</c:v>
                </c:pt>
                <c:pt idx="63">
                  <c:v>4.8999999999999998E-3</c:v>
                </c:pt>
                <c:pt idx="64">
                  <c:v>5.1000000000000004E-3</c:v>
                </c:pt>
                <c:pt idx="65">
                  <c:v>5.1999999999999998E-3</c:v>
                </c:pt>
                <c:pt idx="66">
                  <c:v>5.3E-3</c:v>
                </c:pt>
                <c:pt idx="67">
                  <c:v>5.4000000000000003E-3</c:v>
                </c:pt>
                <c:pt idx="68">
                  <c:v>5.7000000000000002E-3</c:v>
                </c:pt>
                <c:pt idx="69">
                  <c:v>5.8999999999999999E-3</c:v>
                </c:pt>
                <c:pt idx="70">
                  <c:v>6.4000000000000003E-3</c:v>
                </c:pt>
                <c:pt idx="71">
                  <c:v>6.6E-3</c:v>
                </c:pt>
                <c:pt idx="72">
                  <c:v>7.1000000000000004E-3</c:v>
                </c:pt>
                <c:pt idx="73">
                  <c:v>7.1999999999999998E-3</c:v>
                </c:pt>
                <c:pt idx="74">
                  <c:v>7.7000000000000002E-3</c:v>
                </c:pt>
                <c:pt idx="75">
                  <c:v>7.7999999999999996E-3</c:v>
                </c:pt>
                <c:pt idx="76">
                  <c:v>8.0000000000000002E-3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9F-4DF7-B07A-EA317F3C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5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operations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50"/>
      </c:valAx>
      <c:valAx>
        <c:axId val="578493408"/>
        <c:scaling>
          <c:orientation val="minMax"/>
          <c:max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In hospital deaths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9525</xdr:rowOff>
    </xdr:from>
    <xdr:to>
      <xdr:col>10</xdr:col>
      <xdr:colOff>981075</xdr:colOff>
      <xdr:row>26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47</xdr:row>
      <xdr:rowOff>95250</xdr:rowOff>
    </xdr:from>
    <xdr:to>
      <xdr:col>6</xdr:col>
      <xdr:colOff>1095375</xdr:colOff>
      <xdr:row>67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47624</xdr:colOff>
      <xdr:row>32</xdr:row>
      <xdr:rowOff>122465</xdr:rowOff>
    </xdr:from>
    <xdr:to>
      <xdr:col>11</xdr:col>
      <xdr:colOff>1359</xdr:colOff>
      <xdr:row>47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95250</xdr:rowOff>
    </xdr:from>
    <xdr:to>
      <xdr:col>14</xdr:col>
      <xdr:colOff>76198</xdr:colOff>
      <xdr:row>27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31</xdr:row>
      <xdr:rowOff>133350</xdr:rowOff>
    </xdr:from>
    <xdr:to>
      <xdr:col>14</xdr:col>
      <xdr:colOff>171450</xdr:colOff>
      <xdr:row>57</xdr:row>
      <xdr:rowOff>76199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54429</xdr:rowOff>
    </xdr:from>
    <xdr:to>
      <xdr:col>16</xdr:col>
      <xdr:colOff>314323</xdr:colOff>
      <xdr:row>27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31</xdr:row>
      <xdr:rowOff>47625</xdr:rowOff>
    </xdr:from>
    <xdr:to>
      <xdr:col>9</xdr:col>
      <xdr:colOff>816429</xdr:colOff>
      <xdr:row>53</xdr:row>
      <xdr:rowOff>108857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85725</xdr:rowOff>
    </xdr:from>
    <xdr:to>
      <xdr:col>10</xdr:col>
      <xdr:colOff>95250</xdr:colOff>
      <xdr:row>27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400049</xdr:colOff>
      <xdr:row>31</xdr:row>
      <xdr:rowOff>152400</xdr:rowOff>
    </xdr:from>
    <xdr:to>
      <xdr:col>8</xdr:col>
      <xdr:colOff>217713</xdr:colOff>
      <xdr:row>54</xdr:row>
      <xdr:rowOff>108857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38103</xdr:colOff>
      <xdr:row>2</xdr:row>
      <xdr:rowOff>95249</xdr:rowOff>
    </xdr:from>
    <xdr:to>
      <xdr:col>13</xdr:col>
      <xdr:colOff>95251</xdr:colOff>
      <xdr:row>26</xdr:row>
      <xdr:rowOff>171448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30</xdr:row>
      <xdr:rowOff>47625</xdr:rowOff>
    </xdr:from>
    <xdr:to>
      <xdr:col>8</xdr:col>
      <xdr:colOff>206374</xdr:colOff>
      <xdr:row>50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635000</xdr:colOff>
      <xdr:row>32</xdr:row>
      <xdr:rowOff>142875</xdr:rowOff>
    </xdr:from>
    <xdr:to>
      <xdr:col>15</xdr:col>
      <xdr:colOff>396875</xdr:colOff>
      <xdr:row>50</xdr:row>
      <xdr:rowOff>31750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180975</xdr:colOff>
      <xdr:row>51</xdr:row>
      <xdr:rowOff>0</xdr:rowOff>
    </xdr:from>
    <xdr:to>
      <xdr:col>14</xdr:col>
      <xdr:colOff>1409698</xdr:colOff>
      <xdr:row>76</xdr:row>
      <xdr:rowOff>152399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81643</xdr:rowOff>
    </xdr:from>
    <xdr:to>
      <xdr:col>12</xdr:col>
      <xdr:colOff>27215</xdr:colOff>
      <xdr:row>26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68036</xdr:colOff>
      <xdr:row>52</xdr:row>
      <xdr:rowOff>108857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557893</xdr:colOff>
      <xdr:row>31</xdr:row>
      <xdr:rowOff>27215</xdr:rowOff>
    </xdr:from>
    <xdr:to>
      <xdr:col>13</xdr:col>
      <xdr:colOff>136071</xdr:colOff>
      <xdr:row>52</xdr:row>
      <xdr:rowOff>108856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tlVasReg/2018%20Annual%20Report/Ideas%20for%20Appendices/Newcastle%20Demo%20Apr%202019/NVR%20NHS%20Organisation%20Data%20Vie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A Summary"/>
      <sheetName val="AAA Summary"/>
      <sheetName val="AAA 2018 Report"/>
      <sheetName val="AAA 2017 Report"/>
      <sheetName val="AAA 2016 Report"/>
      <sheetName val="Carotid Endarterectomy"/>
      <sheetName val="AAA Limts"/>
      <sheetName val="CEA Limits"/>
      <sheetName val="AAA Funnel"/>
      <sheetName val="CEA Fun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8.140625" bestFit="1" customWidth="1"/>
    <col min="3" max="3" width="15.7109375" customWidth="1"/>
    <col min="4" max="4" width="10.28515625" bestFit="1" customWidth="1"/>
    <col min="5" max="5" width="13" customWidth="1"/>
    <col min="6" max="6" width="17.5703125" customWidth="1"/>
    <col min="7" max="7" width="17.85546875" customWidth="1"/>
    <col min="8" max="8" width="21.5703125" customWidth="1"/>
    <col min="9" max="9" width="11.7109375" bestFit="1" customWidth="1"/>
    <col min="10" max="10" width="20.42578125" customWidth="1"/>
    <col min="11" max="11" width="16.140625" customWidth="1"/>
    <col min="12" max="12" width="55.5703125" style="31" bestFit="1" customWidth="1"/>
    <col min="13" max="13" width="16.85546875" style="31" bestFit="1" customWidth="1"/>
    <col min="14" max="26" width="9.140625" style="31"/>
    <col min="27" max="27" width="13.28515625" style="124" bestFit="1" customWidth="1"/>
    <col min="28" max="28" width="11.28515625" style="124" customWidth="1"/>
    <col min="29" max="29" width="11.85546875" style="124" customWidth="1"/>
    <col min="30" max="30" width="7.28515625" style="124" bestFit="1" customWidth="1"/>
    <col min="31" max="31" width="10.140625" style="124" bestFit="1" customWidth="1"/>
    <col min="32" max="32" width="61" style="124" bestFit="1" customWidth="1"/>
    <col min="33" max="33" width="12" style="124" bestFit="1" customWidth="1"/>
    <col min="34" max="34" width="7.28515625" style="124" customWidth="1"/>
    <col min="35" max="35" width="7.42578125" style="124" bestFit="1" customWidth="1"/>
    <col min="36" max="38" width="9.140625" style="33"/>
    <col min="39" max="40" width="9.140625" style="31"/>
  </cols>
  <sheetData>
    <row r="1" spans="1:37" ht="27" customHeight="1" x14ac:dyDescent="0.25">
      <c r="A1" s="19" t="s">
        <v>349</v>
      </c>
      <c r="B1" s="20" t="s">
        <v>8</v>
      </c>
      <c r="AA1" s="120"/>
      <c r="AB1" s="148" t="s">
        <v>710</v>
      </c>
      <c r="AC1" s="148"/>
      <c r="AD1" s="149" t="s">
        <v>711</v>
      </c>
      <c r="AE1" s="150" t="s">
        <v>176</v>
      </c>
      <c r="AF1" s="150" t="s">
        <v>175</v>
      </c>
      <c r="AG1" s="151" t="s">
        <v>708</v>
      </c>
      <c r="AH1" s="152" t="s">
        <v>706</v>
      </c>
      <c r="AI1" s="152" t="s">
        <v>707</v>
      </c>
      <c r="AJ1" s="151" t="s">
        <v>356</v>
      </c>
      <c r="AK1" s="151" t="s">
        <v>357</v>
      </c>
    </row>
    <row r="2" spans="1:37" x14ac:dyDescent="0.25">
      <c r="AB2" s="124">
        <f>VLOOKUP($B$1,'AAA Summary'!$AF:$AK,3,FALSE)</f>
        <v>0.58333333333333337</v>
      </c>
      <c r="AD2" s="124">
        <f>VLOOKUP($B$1,'AAA Summary'!$AF:$AK,2,FALSE)</f>
        <v>35</v>
      </c>
      <c r="AE2" s="153" t="s">
        <v>13</v>
      </c>
      <c r="AF2" s="153" t="s">
        <v>422</v>
      </c>
      <c r="AG2" s="33">
        <v>1</v>
      </c>
      <c r="AH2" s="154">
        <v>1</v>
      </c>
      <c r="AI2" s="154">
        <v>0</v>
      </c>
      <c r="AJ2" s="33">
        <f>VLOOKUP($C29,'AAA Funnel'!$A:$C,2,FALSE)</f>
        <v>95</v>
      </c>
      <c r="AK2" s="33">
        <f>VLOOKUP($C29,'AAA Funnel'!$A:$C,3,FALSE)</f>
        <v>2.2999999999999998</v>
      </c>
    </row>
    <row r="3" spans="1:37" x14ac:dyDescent="0.25">
      <c r="AB3" s="124" t="s">
        <v>709</v>
      </c>
      <c r="AD3" s="124" t="s">
        <v>370</v>
      </c>
      <c r="AE3" s="153" t="s">
        <v>108</v>
      </c>
      <c r="AF3" s="153" t="s">
        <v>109</v>
      </c>
      <c r="AG3" s="33">
        <v>2</v>
      </c>
      <c r="AH3" s="154">
        <v>1</v>
      </c>
      <c r="AI3" s="154">
        <v>0</v>
      </c>
    </row>
    <row r="4" spans="1:37" x14ac:dyDescent="0.25">
      <c r="AB4" s="124">
        <f>VLOOKUP($B$1,'Elective Infra-Renal AAA Repair'!$B$8:$U$78,20,FALSE)</f>
        <v>0.91666669999999995</v>
      </c>
      <c r="AD4" s="124">
        <f>VLOOKUP($B$1,'Elective Infra-Renal AAA Repair'!$B$8:$U$78,19,FALSE)</f>
        <v>23</v>
      </c>
      <c r="AE4" s="153" t="s">
        <v>15</v>
      </c>
      <c r="AF4" s="153" t="s">
        <v>16</v>
      </c>
      <c r="AG4" s="33">
        <v>3</v>
      </c>
      <c r="AH4" s="154">
        <v>1</v>
      </c>
      <c r="AI4" s="154">
        <v>0</v>
      </c>
    </row>
    <row r="5" spans="1:37" x14ac:dyDescent="0.25">
      <c r="AE5" s="153" t="s">
        <v>45</v>
      </c>
      <c r="AF5" s="153" t="s">
        <v>417</v>
      </c>
      <c r="AG5" s="33">
        <v>4</v>
      </c>
      <c r="AH5" s="154">
        <v>0.94117647058823528</v>
      </c>
      <c r="AI5" s="154">
        <v>5.8823529411764705E-2</v>
      </c>
    </row>
    <row r="6" spans="1:37" x14ac:dyDescent="0.25">
      <c r="AE6" s="153" t="s">
        <v>31</v>
      </c>
      <c r="AF6" s="153" t="s">
        <v>32</v>
      </c>
      <c r="AG6" s="33">
        <v>5</v>
      </c>
      <c r="AH6" s="154">
        <v>0.92105263157894735</v>
      </c>
      <c r="AI6" s="154">
        <v>7.8947368421052627E-2</v>
      </c>
    </row>
    <row r="7" spans="1:37" x14ac:dyDescent="0.25">
      <c r="AB7" s="124" t="s">
        <v>1004</v>
      </c>
      <c r="AC7" s="124" t="s">
        <v>1005</v>
      </c>
      <c r="AE7" s="153" t="s">
        <v>65</v>
      </c>
      <c r="AF7" s="153" t="s">
        <v>66</v>
      </c>
      <c r="AG7" s="33">
        <v>6</v>
      </c>
      <c r="AH7" s="154">
        <v>0.87804878048780488</v>
      </c>
      <c r="AI7" s="154">
        <v>0.12195121951219512</v>
      </c>
    </row>
    <row r="8" spans="1:37" x14ac:dyDescent="0.25">
      <c r="AE8" s="153" t="s">
        <v>19</v>
      </c>
      <c r="AF8" s="153" t="s">
        <v>680</v>
      </c>
      <c r="AG8" s="33">
        <v>7</v>
      </c>
      <c r="AH8" s="154">
        <v>0.83333333333333337</v>
      </c>
      <c r="AI8" s="154">
        <v>0.16666666666666666</v>
      </c>
    </row>
    <row r="9" spans="1:37" x14ac:dyDescent="0.25">
      <c r="AE9" s="153" t="s">
        <v>153</v>
      </c>
      <c r="AF9" s="153" t="s">
        <v>154</v>
      </c>
      <c r="AG9" s="33">
        <v>8</v>
      </c>
      <c r="AH9" s="154">
        <v>0.81481481481481477</v>
      </c>
      <c r="AI9" s="154">
        <v>0.18518518518518517</v>
      </c>
    </row>
    <row r="10" spans="1:37" x14ac:dyDescent="0.25">
      <c r="AE10" s="153" t="s">
        <v>3</v>
      </c>
      <c r="AF10" s="153" t="s">
        <v>4</v>
      </c>
      <c r="AG10" s="33">
        <v>9</v>
      </c>
      <c r="AH10" s="154">
        <v>0.8</v>
      </c>
      <c r="AI10" s="154">
        <v>0.2</v>
      </c>
    </row>
    <row r="11" spans="1:37" x14ac:dyDescent="0.25">
      <c r="AE11" s="153" t="s">
        <v>37</v>
      </c>
      <c r="AF11" s="153" t="s">
        <v>198</v>
      </c>
      <c r="AG11" s="33">
        <v>10</v>
      </c>
      <c r="AH11" s="154">
        <v>0.8</v>
      </c>
      <c r="AI11" s="154">
        <v>0.2</v>
      </c>
    </row>
    <row r="12" spans="1:37" x14ac:dyDescent="0.25">
      <c r="AE12" s="153" t="s">
        <v>38</v>
      </c>
      <c r="AF12" s="153" t="s">
        <v>39</v>
      </c>
      <c r="AG12" s="33">
        <v>11</v>
      </c>
      <c r="AH12" s="154">
        <v>0.8</v>
      </c>
      <c r="AI12" s="154">
        <v>0.2</v>
      </c>
    </row>
    <row r="13" spans="1:37" x14ac:dyDescent="0.25">
      <c r="AE13" s="153" t="s">
        <v>674</v>
      </c>
      <c r="AF13" s="153" t="s">
        <v>675</v>
      </c>
      <c r="AG13" s="33">
        <v>12</v>
      </c>
      <c r="AH13" s="154">
        <v>0.79487179487179482</v>
      </c>
      <c r="AI13" s="154">
        <v>0.20512820512820512</v>
      </c>
    </row>
    <row r="14" spans="1:37" x14ac:dyDescent="0.25">
      <c r="AE14" s="153" t="s">
        <v>701</v>
      </c>
      <c r="AF14" s="153" t="s">
        <v>702</v>
      </c>
      <c r="AG14" s="33">
        <v>13</v>
      </c>
      <c r="AH14" s="154">
        <v>0.78688524590163933</v>
      </c>
      <c r="AI14" s="154">
        <v>0.21311475409836064</v>
      </c>
    </row>
    <row r="15" spans="1:37" x14ac:dyDescent="0.25">
      <c r="AE15" s="153" t="s">
        <v>123</v>
      </c>
      <c r="AF15" s="153" t="s">
        <v>124</v>
      </c>
      <c r="AG15" s="33">
        <v>14</v>
      </c>
      <c r="AH15" s="154">
        <v>0.77777777777777779</v>
      </c>
      <c r="AI15" s="154">
        <v>0.22222222222222221</v>
      </c>
    </row>
    <row r="16" spans="1:37" x14ac:dyDescent="0.25">
      <c r="AE16" s="153" t="s">
        <v>125</v>
      </c>
      <c r="AF16" s="153" t="s">
        <v>126</v>
      </c>
      <c r="AG16" s="33">
        <v>15</v>
      </c>
      <c r="AH16" s="154">
        <v>0.77777777777777779</v>
      </c>
      <c r="AI16" s="154">
        <v>0.22222222222222221</v>
      </c>
    </row>
    <row r="17" spans="2:35" x14ac:dyDescent="0.25">
      <c r="AE17" s="153" t="s">
        <v>69</v>
      </c>
      <c r="AF17" s="153" t="s">
        <v>70</v>
      </c>
      <c r="AG17" s="33">
        <v>16</v>
      </c>
      <c r="AH17" s="154">
        <v>0.77551020408163263</v>
      </c>
      <c r="AI17" s="154">
        <v>0.22448979591836735</v>
      </c>
    </row>
    <row r="18" spans="2:35" x14ac:dyDescent="0.25">
      <c r="AE18" s="153" t="s">
        <v>63</v>
      </c>
      <c r="AF18" s="153" t="s">
        <v>64</v>
      </c>
      <c r="AG18" s="33">
        <v>17</v>
      </c>
      <c r="AH18" s="154">
        <v>0.75806451612903225</v>
      </c>
      <c r="AI18" s="154">
        <v>0.24193548387096775</v>
      </c>
    </row>
    <row r="19" spans="2:35" x14ac:dyDescent="0.25">
      <c r="AE19" s="153" t="s">
        <v>159</v>
      </c>
      <c r="AF19" s="153" t="s">
        <v>160</v>
      </c>
      <c r="AG19" s="33">
        <v>18</v>
      </c>
      <c r="AH19" s="154">
        <v>0.75</v>
      </c>
      <c r="AI19" s="154">
        <v>0.25</v>
      </c>
    </row>
    <row r="20" spans="2:35" x14ac:dyDescent="0.25">
      <c r="AE20" s="153" t="s">
        <v>88</v>
      </c>
      <c r="AF20" s="153" t="s">
        <v>89</v>
      </c>
      <c r="AG20" s="33">
        <v>19</v>
      </c>
      <c r="AH20" s="154">
        <v>0.75</v>
      </c>
      <c r="AI20" s="154">
        <v>0.25</v>
      </c>
    </row>
    <row r="21" spans="2:35" x14ac:dyDescent="0.25">
      <c r="AE21" s="153" t="s">
        <v>133</v>
      </c>
      <c r="AF21" s="153" t="s">
        <v>134</v>
      </c>
      <c r="AG21" s="33">
        <v>20</v>
      </c>
      <c r="AH21" s="154">
        <v>0.75</v>
      </c>
      <c r="AI21" s="154">
        <v>0.25</v>
      </c>
    </row>
    <row r="22" spans="2:35" x14ac:dyDescent="0.25">
      <c r="AE22" s="153" t="s">
        <v>104</v>
      </c>
      <c r="AF22" s="153" t="s">
        <v>105</v>
      </c>
      <c r="AG22" s="33">
        <v>21</v>
      </c>
      <c r="AH22" s="154">
        <v>0.72222222222222221</v>
      </c>
      <c r="AI22" s="154">
        <v>0.27777777777777779</v>
      </c>
    </row>
    <row r="23" spans="2:35" x14ac:dyDescent="0.25">
      <c r="AE23" s="153" t="s">
        <v>165</v>
      </c>
      <c r="AF23" s="153" t="s">
        <v>166</v>
      </c>
      <c r="AG23" s="33">
        <v>22</v>
      </c>
      <c r="AH23" s="154">
        <v>0.70588235294117652</v>
      </c>
      <c r="AI23" s="154">
        <v>0.29411764705882354</v>
      </c>
    </row>
    <row r="24" spans="2:35" x14ac:dyDescent="0.25">
      <c r="AE24" s="153" t="s">
        <v>163</v>
      </c>
      <c r="AF24" s="153" t="s">
        <v>164</v>
      </c>
      <c r="AG24" s="33">
        <v>23</v>
      </c>
      <c r="AH24" s="154">
        <v>0.7</v>
      </c>
      <c r="AI24" s="154">
        <v>0.3</v>
      </c>
    </row>
    <row r="25" spans="2:35" x14ac:dyDescent="0.25">
      <c r="AE25" s="153" t="s">
        <v>84</v>
      </c>
      <c r="AF25" s="153" t="s">
        <v>85</v>
      </c>
      <c r="AG25" s="33">
        <v>24</v>
      </c>
      <c r="AH25" s="154">
        <v>0.66666666666666663</v>
      </c>
      <c r="AI25" s="154">
        <v>0.33333333333333331</v>
      </c>
    </row>
    <row r="26" spans="2:35" x14ac:dyDescent="0.25">
      <c r="AE26" s="153" t="s">
        <v>147</v>
      </c>
      <c r="AF26" s="153" t="s">
        <v>148</v>
      </c>
      <c r="AG26" s="33">
        <v>25</v>
      </c>
      <c r="AH26" s="154">
        <v>0.6607142857142857</v>
      </c>
      <c r="AI26" s="154">
        <v>0.3392857142857143</v>
      </c>
    </row>
    <row r="27" spans="2:35" ht="15.75" thickBot="1" x14ac:dyDescent="0.3">
      <c r="AE27" s="153" t="s">
        <v>9</v>
      </c>
      <c r="AF27" s="153" t="s">
        <v>10</v>
      </c>
      <c r="AG27" s="33">
        <v>26</v>
      </c>
      <c r="AH27" s="154">
        <v>0.65454545454545454</v>
      </c>
      <c r="AI27" s="154">
        <v>0.34545454545454546</v>
      </c>
    </row>
    <row r="28" spans="2:35" ht="60.75" thickBot="1" x14ac:dyDescent="0.3">
      <c r="B28" s="21" t="s">
        <v>175</v>
      </c>
      <c r="C28" s="21" t="s">
        <v>176</v>
      </c>
      <c r="D28" s="22" t="s">
        <v>184</v>
      </c>
      <c r="E28" s="22" t="s">
        <v>185</v>
      </c>
      <c r="F28" s="21" t="s">
        <v>190</v>
      </c>
      <c r="G28" s="21" t="s">
        <v>191</v>
      </c>
      <c r="H28" s="21" t="s">
        <v>1204</v>
      </c>
      <c r="AE28" s="153" t="s">
        <v>151</v>
      </c>
      <c r="AF28" s="153" t="s">
        <v>152</v>
      </c>
      <c r="AG28" s="33">
        <v>27</v>
      </c>
      <c r="AH28" s="154">
        <v>0.64</v>
      </c>
      <c r="AI28" s="154">
        <v>0.36</v>
      </c>
    </row>
    <row r="29" spans="2:35" ht="15.75" thickBot="1" x14ac:dyDescent="0.3">
      <c r="B29" s="23" t="str">
        <f>B1</f>
        <v>Aneurin Bevan University Health Board</v>
      </c>
      <c r="C29" s="25" t="str">
        <f>VLOOKUP($B29,'AAA 2020 Report'!$B:$V,15,FALSE)</f>
        <v>7A6</v>
      </c>
      <c r="D29" s="71">
        <f>VLOOKUP($B29,'Elective Infra-Renal AAA Repair'!$B:$V,2,FALSE)</f>
        <v>12</v>
      </c>
      <c r="E29" s="71">
        <f>VLOOKUP($B29,'Elective Infra-Renal AAA Repair'!$B:$V,3,FALSE)</f>
        <v>7</v>
      </c>
      <c r="F29" s="72" t="str">
        <f>VLOOKUP($B29,'Elective Infra-Renal AAA Repair'!$B:$V,12,FALSE)</f>
        <v>6 (5 - 8)</v>
      </c>
      <c r="G29" s="72" t="str">
        <f>VLOOKUP($B29,'Elective Infra-Renal AAA Repair'!$B:$V,11,FALSE)</f>
        <v>1 (1 - 2)</v>
      </c>
      <c r="H29" s="73">
        <f>VLOOKUP($B29,'Elective Infra-Renal AAA Repair'!$B:$V,13,FALSE)/100</f>
        <v>2.3226299999999998E-2</v>
      </c>
      <c r="AE29" s="153" t="s">
        <v>74</v>
      </c>
      <c r="AF29" s="153" t="s">
        <v>75</v>
      </c>
      <c r="AG29" s="33">
        <v>28</v>
      </c>
      <c r="AH29" s="154">
        <v>0.63636363636363635</v>
      </c>
      <c r="AI29" s="154">
        <v>0.36363636363636365</v>
      </c>
    </row>
    <row r="30" spans="2:35" ht="15.75" thickBot="1" x14ac:dyDescent="0.3">
      <c r="B30" s="145" t="s">
        <v>350</v>
      </c>
      <c r="C30" s="145"/>
      <c r="D30" s="61">
        <v>2258</v>
      </c>
      <c r="E30" s="61">
        <v>1345</v>
      </c>
      <c r="F30" s="62" t="s">
        <v>394</v>
      </c>
      <c r="G30" s="62" t="s">
        <v>284</v>
      </c>
      <c r="H30" s="63">
        <v>1.4E-2</v>
      </c>
      <c r="AE30" s="153" t="s">
        <v>149</v>
      </c>
      <c r="AF30" s="153" t="s">
        <v>150</v>
      </c>
      <c r="AG30" s="33">
        <v>29</v>
      </c>
      <c r="AH30" s="154">
        <v>0.625</v>
      </c>
      <c r="AI30" s="154">
        <v>0.375</v>
      </c>
    </row>
    <row r="31" spans="2:35" ht="15.75" thickBot="1" x14ac:dyDescent="0.3">
      <c r="AE31" s="153" t="s">
        <v>689</v>
      </c>
      <c r="AF31" s="153" t="s">
        <v>690</v>
      </c>
      <c r="AG31" s="33">
        <v>30</v>
      </c>
      <c r="AH31" s="154">
        <v>0.6097560975609756</v>
      </c>
      <c r="AI31" s="154">
        <v>0.3902439024390244</v>
      </c>
    </row>
    <row r="32" spans="2:35" ht="16.5" thickBot="1" x14ac:dyDescent="0.3">
      <c r="B32" s="23" t="s">
        <v>371</v>
      </c>
      <c r="C32" s="135" t="s">
        <v>372</v>
      </c>
      <c r="D32" s="139" t="s">
        <v>373</v>
      </c>
      <c r="E32" s="135" t="s">
        <v>374</v>
      </c>
      <c r="F32" s="139" t="s">
        <v>364</v>
      </c>
      <c r="G32" s="34" t="s">
        <v>375</v>
      </c>
      <c r="H32" s="146" t="s">
        <v>192</v>
      </c>
      <c r="I32" s="146"/>
      <c r="J32" s="146"/>
      <c r="K32" s="2"/>
      <c r="AE32" s="153" t="s">
        <v>119</v>
      </c>
      <c r="AF32" s="153" t="s">
        <v>120</v>
      </c>
      <c r="AG32" s="33">
        <v>31</v>
      </c>
      <c r="AH32" s="154">
        <v>0.60869565217391308</v>
      </c>
      <c r="AI32" s="154">
        <v>0.39130434782608697</v>
      </c>
    </row>
    <row r="33" spans="2:35" ht="15.75" thickBot="1" x14ac:dyDescent="0.3">
      <c r="B33" s="23" t="s">
        <v>192</v>
      </c>
      <c r="C33" s="144">
        <v>2019</v>
      </c>
      <c r="D33" s="140">
        <f>VLOOKUP('AAA Summary'!$C$29,'AAA 2019 Report'!$A$8:$R$85,5,FALSE)</f>
        <v>0.85</v>
      </c>
      <c r="E33" s="141">
        <f>VLOOKUP('AAA Summary'!$C$29,'AAA 2019 Report'!$A$8:$R$85,13,FALSE)</f>
        <v>1</v>
      </c>
      <c r="F33" s="140">
        <v>0.9</v>
      </c>
      <c r="AE33" s="153" t="s">
        <v>117</v>
      </c>
      <c r="AF33" s="153" t="s">
        <v>416</v>
      </c>
      <c r="AG33" s="33">
        <v>32</v>
      </c>
      <c r="AH33" s="154">
        <v>0.6</v>
      </c>
      <c r="AI33" s="154">
        <v>0.4</v>
      </c>
    </row>
    <row r="34" spans="2:35" ht="15.75" thickBot="1" x14ac:dyDescent="0.3">
      <c r="B34" s="23"/>
      <c r="C34" s="144">
        <v>2020</v>
      </c>
      <c r="D34" s="140">
        <f>VLOOKUP('AAA Summary'!$C$29,'AAA 2020 Report'!$A$8:$U$84,5,FALSE)</f>
        <v>0.98</v>
      </c>
      <c r="E34" s="141">
        <f>VLOOKUP('AAA Summary'!$C$29,'AAA 2020 Report'!$A$8:$U$84,17,FALSE)</f>
        <v>4</v>
      </c>
      <c r="F34" s="140">
        <v>0.91</v>
      </c>
      <c r="AE34" s="153" t="s">
        <v>121</v>
      </c>
      <c r="AF34" s="153" t="s">
        <v>122</v>
      </c>
      <c r="AG34" s="33">
        <v>33</v>
      </c>
      <c r="AH34" s="154">
        <v>0.6</v>
      </c>
      <c r="AI34" s="154">
        <v>0.4</v>
      </c>
    </row>
    <row r="35" spans="2:35" ht="15.75" thickBot="1" x14ac:dyDescent="0.3">
      <c r="B35" s="23"/>
      <c r="C35" s="144">
        <v>2021</v>
      </c>
      <c r="D35" s="133">
        <f>VLOOKUP('AAA Summary'!$C$29,'Elective Infra-Renal AAA Repair'!$A$8:$V$78,5,FALSE)</f>
        <v>0.91666669999999995</v>
      </c>
      <c r="E35" s="142">
        <f>VLOOKUP('AAA Summary'!$C$29,'Elective Infra-Renal AAA Repair'!$A$8:$U$78,16,FALSE)</f>
        <v>2</v>
      </c>
      <c r="F35" s="133">
        <v>0.9</v>
      </c>
      <c r="L35" s="31">
        <f>MATCH(H32,'Elective Infra-Renal AAA Repair'!$E$7:$H$7,0)</f>
        <v>1</v>
      </c>
      <c r="AE35" s="153" t="s">
        <v>21</v>
      </c>
      <c r="AF35" s="153" t="s">
        <v>22</v>
      </c>
      <c r="AG35" s="33">
        <v>34</v>
      </c>
      <c r="AH35" s="154">
        <v>0.6</v>
      </c>
      <c r="AI35" s="154">
        <v>0.4</v>
      </c>
    </row>
    <row r="36" spans="2:35" ht="15.75" thickBot="1" x14ac:dyDescent="0.3">
      <c r="C36" s="143"/>
      <c r="D36" s="15"/>
      <c r="E36" s="143"/>
      <c r="F36" s="15"/>
      <c r="AE36" s="153" t="s">
        <v>7</v>
      </c>
      <c r="AF36" s="153" t="s">
        <v>8</v>
      </c>
      <c r="AG36" s="33">
        <v>35</v>
      </c>
      <c r="AH36" s="154">
        <v>0.58333333333333337</v>
      </c>
      <c r="AI36" s="154">
        <v>0.41666666666666669</v>
      </c>
    </row>
    <row r="37" spans="2:35" ht="15.75" thickBot="1" x14ac:dyDescent="0.3">
      <c r="B37" s="23" t="s">
        <v>186</v>
      </c>
      <c r="C37" s="144">
        <v>2019</v>
      </c>
      <c r="D37" s="140">
        <f>VLOOKUP('AAA Summary'!$C$29,'AAA 2019 Report'!$A$8:$R$85,6,FALSE)</f>
        <v>1</v>
      </c>
      <c r="E37" s="141">
        <f>VLOOKUP('AAA Summary'!$C$29,'AAA 2019 Report'!$A$8:$R$85,14,FALSE)</f>
        <v>4</v>
      </c>
      <c r="F37" s="140">
        <v>0.95</v>
      </c>
      <c r="AE37" s="153" t="s">
        <v>102</v>
      </c>
      <c r="AF37" s="153" t="s">
        <v>103</v>
      </c>
      <c r="AG37" s="33">
        <v>36</v>
      </c>
      <c r="AH37" s="154">
        <v>0.58333333333333337</v>
      </c>
      <c r="AI37" s="154">
        <v>0.41666666666666669</v>
      </c>
    </row>
    <row r="38" spans="2:35" ht="15.75" thickBot="1" x14ac:dyDescent="0.3">
      <c r="B38" s="23"/>
      <c r="C38" s="144">
        <v>2020</v>
      </c>
      <c r="D38" s="140">
        <f>VLOOKUP('AAA Summary'!$C$29,'AAA 2020 Report'!$A$8:$U$84,6,FALSE)</f>
        <v>0.95</v>
      </c>
      <c r="E38" s="141">
        <f>VLOOKUP('AAA Summary'!$C$29,'AAA 2020 Report'!$A$8:$U$84,18,FALSE)</f>
        <v>1</v>
      </c>
      <c r="F38" s="140">
        <v>0.95</v>
      </c>
      <c r="AE38" s="153" t="s">
        <v>677</v>
      </c>
      <c r="AF38" s="153" t="s">
        <v>678</v>
      </c>
      <c r="AG38" s="33">
        <v>37</v>
      </c>
      <c r="AH38" s="154">
        <v>0.57999999999999996</v>
      </c>
      <c r="AI38" s="154">
        <v>0.42</v>
      </c>
    </row>
    <row r="39" spans="2:35" ht="15.75" thickBot="1" x14ac:dyDescent="0.3">
      <c r="B39" s="23"/>
      <c r="C39" s="144">
        <v>2021</v>
      </c>
      <c r="D39" s="133">
        <f>VLOOKUP('AAA Summary'!$C$29,'Elective Infra-Renal AAA Repair'!$A$8:$V$78,6,FALSE)</f>
        <v>0.91666669999999995</v>
      </c>
      <c r="E39" s="142">
        <f>VLOOKUP('AAA Summary'!$C$29,'Elective Infra-Renal AAA Repair'!$A$8:$U$78,17,FALSE)</f>
        <v>1</v>
      </c>
      <c r="F39" s="140">
        <v>0.97</v>
      </c>
      <c r="AE39" s="153" t="s">
        <v>11</v>
      </c>
      <c r="AF39" s="153" t="s">
        <v>12</v>
      </c>
      <c r="AG39" s="33">
        <v>38</v>
      </c>
      <c r="AH39" s="154">
        <v>0.57894736842105265</v>
      </c>
      <c r="AI39" s="154">
        <v>0.42105263157894735</v>
      </c>
    </row>
    <row r="40" spans="2:35" ht="15.75" thickBot="1" x14ac:dyDescent="0.3">
      <c r="C40" s="143"/>
      <c r="D40" s="15"/>
      <c r="E40" s="143"/>
      <c r="F40" s="15"/>
      <c r="AE40" s="153" t="s">
        <v>127</v>
      </c>
      <c r="AF40" s="153" t="s">
        <v>420</v>
      </c>
      <c r="AG40" s="33">
        <v>39</v>
      </c>
      <c r="AH40" s="154">
        <v>0.56521739130434778</v>
      </c>
      <c r="AI40" s="154">
        <v>0.43478260869565216</v>
      </c>
    </row>
    <row r="41" spans="2:35" ht="15.75" thickBot="1" x14ac:dyDescent="0.3">
      <c r="B41" s="23" t="s">
        <v>187</v>
      </c>
      <c r="C41" s="144">
        <v>2019</v>
      </c>
      <c r="D41" s="140">
        <f>VLOOKUP('AAA Summary'!$C$29,'AAA 2019 Report'!$A$8:$R$85,7,FALSE)</f>
        <v>0.82</v>
      </c>
      <c r="E41" s="141">
        <f>VLOOKUP('AAA Summary'!$C$29,'AAA 2019 Report'!$A$8:$R$85,15,FALSE)</f>
        <v>2</v>
      </c>
      <c r="F41" s="140">
        <v>0.89</v>
      </c>
      <c r="AE41" s="153" t="s">
        <v>114</v>
      </c>
      <c r="AF41" s="153" t="s">
        <v>347</v>
      </c>
      <c r="AG41" s="33">
        <v>40</v>
      </c>
      <c r="AH41" s="154">
        <v>0.56521739130434778</v>
      </c>
      <c r="AI41" s="154">
        <v>0.43478260869565216</v>
      </c>
    </row>
    <row r="42" spans="2:35" ht="15.75" thickBot="1" x14ac:dyDescent="0.3">
      <c r="B42" s="25"/>
      <c r="C42" s="144">
        <v>2020</v>
      </c>
      <c r="D42" s="140">
        <f>VLOOKUP('AAA Summary'!$C$29,'AAA 2020 Report'!$A$8:$U$84,7,FALSE)</f>
        <v>0.97</v>
      </c>
      <c r="E42" s="141">
        <f>VLOOKUP('AAA Summary'!$C$29,'AAA 2020 Report'!$A$8:$U$84,19,FALSE)</f>
        <v>3</v>
      </c>
      <c r="F42" s="140">
        <v>0.91</v>
      </c>
      <c r="AE42" s="153" t="s">
        <v>131</v>
      </c>
      <c r="AF42" s="153" t="s">
        <v>132</v>
      </c>
      <c r="AG42" s="33">
        <v>41</v>
      </c>
      <c r="AH42" s="154">
        <v>0.5641025641025641</v>
      </c>
      <c r="AI42" s="154">
        <v>0.4358974358974359</v>
      </c>
    </row>
    <row r="43" spans="2:35" ht="15.75" thickBot="1" x14ac:dyDescent="0.3">
      <c r="B43" s="25"/>
      <c r="C43" s="144">
        <v>2021</v>
      </c>
      <c r="D43" s="133">
        <f>VLOOKUP('AAA Summary'!$C$29,'Elective Infra-Renal AAA Repair'!$A$8:$V$78,7,FALSE)</f>
        <v>0.91666669999999995</v>
      </c>
      <c r="E43" s="142">
        <f>VLOOKUP('AAA Summary'!$C$29,'Elective Infra-Renal AAA Repair'!$A$8:$U$78,18,FALSE)</f>
        <v>2</v>
      </c>
      <c r="F43" s="140">
        <v>0.91</v>
      </c>
      <c r="AE43" s="153" t="s">
        <v>55</v>
      </c>
      <c r="AF43" s="153" t="s">
        <v>56</v>
      </c>
      <c r="AG43" s="33">
        <v>42</v>
      </c>
      <c r="AH43" s="154">
        <v>0.55263157894736847</v>
      </c>
      <c r="AI43" s="154">
        <v>0.44736842105263158</v>
      </c>
    </row>
    <row r="44" spans="2:35" ht="15.75" thickBot="1" x14ac:dyDescent="0.3">
      <c r="C44" s="143"/>
      <c r="D44" s="15"/>
      <c r="E44" s="143"/>
      <c r="F44" s="15"/>
      <c r="AE44" s="153" t="s">
        <v>98</v>
      </c>
      <c r="AF44" s="153" t="s">
        <v>99</v>
      </c>
      <c r="AG44" s="33">
        <v>43</v>
      </c>
      <c r="AH44" s="154">
        <v>0.54545454545454541</v>
      </c>
      <c r="AI44" s="154">
        <v>0.45454545454545453</v>
      </c>
    </row>
    <row r="45" spans="2:35" ht="15.75" thickBot="1" x14ac:dyDescent="0.3">
      <c r="B45" s="41" t="s">
        <v>188</v>
      </c>
      <c r="C45" s="144">
        <v>2019</v>
      </c>
      <c r="D45" s="140">
        <f>VLOOKUP('AAA Summary'!$C$29,'AAA 2019 Report'!$A$8:$R$85,8,FALSE)</f>
        <v>0.88</v>
      </c>
      <c r="E45" s="141">
        <f>VLOOKUP('AAA Summary'!$C$29,'AAA 2019 Report'!$A$8:$R$85,16,FALSE)</f>
        <v>2</v>
      </c>
      <c r="F45" s="140">
        <v>0.82</v>
      </c>
      <c r="AE45" s="153" t="s">
        <v>137</v>
      </c>
      <c r="AF45" s="153" t="s">
        <v>138</v>
      </c>
      <c r="AG45" s="33">
        <v>44</v>
      </c>
      <c r="AH45" s="154">
        <v>0.54166666666666663</v>
      </c>
      <c r="AI45" s="154">
        <v>0.45833333333333331</v>
      </c>
    </row>
    <row r="46" spans="2:35" ht="15.75" thickBot="1" x14ac:dyDescent="0.3">
      <c r="B46" s="25"/>
      <c r="C46" s="144">
        <v>2020</v>
      </c>
      <c r="D46" s="140">
        <f>VLOOKUP('AAA Summary'!$C$29,'AAA 2020 Report'!$A$8:$U$84,8,FALSE)</f>
        <v>0.91</v>
      </c>
      <c r="E46" s="141">
        <f>VLOOKUP('AAA Summary'!$C$29,'AAA 2020 Report'!$A$8:$U$84,20,FALSE)</f>
        <v>3</v>
      </c>
      <c r="F46" s="140">
        <v>0.85</v>
      </c>
      <c r="AE46" s="153" t="s">
        <v>42</v>
      </c>
      <c r="AF46" s="153" t="s">
        <v>43</v>
      </c>
      <c r="AG46" s="33">
        <v>45</v>
      </c>
      <c r="AH46" s="154">
        <v>0.53846153846153844</v>
      </c>
      <c r="AI46" s="154">
        <v>0.46153846153846156</v>
      </c>
    </row>
    <row r="47" spans="2:35" ht="15.75" thickBot="1" x14ac:dyDescent="0.3">
      <c r="B47" s="25"/>
      <c r="C47" s="144">
        <v>2021</v>
      </c>
      <c r="D47" s="133">
        <f>VLOOKUP('AAA Summary'!$C$29,'Elective Infra-Renal AAA Repair'!$A$8:$V$78,8,FALSE)</f>
        <v>0.91666669999999995</v>
      </c>
      <c r="E47" s="142">
        <f>VLOOKUP('AAA Summary'!$C$29,'Elective Infra-Renal AAA Repair'!$A$8:$U$78,19,FALSE)</f>
        <v>2</v>
      </c>
      <c r="F47" s="140">
        <v>0.86</v>
      </c>
      <c r="AE47" s="153" t="s">
        <v>0</v>
      </c>
      <c r="AF47" s="153" t="s">
        <v>1</v>
      </c>
      <c r="AG47" s="33">
        <v>46</v>
      </c>
      <c r="AH47" s="154">
        <v>0.53333333333333333</v>
      </c>
      <c r="AI47" s="154">
        <v>0.46666666666666667</v>
      </c>
    </row>
    <row r="48" spans="2:35" x14ac:dyDescent="0.25">
      <c r="AE48" s="153" t="s">
        <v>135</v>
      </c>
      <c r="AF48" s="153" t="s">
        <v>136</v>
      </c>
      <c r="AG48" s="33">
        <v>47</v>
      </c>
      <c r="AH48" s="154">
        <v>0.53333333333333333</v>
      </c>
      <c r="AI48" s="154">
        <v>0.46666666666666667</v>
      </c>
    </row>
    <row r="49" spans="31:35" x14ac:dyDescent="0.25">
      <c r="AE49" s="153" t="s">
        <v>90</v>
      </c>
      <c r="AF49" s="153" t="s">
        <v>419</v>
      </c>
      <c r="AG49" s="33">
        <v>48</v>
      </c>
      <c r="AH49" s="154">
        <v>0.5</v>
      </c>
      <c r="AI49" s="154">
        <v>0.5</v>
      </c>
    </row>
    <row r="50" spans="31:35" x14ac:dyDescent="0.25">
      <c r="AE50" s="153" t="s">
        <v>141</v>
      </c>
      <c r="AF50" s="153" t="s">
        <v>142</v>
      </c>
      <c r="AG50" s="33">
        <v>49</v>
      </c>
      <c r="AH50" s="154">
        <v>0.5</v>
      </c>
      <c r="AI50" s="154">
        <v>0.5</v>
      </c>
    </row>
    <row r="51" spans="31:35" x14ac:dyDescent="0.25">
      <c r="AE51" s="153" t="s">
        <v>67</v>
      </c>
      <c r="AF51" s="153" t="s">
        <v>68</v>
      </c>
      <c r="AG51" s="33">
        <v>50</v>
      </c>
      <c r="AH51" s="154">
        <v>0.4925373134328358</v>
      </c>
      <c r="AI51" s="154">
        <v>0.5074626865671642</v>
      </c>
    </row>
    <row r="52" spans="31:35" x14ac:dyDescent="0.25">
      <c r="AE52" s="153" t="s">
        <v>86</v>
      </c>
      <c r="AF52" s="153" t="s">
        <v>694</v>
      </c>
      <c r="AG52" s="33">
        <v>51</v>
      </c>
      <c r="AH52" s="154">
        <v>0.47619047619047616</v>
      </c>
      <c r="AI52" s="154">
        <v>0.52380952380952384</v>
      </c>
    </row>
    <row r="53" spans="31:35" x14ac:dyDescent="0.25">
      <c r="AE53" s="153" t="s">
        <v>51</v>
      </c>
      <c r="AF53" s="153" t="s">
        <v>52</v>
      </c>
      <c r="AG53" s="33">
        <v>52</v>
      </c>
      <c r="AH53" s="154">
        <v>0.47457627118644069</v>
      </c>
      <c r="AI53" s="154">
        <v>0.52542372881355937</v>
      </c>
    </row>
    <row r="54" spans="31:35" x14ac:dyDescent="0.25">
      <c r="AE54" s="153" t="s">
        <v>112</v>
      </c>
      <c r="AF54" s="153" t="s">
        <v>113</v>
      </c>
      <c r="AG54" s="33">
        <v>53</v>
      </c>
      <c r="AH54" s="154">
        <v>0.47058823529411764</v>
      </c>
      <c r="AI54" s="154">
        <v>0.52941176470588236</v>
      </c>
    </row>
    <row r="55" spans="31:35" x14ac:dyDescent="0.25">
      <c r="AE55" s="153" t="s">
        <v>44</v>
      </c>
      <c r="AF55" s="153" t="s">
        <v>421</v>
      </c>
      <c r="AG55" s="33">
        <v>54</v>
      </c>
      <c r="AH55" s="154">
        <v>0.45652173913043476</v>
      </c>
      <c r="AI55" s="154">
        <v>0.54347826086956519</v>
      </c>
    </row>
    <row r="56" spans="31:35" x14ac:dyDescent="0.25">
      <c r="AE56" s="153" t="s">
        <v>173</v>
      </c>
      <c r="AF56" s="153" t="s">
        <v>174</v>
      </c>
      <c r="AG56" s="33">
        <v>55</v>
      </c>
      <c r="AH56" s="154">
        <v>0.45333333333333331</v>
      </c>
      <c r="AI56" s="154">
        <v>0.54666666666666663</v>
      </c>
    </row>
    <row r="57" spans="31:35" x14ac:dyDescent="0.25">
      <c r="AE57" s="153" t="s">
        <v>80</v>
      </c>
      <c r="AF57" s="153" t="s">
        <v>81</v>
      </c>
      <c r="AG57" s="33">
        <v>56</v>
      </c>
      <c r="AH57" s="154">
        <v>0.43137254901960786</v>
      </c>
      <c r="AI57" s="154">
        <v>0.56862745098039214</v>
      </c>
    </row>
    <row r="58" spans="31:35" x14ac:dyDescent="0.25">
      <c r="AE58" s="153" t="s">
        <v>57</v>
      </c>
      <c r="AF58" s="153" t="s">
        <v>58</v>
      </c>
      <c r="AG58" s="33">
        <v>57</v>
      </c>
      <c r="AH58" s="154">
        <v>0.41666666666666669</v>
      </c>
      <c r="AI58" s="154">
        <v>0.58333333333333337</v>
      </c>
    </row>
    <row r="59" spans="31:35" x14ac:dyDescent="0.25">
      <c r="AE59" s="153" t="s">
        <v>73</v>
      </c>
      <c r="AF59" s="153" t="s">
        <v>197</v>
      </c>
      <c r="AG59" s="33">
        <v>58</v>
      </c>
      <c r="AH59" s="154">
        <v>0.41666666666666669</v>
      </c>
      <c r="AI59" s="154">
        <v>0.58333333333333337</v>
      </c>
    </row>
    <row r="60" spans="31:35" x14ac:dyDescent="0.25">
      <c r="AE60" s="153" t="s">
        <v>2</v>
      </c>
      <c r="AF60" s="153" t="s">
        <v>196</v>
      </c>
      <c r="AG60" s="33">
        <v>59</v>
      </c>
      <c r="AH60" s="154">
        <v>0.40740740740740738</v>
      </c>
      <c r="AI60" s="154">
        <v>0.59259259259259256</v>
      </c>
    </row>
    <row r="61" spans="31:35" x14ac:dyDescent="0.25">
      <c r="AE61" s="153" t="s">
        <v>110</v>
      </c>
      <c r="AF61" s="153" t="s">
        <v>111</v>
      </c>
      <c r="AG61" s="33">
        <v>60</v>
      </c>
      <c r="AH61" s="154">
        <v>0.4</v>
      </c>
      <c r="AI61" s="154">
        <v>0.6</v>
      </c>
    </row>
    <row r="62" spans="31:35" x14ac:dyDescent="0.25">
      <c r="AE62" s="153" t="s">
        <v>115</v>
      </c>
      <c r="AF62" s="153" t="s">
        <v>424</v>
      </c>
      <c r="AG62" s="33">
        <v>61</v>
      </c>
      <c r="AH62" s="154">
        <v>0.37777777777777777</v>
      </c>
      <c r="AI62" s="154">
        <v>0.62222222222222223</v>
      </c>
    </row>
    <row r="63" spans="31:35" x14ac:dyDescent="0.25">
      <c r="AE63" s="153" t="s">
        <v>681</v>
      </c>
      <c r="AF63" s="153" t="s">
        <v>682</v>
      </c>
      <c r="AG63" s="33">
        <v>62</v>
      </c>
      <c r="AH63" s="154">
        <v>0.375</v>
      </c>
      <c r="AI63" s="154">
        <v>0.625</v>
      </c>
    </row>
    <row r="64" spans="31:35" x14ac:dyDescent="0.25">
      <c r="AE64" s="153" t="s">
        <v>167</v>
      </c>
      <c r="AF64" s="153" t="s">
        <v>168</v>
      </c>
      <c r="AG64" s="33">
        <v>63</v>
      </c>
      <c r="AH64" s="154">
        <v>0.33333333333333331</v>
      </c>
      <c r="AI64" s="154">
        <v>0.66666666666666663</v>
      </c>
    </row>
    <row r="65" spans="31:35" x14ac:dyDescent="0.25">
      <c r="AE65" s="153" t="s">
        <v>33</v>
      </c>
      <c r="AF65" s="153" t="s">
        <v>34</v>
      </c>
      <c r="AG65" s="33">
        <v>64</v>
      </c>
      <c r="AH65" s="154">
        <v>0.26923076923076922</v>
      </c>
      <c r="AI65" s="154">
        <v>0.73076923076923073</v>
      </c>
    </row>
    <row r="66" spans="31:35" x14ac:dyDescent="0.25">
      <c r="AE66" s="153" t="s">
        <v>161</v>
      </c>
      <c r="AF66" s="153" t="s">
        <v>162</v>
      </c>
      <c r="AG66" s="33">
        <v>65</v>
      </c>
      <c r="AH66" s="154">
        <v>0.25</v>
      </c>
      <c r="AI66" s="154">
        <v>0.75</v>
      </c>
    </row>
    <row r="67" spans="31:35" x14ac:dyDescent="0.25">
      <c r="AE67" s="153" t="s">
        <v>53</v>
      </c>
      <c r="AF67" s="153" t="s">
        <v>54</v>
      </c>
      <c r="AG67" s="33">
        <v>66</v>
      </c>
      <c r="AH67" s="154">
        <v>0.21212121212121213</v>
      </c>
      <c r="AI67" s="154">
        <v>0.78787878787878785</v>
      </c>
    </row>
    <row r="68" spans="31:35" x14ac:dyDescent="0.25">
      <c r="AE68" s="153" t="s">
        <v>129</v>
      </c>
      <c r="AF68" s="153" t="s">
        <v>130</v>
      </c>
      <c r="AG68" s="33">
        <v>67</v>
      </c>
      <c r="AH68" s="154">
        <v>0.16666666666666666</v>
      </c>
      <c r="AI68" s="154">
        <v>0.83333333333333337</v>
      </c>
    </row>
    <row r="69" spans="31:35" x14ac:dyDescent="0.25">
      <c r="AE69" s="153" t="s">
        <v>17</v>
      </c>
      <c r="AF69" s="153" t="s">
        <v>18</v>
      </c>
      <c r="AG69" s="33">
        <v>68</v>
      </c>
      <c r="AH69" s="154">
        <v>0</v>
      </c>
      <c r="AI69" s="154">
        <v>1</v>
      </c>
    </row>
    <row r="70" spans="31:35" x14ac:dyDescent="0.25">
      <c r="AE70" s="153" t="s">
        <v>155</v>
      </c>
      <c r="AF70" s="153" t="s">
        <v>156</v>
      </c>
      <c r="AG70" s="33">
        <v>69</v>
      </c>
      <c r="AH70" s="154">
        <v>0</v>
      </c>
      <c r="AI70" s="154">
        <v>1</v>
      </c>
    </row>
    <row r="71" spans="31:35" x14ac:dyDescent="0.25">
      <c r="AE71" s="153" t="s">
        <v>169</v>
      </c>
      <c r="AF71" s="153" t="s">
        <v>170</v>
      </c>
      <c r="AG71" s="33">
        <v>70</v>
      </c>
      <c r="AH71" s="154">
        <v>0</v>
      </c>
      <c r="AI71" s="154">
        <v>1</v>
      </c>
    </row>
  </sheetData>
  <mergeCells count="2">
    <mergeCell ref="B30:C30"/>
    <mergeCell ref="H32:J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'S:\NatlVasReg\2018 Annual Report\Ideas for Appendices\Newcastle Demo Apr 2019\[NVR NHS Organisation Data Viewer.xlsx]AAA 2018 Report'!#REF!</xm:f>
          </x14:formula1>
          <xm:sqref>C1</xm:sqref>
        </x14:dataValidation>
        <x14:dataValidation type="list" allowBlank="1" showInputMessage="1" showErrorMessage="1">
          <x14:formula1>
            <xm:f>'Elective Infra-Renal AAA Repair'!$E$7:$H$7</xm:f>
          </x14:formula1>
          <xm:sqref>H32</xm:sqref>
        </x14:dataValidation>
        <x14:dataValidation type="list" allowBlank="1" showInputMessage="1" showErrorMessage="1">
          <x14:formula1>
            <xm:f>'Elective Infra-Renal AAA Repair'!$B$8:$B$78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workbookViewId="0">
      <selection activeCell="Q1" sqref="Q1"/>
    </sheetView>
  </sheetViews>
  <sheetFormatPr defaultRowHeight="15" x14ac:dyDescent="0.25"/>
  <cols>
    <col min="1" max="1" width="6.42578125" bestFit="1" customWidth="1"/>
    <col min="2" max="2" width="61" bestFit="1" customWidth="1"/>
    <col min="3" max="3" width="5.7109375" bestFit="1" customWidth="1"/>
    <col min="4" max="4" width="10.42578125" bestFit="1" customWidth="1"/>
    <col min="6" max="6" width="8.5703125" bestFit="1" customWidth="1"/>
    <col min="9" max="9" width="9.140625" style="67"/>
    <col min="12" max="12" width="9.140625" style="67"/>
  </cols>
  <sheetData>
    <row r="1" spans="1:17" ht="105" x14ac:dyDescent="0.25">
      <c r="A1" s="65" t="s">
        <v>176</v>
      </c>
      <c r="B1" s="65" t="s">
        <v>175</v>
      </c>
      <c r="C1" s="65" t="s">
        <v>1007</v>
      </c>
      <c r="D1" s="10" t="s">
        <v>193</v>
      </c>
      <c r="E1" s="65" t="s">
        <v>194</v>
      </c>
      <c r="F1" s="14" t="s">
        <v>1099</v>
      </c>
      <c r="G1" s="111" t="s">
        <v>1118</v>
      </c>
      <c r="H1" s="98" t="s">
        <v>1119</v>
      </c>
      <c r="I1" s="100" t="s">
        <v>1120</v>
      </c>
      <c r="J1" s="98" t="s">
        <v>1121</v>
      </c>
      <c r="K1" s="98" t="s">
        <v>1122</v>
      </c>
      <c r="L1" s="100" t="s">
        <v>1123</v>
      </c>
      <c r="M1" s="65" t="s">
        <v>176</v>
      </c>
      <c r="N1" s="39" t="s">
        <v>1156</v>
      </c>
      <c r="O1" s="39" t="s">
        <v>1157</v>
      </c>
      <c r="P1" s="39" t="s">
        <v>1158</v>
      </c>
      <c r="Q1" s="39" t="s">
        <v>764</v>
      </c>
    </row>
    <row r="2" spans="1:17" x14ac:dyDescent="0.25">
      <c r="A2" t="s">
        <v>7</v>
      </c>
      <c r="B2" t="s">
        <v>8</v>
      </c>
      <c r="C2" s="12">
        <v>181</v>
      </c>
      <c r="D2" s="12" t="s">
        <v>792</v>
      </c>
      <c r="E2" s="13">
        <v>3.5000000000000003E-2</v>
      </c>
      <c r="F2" s="69">
        <v>9.8765400000000003</v>
      </c>
      <c r="G2">
        <v>16</v>
      </c>
      <c r="H2" t="s">
        <v>238</v>
      </c>
      <c r="I2" s="67">
        <v>0.5</v>
      </c>
      <c r="J2">
        <v>26</v>
      </c>
      <c r="K2" t="s">
        <v>890</v>
      </c>
      <c r="L2" s="67">
        <v>0.46000000834465027</v>
      </c>
      <c r="M2" t="s">
        <v>7</v>
      </c>
      <c r="N2">
        <v>40</v>
      </c>
      <c r="O2" s="67">
        <f>IF(L2&gt;I2,0,I2-L2)</f>
        <v>3.9999991655349731E-2</v>
      </c>
      <c r="P2" s="67">
        <f>IF(L2&gt;I2,L2-I2,0)</f>
        <v>0</v>
      </c>
      <c r="Q2">
        <v>58</v>
      </c>
    </row>
    <row r="3" spans="1:17" x14ac:dyDescent="0.25">
      <c r="A3" t="s">
        <v>45</v>
      </c>
      <c r="B3" t="s">
        <v>417</v>
      </c>
      <c r="C3" s="12">
        <v>86</v>
      </c>
      <c r="D3" s="12" t="s">
        <v>248</v>
      </c>
      <c r="E3" s="13">
        <v>0.02</v>
      </c>
      <c r="F3" s="69">
        <v>14.117650000000001</v>
      </c>
      <c r="G3" t="s">
        <v>433</v>
      </c>
      <c r="H3" t="s">
        <v>346</v>
      </c>
      <c r="I3" s="52" t="e">
        <v>#VALUE!</v>
      </c>
      <c r="J3" t="s">
        <v>433</v>
      </c>
      <c r="K3" t="s">
        <v>346</v>
      </c>
      <c r="L3" s="52" t="e">
        <v>#VALUE!</v>
      </c>
      <c r="M3" t="s">
        <v>45</v>
      </c>
      <c r="N3" s="52" t="e">
        <v>#VALUE!</v>
      </c>
      <c r="O3" s="67" t="e">
        <f t="shared" ref="O3:O65" si="0">IF(L3&gt;I3,0,I3-L3)</f>
        <v>#VALUE!</v>
      </c>
      <c r="P3" s="67" t="e">
        <f t="shared" ref="P3:P65" si="1">IF(L3&gt;I3,L3-I3,0)</f>
        <v>#VALUE!</v>
      </c>
      <c r="Q3">
        <v>22</v>
      </c>
    </row>
    <row r="4" spans="1:17" x14ac:dyDescent="0.25">
      <c r="A4" t="s">
        <v>11</v>
      </c>
      <c r="B4" t="s">
        <v>12</v>
      </c>
      <c r="C4" s="12">
        <v>211</v>
      </c>
      <c r="D4" s="12" t="s">
        <v>1102</v>
      </c>
      <c r="E4" s="13">
        <v>3.5000000000000003E-2</v>
      </c>
      <c r="F4" s="69">
        <v>14.970059999999998</v>
      </c>
      <c r="G4">
        <v>25</v>
      </c>
      <c r="H4" t="s">
        <v>478</v>
      </c>
      <c r="I4" s="67">
        <v>0.11999999731779099</v>
      </c>
      <c r="J4">
        <v>19</v>
      </c>
      <c r="K4" t="s">
        <v>1127</v>
      </c>
      <c r="L4" s="67">
        <v>0.20999999344348907</v>
      </c>
      <c r="M4" t="s">
        <v>11</v>
      </c>
      <c r="N4">
        <v>51</v>
      </c>
      <c r="O4" s="67">
        <f t="shared" si="0"/>
        <v>0</v>
      </c>
      <c r="P4" s="67">
        <f t="shared" si="1"/>
        <v>8.999999612569809E-2</v>
      </c>
      <c r="Q4">
        <v>43</v>
      </c>
    </row>
    <row r="5" spans="1:17" x14ac:dyDescent="0.25">
      <c r="A5" t="s">
        <v>31</v>
      </c>
      <c r="B5" t="s">
        <v>32</v>
      </c>
      <c r="C5" s="12">
        <v>178</v>
      </c>
      <c r="D5" s="12" t="s">
        <v>250</v>
      </c>
      <c r="E5" s="13">
        <v>3.3000000000000002E-2</v>
      </c>
      <c r="F5" s="69">
        <v>9.31677</v>
      </c>
      <c r="G5" t="s">
        <v>433</v>
      </c>
      <c r="H5" t="s">
        <v>346</v>
      </c>
      <c r="I5" s="52" t="e">
        <v>#VALUE!</v>
      </c>
      <c r="J5">
        <v>12</v>
      </c>
      <c r="K5" t="s">
        <v>1128</v>
      </c>
      <c r="L5" s="52" t="e">
        <v>#VALUE!</v>
      </c>
      <c r="M5" t="s">
        <v>31</v>
      </c>
      <c r="N5" s="52" t="e">
        <v>#VALUE!</v>
      </c>
      <c r="O5" s="67" t="e">
        <f t="shared" si="0"/>
        <v>#VALUE!</v>
      </c>
      <c r="P5" s="67" t="e">
        <f t="shared" si="1"/>
        <v>#VALUE!</v>
      </c>
      <c r="Q5">
        <v>54</v>
      </c>
    </row>
    <row r="6" spans="1:17" x14ac:dyDescent="0.25">
      <c r="A6" t="s">
        <v>173</v>
      </c>
      <c r="B6" t="s">
        <v>174</v>
      </c>
      <c r="C6" s="12">
        <v>381</v>
      </c>
      <c r="D6" s="12" t="s">
        <v>1117</v>
      </c>
      <c r="E6" s="13">
        <v>2.5999999999999999E-2</v>
      </c>
      <c r="F6" s="69">
        <v>8.1300800000000013</v>
      </c>
      <c r="G6">
        <v>42</v>
      </c>
      <c r="H6" t="s">
        <v>203</v>
      </c>
      <c r="I6" s="67">
        <v>0.56999999284744263</v>
      </c>
      <c r="J6">
        <v>43</v>
      </c>
      <c r="K6" t="s">
        <v>212</v>
      </c>
      <c r="L6" s="67">
        <v>0.64999997615814209</v>
      </c>
      <c r="M6" t="s">
        <v>173</v>
      </c>
      <c r="N6">
        <v>17</v>
      </c>
      <c r="O6" s="67">
        <f t="shared" si="0"/>
        <v>0</v>
      </c>
      <c r="P6" s="67">
        <f t="shared" si="1"/>
        <v>7.9999983310699463E-2</v>
      </c>
      <c r="Q6">
        <v>130</v>
      </c>
    </row>
    <row r="7" spans="1:17" x14ac:dyDescent="0.25">
      <c r="A7" t="s">
        <v>0</v>
      </c>
      <c r="B7" t="s">
        <v>1</v>
      </c>
      <c r="C7" s="12">
        <v>196</v>
      </c>
      <c r="D7" s="12" t="s">
        <v>1100</v>
      </c>
      <c r="E7" s="13">
        <v>4.2999999999999997E-2</v>
      </c>
      <c r="F7" s="69">
        <v>8.1081099999999999</v>
      </c>
      <c r="G7">
        <v>29</v>
      </c>
      <c r="H7" t="s">
        <v>1124</v>
      </c>
      <c r="I7" s="67">
        <v>0.10000000149011612</v>
      </c>
      <c r="J7">
        <v>35</v>
      </c>
      <c r="K7" t="s">
        <v>735</v>
      </c>
      <c r="L7" s="67">
        <v>0.20000000298023224</v>
      </c>
      <c r="M7" t="s">
        <v>0</v>
      </c>
      <c r="N7">
        <v>52</v>
      </c>
      <c r="O7" s="67">
        <f t="shared" si="0"/>
        <v>0</v>
      </c>
      <c r="P7" s="67">
        <f t="shared" si="1"/>
        <v>0.10000000149011612</v>
      </c>
      <c r="Q7">
        <v>89</v>
      </c>
    </row>
    <row r="8" spans="1:17" x14ac:dyDescent="0.25">
      <c r="A8" t="s">
        <v>17</v>
      </c>
      <c r="B8" t="s">
        <v>18</v>
      </c>
      <c r="C8" s="12">
        <v>204</v>
      </c>
      <c r="D8" s="12" t="s">
        <v>248</v>
      </c>
      <c r="E8" s="13">
        <v>3.1E-2</v>
      </c>
      <c r="F8" s="69">
        <v>8.5858599999999985</v>
      </c>
      <c r="G8">
        <v>20</v>
      </c>
      <c r="H8" t="s">
        <v>445</v>
      </c>
      <c r="I8" s="67">
        <v>0.44999998807907104</v>
      </c>
      <c r="J8">
        <v>20</v>
      </c>
      <c r="K8" t="s">
        <v>269</v>
      </c>
      <c r="L8" s="67">
        <v>0.60000002384185791</v>
      </c>
      <c r="M8" t="s">
        <v>17</v>
      </c>
      <c r="N8">
        <v>28</v>
      </c>
      <c r="O8" s="67">
        <f t="shared" si="0"/>
        <v>0</v>
      </c>
      <c r="P8" s="67">
        <f t="shared" si="1"/>
        <v>0.15000003576278687</v>
      </c>
      <c r="Q8">
        <v>45</v>
      </c>
    </row>
    <row r="9" spans="1:17" x14ac:dyDescent="0.25">
      <c r="A9" t="s">
        <v>139</v>
      </c>
      <c r="B9" t="s">
        <v>140</v>
      </c>
      <c r="C9" s="12">
        <v>102</v>
      </c>
      <c r="D9" s="12" t="s">
        <v>243</v>
      </c>
      <c r="E9" s="13">
        <v>0.03</v>
      </c>
      <c r="F9" s="69">
        <v>5.1546399999999997</v>
      </c>
      <c r="G9" t="s">
        <v>1110</v>
      </c>
      <c r="H9" t="s">
        <v>1110</v>
      </c>
      <c r="I9" s="52" t="e">
        <v>#VALUE!</v>
      </c>
      <c r="J9" t="s">
        <v>1110</v>
      </c>
      <c r="K9" t="s">
        <v>1110</v>
      </c>
      <c r="L9" s="52" t="e">
        <v>#VALUE!</v>
      </c>
      <c r="M9" t="s">
        <v>139</v>
      </c>
      <c r="N9" s="52" t="e">
        <v>#VALUE!</v>
      </c>
      <c r="O9" s="67" t="e">
        <f t="shared" si="0"/>
        <v>#VALUE!</v>
      </c>
      <c r="P9" s="67" t="e">
        <f t="shared" si="1"/>
        <v>#VALUE!</v>
      </c>
      <c r="Q9">
        <v>7</v>
      </c>
    </row>
    <row r="10" spans="1:17" x14ac:dyDescent="0.25">
      <c r="A10" t="s">
        <v>51</v>
      </c>
      <c r="B10" t="s">
        <v>52</v>
      </c>
      <c r="C10" s="12">
        <v>381</v>
      </c>
      <c r="D10" s="12" t="s">
        <v>1106</v>
      </c>
      <c r="E10" s="13">
        <v>8.0000000000000002E-3</v>
      </c>
      <c r="F10" s="69">
        <v>11.84573</v>
      </c>
      <c r="G10">
        <v>15</v>
      </c>
      <c r="H10" t="s">
        <v>893</v>
      </c>
      <c r="I10" s="67">
        <v>0.52999997138977051</v>
      </c>
      <c r="J10">
        <v>19</v>
      </c>
      <c r="K10" t="s">
        <v>445</v>
      </c>
      <c r="L10" s="67">
        <v>0.5</v>
      </c>
      <c r="M10" t="s">
        <v>51</v>
      </c>
      <c r="N10">
        <v>37</v>
      </c>
      <c r="O10" s="67">
        <f t="shared" si="0"/>
        <v>2.9999971389770508E-2</v>
      </c>
      <c r="P10" s="67">
        <f t="shared" si="1"/>
        <v>0</v>
      </c>
      <c r="Q10">
        <v>104</v>
      </c>
    </row>
    <row r="11" spans="1:17" x14ac:dyDescent="0.25">
      <c r="A11" t="s">
        <v>3</v>
      </c>
      <c r="B11" t="s">
        <v>4</v>
      </c>
      <c r="C11" s="12">
        <v>226</v>
      </c>
      <c r="D11" s="12" t="s">
        <v>818</v>
      </c>
      <c r="E11" s="13">
        <v>4.2000000000000003E-2</v>
      </c>
      <c r="F11" s="69">
        <v>17.431190000000001</v>
      </c>
      <c r="G11" t="s">
        <v>433</v>
      </c>
      <c r="H11" t="s">
        <v>346</v>
      </c>
      <c r="I11" s="52" t="e">
        <v>#VALUE!</v>
      </c>
      <c r="J11">
        <v>13</v>
      </c>
      <c r="K11" t="s">
        <v>890</v>
      </c>
      <c r="L11" s="52" t="e">
        <v>#VALUE!</v>
      </c>
      <c r="M11" t="s">
        <v>3</v>
      </c>
      <c r="N11" s="52" t="e">
        <v>#VALUE!</v>
      </c>
      <c r="O11" s="67" t="e">
        <f t="shared" si="0"/>
        <v>#VALUE!</v>
      </c>
      <c r="P11" s="67" t="e">
        <f t="shared" si="1"/>
        <v>#VALUE!</v>
      </c>
      <c r="Q11">
        <v>69</v>
      </c>
    </row>
    <row r="12" spans="1:17" x14ac:dyDescent="0.25">
      <c r="A12" t="s">
        <v>69</v>
      </c>
      <c r="B12" t="s">
        <v>70</v>
      </c>
      <c r="C12" s="12">
        <v>382</v>
      </c>
      <c r="D12" s="12" t="s">
        <v>446</v>
      </c>
      <c r="E12" s="13">
        <v>2.1000000000000001E-2</v>
      </c>
      <c r="F12" s="69">
        <v>5.6657199999999994</v>
      </c>
      <c r="G12">
        <v>46</v>
      </c>
      <c r="H12" t="s">
        <v>242</v>
      </c>
      <c r="I12" s="67">
        <v>0.38999998569488525</v>
      </c>
      <c r="J12">
        <v>50</v>
      </c>
      <c r="K12" t="s">
        <v>277</v>
      </c>
      <c r="L12" s="67">
        <v>0.54000002145767212</v>
      </c>
      <c r="M12" t="s">
        <v>69</v>
      </c>
      <c r="N12">
        <v>32</v>
      </c>
      <c r="O12" s="67">
        <f t="shared" si="0"/>
        <v>0</v>
      </c>
      <c r="P12" s="67">
        <f t="shared" si="1"/>
        <v>0.15000003576278687</v>
      </c>
      <c r="Q12">
        <v>104</v>
      </c>
    </row>
    <row r="13" spans="1:17" x14ac:dyDescent="0.25">
      <c r="A13" t="s">
        <v>90</v>
      </c>
      <c r="B13" t="s">
        <v>419</v>
      </c>
      <c r="C13" s="12">
        <v>124</v>
      </c>
      <c r="D13" s="12" t="s">
        <v>244</v>
      </c>
      <c r="E13" s="13">
        <v>1.0999999999999999E-2</v>
      </c>
      <c r="F13" s="69">
        <v>12.29508</v>
      </c>
      <c r="G13">
        <v>11</v>
      </c>
      <c r="H13" t="s">
        <v>1030</v>
      </c>
      <c r="I13" s="52" t="e">
        <v>#VALUE!</v>
      </c>
      <c r="J13" t="s">
        <v>433</v>
      </c>
      <c r="K13" t="s">
        <v>346</v>
      </c>
      <c r="L13" s="52" t="e">
        <v>#VALUE!</v>
      </c>
      <c r="M13" t="s">
        <v>90</v>
      </c>
      <c r="N13" s="52" t="e">
        <v>#VALUE!</v>
      </c>
      <c r="O13" s="67" t="e">
        <f t="shared" si="0"/>
        <v>#VALUE!</v>
      </c>
      <c r="P13" s="67" t="e">
        <f t="shared" si="1"/>
        <v>#VALUE!</v>
      </c>
      <c r="Q13">
        <v>35</v>
      </c>
    </row>
    <row r="14" spans="1:17" x14ac:dyDescent="0.25">
      <c r="A14" t="s">
        <v>135</v>
      </c>
      <c r="B14" t="s">
        <v>136</v>
      </c>
      <c r="C14" s="12">
        <v>51</v>
      </c>
      <c r="D14" s="12" t="s">
        <v>1065</v>
      </c>
      <c r="E14" s="13">
        <v>2.9000000000000001E-2</v>
      </c>
      <c r="F14" s="69">
        <v>2.0833300000000001</v>
      </c>
      <c r="G14" t="s">
        <v>433</v>
      </c>
      <c r="H14" t="s">
        <v>346</v>
      </c>
      <c r="I14" s="52" t="e">
        <v>#VALUE!</v>
      </c>
      <c r="J14" t="s">
        <v>433</v>
      </c>
      <c r="K14" t="s">
        <v>346</v>
      </c>
      <c r="L14" s="52" t="e">
        <v>#VALUE!</v>
      </c>
      <c r="M14" t="s">
        <v>135</v>
      </c>
      <c r="N14" s="52" t="e">
        <v>#VALUE!</v>
      </c>
      <c r="O14" s="67" t="e">
        <f t="shared" si="0"/>
        <v>#VALUE!</v>
      </c>
      <c r="P14" s="67" t="e">
        <f t="shared" si="1"/>
        <v>#VALUE!</v>
      </c>
      <c r="Q14">
        <v>7</v>
      </c>
    </row>
    <row r="15" spans="1:17" x14ac:dyDescent="0.25">
      <c r="A15" t="s">
        <v>123</v>
      </c>
      <c r="B15" t="s">
        <v>124</v>
      </c>
      <c r="C15" s="12">
        <v>60</v>
      </c>
      <c r="D15" s="12" t="s">
        <v>237</v>
      </c>
      <c r="E15" s="13">
        <v>0.04</v>
      </c>
      <c r="F15" s="69">
        <v>11.538460000000001</v>
      </c>
      <c r="G15" t="s">
        <v>433</v>
      </c>
      <c r="H15" t="s">
        <v>346</v>
      </c>
      <c r="I15" s="52" t="e">
        <v>#VALUE!</v>
      </c>
      <c r="J15" t="s">
        <v>433</v>
      </c>
      <c r="K15" t="s">
        <v>346</v>
      </c>
      <c r="L15" s="52" t="e">
        <v>#VALUE!</v>
      </c>
      <c r="M15" t="s">
        <v>123</v>
      </c>
      <c r="N15" s="52" t="e">
        <v>#VALUE!</v>
      </c>
      <c r="O15" s="67" t="e">
        <f t="shared" si="0"/>
        <v>#VALUE!</v>
      </c>
      <c r="P15" s="67" t="e">
        <f t="shared" si="1"/>
        <v>#VALUE!</v>
      </c>
      <c r="Q15">
        <v>8</v>
      </c>
    </row>
    <row r="16" spans="1:17" x14ac:dyDescent="0.25">
      <c r="A16" t="s">
        <v>149</v>
      </c>
      <c r="B16" t="s">
        <v>150</v>
      </c>
      <c r="C16" s="12">
        <v>335</v>
      </c>
      <c r="D16" s="12" t="s">
        <v>1113</v>
      </c>
      <c r="E16" s="13">
        <v>4.8000000000000001E-2</v>
      </c>
      <c r="F16" s="69">
        <v>24.84076</v>
      </c>
      <c r="G16">
        <v>23</v>
      </c>
      <c r="H16" t="s">
        <v>211</v>
      </c>
      <c r="I16" s="67">
        <v>0.74000000953674316</v>
      </c>
      <c r="J16">
        <v>36</v>
      </c>
      <c r="K16" t="s">
        <v>299</v>
      </c>
      <c r="L16" s="67">
        <v>0.75</v>
      </c>
      <c r="M16" t="s">
        <v>149</v>
      </c>
      <c r="N16">
        <v>9</v>
      </c>
      <c r="O16" s="67">
        <f t="shared" si="0"/>
        <v>0</v>
      </c>
      <c r="P16" s="67">
        <f t="shared" si="1"/>
        <v>9.9999904632568359E-3</v>
      </c>
      <c r="Q16">
        <v>111</v>
      </c>
    </row>
    <row r="17" spans="1:17" x14ac:dyDescent="0.25">
      <c r="A17" t="s">
        <v>37</v>
      </c>
      <c r="B17" t="s">
        <v>198</v>
      </c>
      <c r="C17" s="12">
        <v>296</v>
      </c>
      <c r="D17" s="12" t="s">
        <v>243</v>
      </c>
      <c r="E17" s="13">
        <v>2.1000000000000001E-2</v>
      </c>
      <c r="F17" s="69">
        <v>13.62007</v>
      </c>
      <c r="G17">
        <v>18</v>
      </c>
      <c r="H17" t="s">
        <v>1129</v>
      </c>
      <c r="I17" s="67">
        <v>0.5</v>
      </c>
      <c r="J17">
        <v>20</v>
      </c>
      <c r="K17" t="s">
        <v>328</v>
      </c>
      <c r="L17" s="67">
        <v>0.44999998807907104</v>
      </c>
      <c r="M17" t="s">
        <v>37</v>
      </c>
      <c r="N17">
        <v>42</v>
      </c>
      <c r="O17" s="67">
        <f t="shared" si="0"/>
        <v>5.0000011920928955E-2</v>
      </c>
      <c r="P17" s="67">
        <f t="shared" si="1"/>
        <v>0</v>
      </c>
      <c r="Q17">
        <v>74</v>
      </c>
    </row>
    <row r="18" spans="1:17" x14ac:dyDescent="0.25">
      <c r="A18" t="s">
        <v>38</v>
      </c>
      <c r="B18" t="s">
        <v>39</v>
      </c>
      <c r="C18" s="12">
        <v>532</v>
      </c>
      <c r="D18" s="12" t="s">
        <v>1056</v>
      </c>
      <c r="E18" s="13">
        <v>0.02</v>
      </c>
      <c r="F18" s="69">
        <v>13.766729999999999</v>
      </c>
      <c r="G18">
        <v>41</v>
      </c>
      <c r="H18" t="s">
        <v>216</v>
      </c>
      <c r="I18" s="67">
        <v>0.43999999761581421</v>
      </c>
      <c r="J18">
        <v>57</v>
      </c>
      <c r="K18" t="s">
        <v>225</v>
      </c>
      <c r="L18" s="67">
        <v>0.61000001430511475</v>
      </c>
      <c r="M18" t="s">
        <v>38</v>
      </c>
      <c r="N18">
        <v>22</v>
      </c>
      <c r="O18" s="67">
        <f t="shared" si="0"/>
        <v>0</v>
      </c>
      <c r="P18" s="67">
        <f t="shared" si="1"/>
        <v>0.17000001668930054</v>
      </c>
      <c r="Q18">
        <v>156</v>
      </c>
    </row>
    <row r="19" spans="1:17" x14ac:dyDescent="0.25">
      <c r="A19" t="s">
        <v>112</v>
      </c>
      <c r="B19" t="s">
        <v>113</v>
      </c>
      <c r="C19" s="12">
        <v>235</v>
      </c>
      <c r="D19" s="12" t="s">
        <v>216</v>
      </c>
      <c r="E19" s="13">
        <v>0.01</v>
      </c>
      <c r="F19" s="69">
        <v>11.92661</v>
      </c>
      <c r="G19">
        <v>17</v>
      </c>
      <c r="H19" t="s">
        <v>962</v>
      </c>
      <c r="I19" s="67">
        <v>0.64999997615814209</v>
      </c>
      <c r="J19">
        <v>24</v>
      </c>
      <c r="K19" t="s">
        <v>221</v>
      </c>
      <c r="L19" s="67">
        <v>0.82999998331069946</v>
      </c>
      <c r="M19" t="s">
        <v>112</v>
      </c>
      <c r="N19">
        <v>1</v>
      </c>
      <c r="O19" s="67">
        <f t="shared" si="0"/>
        <v>0</v>
      </c>
      <c r="P19" s="67">
        <f t="shared" si="1"/>
        <v>0.18000000715255737</v>
      </c>
      <c r="Q19">
        <v>80</v>
      </c>
    </row>
    <row r="20" spans="1:17" x14ac:dyDescent="0.25">
      <c r="A20" t="s">
        <v>63</v>
      </c>
      <c r="B20" t="s">
        <v>64</v>
      </c>
      <c r="C20" s="12">
        <v>391</v>
      </c>
      <c r="D20" s="12" t="s">
        <v>449</v>
      </c>
      <c r="E20" s="13">
        <v>3.3000000000000002E-2</v>
      </c>
      <c r="F20" s="69">
        <v>12.0944</v>
      </c>
      <c r="G20">
        <v>37</v>
      </c>
      <c r="H20" t="s">
        <v>216</v>
      </c>
      <c r="I20" s="67">
        <v>0.49000000953674316</v>
      </c>
      <c r="J20">
        <v>31</v>
      </c>
      <c r="K20" t="s">
        <v>898</v>
      </c>
      <c r="L20" s="67">
        <v>0.41999998688697815</v>
      </c>
      <c r="M20" t="s">
        <v>63</v>
      </c>
      <c r="N20">
        <v>44</v>
      </c>
      <c r="O20" s="67">
        <f t="shared" si="0"/>
        <v>7.0000022649765015E-2</v>
      </c>
      <c r="P20" s="67">
        <f t="shared" si="1"/>
        <v>0</v>
      </c>
      <c r="Q20">
        <v>128</v>
      </c>
    </row>
    <row r="21" spans="1:17" x14ac:dyDescent="0.25">
      <c r="A21" t="s">
        <v>127</v>
      </c>
      <c r="B21" t="s">
        <v>420</v>
      </c>
      <c r="C21" s="12">
        <v>411</v>
      </c>
      <c r="D21" s="12" t="s">
        <v>249</v>
      </c>
      <c r="E21" s="13">
        <v>3.7999999999999999E-2</v>
      </c>
      <c r="F21" s="69">
        <v>16.058389999999999</v>
      </c>
      <c r="G21">
        <v>23</v>
      </c>
      <c r="H21" t="s">
        <v>1145</v>
      </c>
      <c r="I21" s="67">
        <v>0.47999998927116394</v>
      </c>
      <c r="J21">
        <v>43</v>
      </c>
      <c r="K21" t="s">
        <v>207</v>
      </c>
      <c r="L21" s="67">
        <v>0.68999999761581421</v>
      </c>
      <c r="M21" t="s">
        <v>127</v>
      </c>
      <c r="N21">
        <v>12</v>
      </c>
      <c r="O21" s="67">
        <f t="shared" si="0"/>
        <v>0</v>
      </c>
      <c r="P21" s="67">
        <f t="shared" si="1"/>
        <v>0.21000000834465027</v>
      </c>
      <c r="Q21">
        <v>122</v>
      </c>
    </row>
    <row r="22" spans="1:17" x14ac:dyDescent="0.25">
      <c r="A22" t="s">
        <v>153</v>
      </c>
      <c r="B22" t="s">
        <v>154</v>
      </c>
      <c r="C22" s="12">
        <v>291</v>
      </c>
      <c r="D22" s="12" t="s">
        <v>1114</v>
      </c>
      <c r="E22" s="13">
        <v>4.8000000000000001E-2</v>
      </c>
      <c r="F22" s="69">
        <v>15.827340000000001</v>
      </c>
      <c r="G22">
        <v>32</v>
      </c>
      <c r="H22" t="s">
        <v>247</v>
      </c>
      <c r="I22" s="67">
        <v>0.5</v>
      </c>
      <c r="J22">
        <v>40</v>
      </c>
      <c r="K22" t="s">
        <v>860</v>
      </c>
      <c r="L22" s="67">
        <v>0.54000002145767212</v>
      </c>
      <c r="M22" t="s">
        <v>153</v>
      </c>
      <c r="N22">
        <v>33</v>
      </c>
      <c r="O22" s="67">
        <f t="shared" si="0"/>
        <v>0</v>
      </c>
      <c r="P22" s="67">
        <f t="shared" si="1"/>
        <v>4.0000021457672119E-2</v>
      </c>
      <c r="Q22">
        <v>94</v>
      </c>
    </row>
    <row r="23" spans="1:17" x14ac:dyDescent="0.25">
      <c r="A23" t="s">
        <v>71</v>
      </c>
      <c r="B23" t="s">
        <v>72</v>
      </c>
      <c r="C23" s="12">
        <v>270</v>
      </c>
      <c r="D23" s="12" t="s">
        <v>1107</v>
      </c>
      <c r="E23" s="13">
        <v>4.4999999999999998E-2</v>
      </c>
      <c r="F23" s="69">
        <v>1.5444</v>
      </c>
      <c r="G23">
        <v>10</v>
      </c>
      <c r="H23" t="s">
        <v>1136</v>
      </c>
      <c r="I23" s="67">
        <v>0.33000001311302185</v>
      </c>
      <c r="J23">
        <v>11</v>
      </c>
      <c r="K23" t="s">
        <v>1137</v>
      </c>
      <c r="L23" s="67">
        <v>0.36000001430511475</v>
      </c>
      <c r="M23" t="s">
        <v>71</v>
      </c>
      <c r="N23">
        <v>47</v>
      </c>
      <c r="O23" s="67">
        <f t="shared" si="0"/>
        <v>0</v>
      </c>
      <c r="P23" s="67">
        <f t="shared" si="1"/>
        <v>3.0000001192092896E-2</v>
      </c>
      <c r="Q23">
        <v>80</v>
      </c>
    </row>
    <row r="24" spans="1:17" x14ac:dyDescent="0.25">
      <c r="A24" t="s">
        <v>147</v>
      </c>
      <c r="B24" t="s">
        <v>148</v>
      </c>
      <c r="C24" s="12">
        <v>504</v>
      </c>
      <c r="D24" s="12" t="s">
        <v>201</v>
      </c>
      <c r="E24" s="13">
        <v>0.02</v>
      </c>
      <c r="F24" s="69">
        <v>7.9591800000000008</v>
      </c>
      <c r="G24">
        <v>41</v>
      </c>
      <c r="H24" t="s">
        <v>1132</v>
      </c>
      <c r="I24" s="67">
        <v>0.56000000238418579</v>
      </c>
      <c r="J24">
        <v>45</v>
      </c>
      <c r="K24" t="s">
        <v>1144</v>
      </c>
      <c r="L24" s="67">
        <v>0.43999999761581421</v>
      </c>
      <c r="M24" t="s">
        <v>147</v>
      </c>
      <c r="N24">
        <v>43</v>
      </c>
      <c r="O24" s="67">
        <f t="shared" si="0"/>
        <v>0.12000000476837158</v>
      </c>
      <c r="P24" s="67">
        <f t="shared" si="1"/>
        <v>0</v>
      </c>
      <c r="Q24">
        <v>211</v>
      </c>
    </row>
    <row r="25" spans="1:17" x14ac:dyDescent="0.25">
      <c r="A25" t="s">
        <v>102</v>
      </c>
      <c r="B25" t="s">
        <v>103</v>
      </c>
      <c r="C25" s="12">
        <v>283</v>
      </c>
      <c r="D25" s="12" t="s">
        <v>200</v>
      </c>
      <c r="E25" s="13">
        <v>4.1000000000000002E-2</v>
      </c>
      <c r="F25" s="69">
        <v>18.75</v>
      </c>
      <c r="G25">
        <v>34</v>
      </c>
      <c r="H25" t="s">
        <v>448</v>
      </c>
      <c r="I25" s="67">
        <v>0.31999999284744263</v>
      </c>
      <c r="J25">
        <v>21</v>
      </c>
      <c r="K25" t="s">
        <v>218</v>
      </c>
      <c r="L25" s="67">
        <v>0.33000001311302185</v>
      </c>
      <c r="M25" t="s">
        <v>102</v>
      </c>
      <c r="N25">
        <v>48</v>
      </c>
      <c r="O25" s="67">
        <f t="shared" si="0"/>
        <v>0</v>
      </c>
      <c r="P25" s="67">
        <f t="shared" si="1"/>
        <v>1.0000020265579224E-2</v>
      </c>
      <c r="Q25">
        <v>57</v>
      </c>
    </row>
    <row r="26" spans="1:17" x14ac:dyDescent="0.25">
      <c r="A26" t="s">
        <v>681</v>
      </c>
      <c r="B26" t="s">
        <v>682</v>
      </c>
      <c r="C26" t="e">
        <v>#N/A</v>
      </c>
      <c r="D26" s="102" t="s">
        <v>346</v>
      </c>
      <c r="E26" t="e">
        <v>#N/A</v>
      </c>
      <c r="F26" s="102" t="s">
        <v>346</v>
      </c>
      <c r="G26" t="e">
        <v>#N/A</v>
      </c>
      <c r="H26" t="e">
        <v>#N/A</v>
      </c>
      <c r="I26" s="52" t="e">
        <v>#VALUE!</v>
      </c>
      <c r="J26" t="e">
        <v>#N/A</v>
      </c>
      <c r="K26" t="e">
        <v>#N/A</v>
      </c>
      <c r="L26" s="52" t="e">
        <v>#VALUE!</v>
      </c>
      <c r="M26" t="s">
        <v>681</v>
      </c>
      <c r="N26" s="52" t="e">
        <v>#VALUE!</v>
      </c>
      <c r="O26" s="67" t="e">
        <f t="shared" si="0"/>
        <v>#VALUE!</v>
      </c>
      <c r="P26" s="67" t="e">
        <f t="shared" si="1"/>
        <v>#VALUE!</v>
      </c>
      <c r="Q26" t="s">
        <v>345</v>
      </c>
    </row>
    <row r="27" spans="1:17" x14ac:dyDescent="0.25">
      <c r="A27" t="s">
        <v>44</v>
      </c>
      <c r="B27" t="s">
        <v>421</v>
      </c>
      <c r="C27" s="12">
        <v>443</v>
      </c>
      <c r="D27" s="12" t="s">
        <v>1105</v>
      </c>
      <c r="E27" s="13">
        <v>3.7999999999999999E-2</v>
      </c>
      <c r="F27" s="69">
        <v>9.0225600000000004</v>
      </c>
      <c r="G27">
        <v>50</v>
      </c>
      <c r="H27" t="s">
        <v>232</v>
      </c>
      <c r="I27" s="67">
        <v>0.36000001430511475</v>
      </c>
      <c r="J27">
        <v>49</v>
      </c>
      <c r="K27" t="s">
        <v>330</v>
      </c>
      <c r="L27" s="67">
        <v>0.52999997138977051</v>
      </c>
      <c r="M27" t="s">
        <v>44</v>
      </c>
      <c r="N27">
        <v>34</v>
      </c>
      <c r="O27" s="67">
        <f t="shared" si="0"/>
        <v>0</v>
      </c>
      <c r="P27" s="67">
        <f t="shared" si="1"/>
        <v>0.16999995708465576</v>
      </c>
      <c r="Q27">
        <v>112</v>
      </c>
    </row>
    <row r="28" spans="1:17" x14ac:dyDescent="0.25">
      <c r="A28" t="s">
        <v>13</v>
      </c>
      <c r="B28" t="s">
        <v>422</v>
      </c>
      <c r="C28" s="12">
        <v>97</v>
      </c>
      <c r="D28" s="12" t="s">
        <v>1103</v>
      </c>
      <c r="E28" s="13">
        <v>1.9E-2</v>
      </c>
      <c r="F28" s="69">
        <v>7.6923099999999991</v>
      </c>
      <c r="G28" t="s">
        <v>433</v>
      </c>
      <c r="H28" t="s">
        <v>346</v>
      </c>
      <c r="I28" s="52" t="e">
        <v>#VALUE!</v>
      </c>
      <c r="J28" t="s">
        <v>433</v>
      </c>
      <c r="K28" t="s">
        <v>346</v>
      </c>
      <c r="L28" s="52" t="e">
        <v>#VALUE!</v>
      </c>
      <c r="M28" t="s">
        <v>13</v>
      </c>
      <c r="N28" s="52" t="e">
        <v>#VALUE!</v>
      </c>
      <c r="O28" s="67" t="e">
        <f t="shared" si="0"/>
        <v>#VALUE!</v>
      </c>
      <c r="P28" s="67" t="e">
        <f t="shared" si="1"/>
        <v>#VALUE!</v>
      </c>
      <c r="Q28">
        <v>13</v>
      </c>
    </row>
    <row r="29" spans="1:17" x14ac:dyDescent="0.25">
      <c r="A29" t="s">
        <v>9</v>
      </c>
      <c r="B29" t="s">
        <v>10</v>
      </c>
      <c r="C29" s="12">
        <v>219</v>
      </c>
      <c r="D29" s="12" t="s">
        <v>200</v>
      </c>
      <c r="E29" s="13">
        <v>4.5999999999999999E-2</v>
      </c>
      <c r="F29" s="69">
        <v>9.5</v>
      </c>
      <c r="G29">
        <v>25</v>
      </c>
      <c r="H29" t="s">
        <v>453</v>
      </c>
      <c r="I29" s="67">
        <v>0.15999999642372131</v>
      </c>
      <c r="J29">
        <v>30</v>
      </c>
      <c r="K29" t="s">
        <v>1125</v>
      </c>
      <c r="L29" s="67">
        <v>0.80000001192092896</v>
      </c>
      <c r="M29" t="s">
        <v>9</v>
      </c>
      <c r="N29">
        <v>3</v>
      </c>
      <c r="O29" s="67">
        <f t="shared" si="0"/>
        <v>0</v>
      </c>
      <c r="P29" s="67">
        <f t="shared" si="1"/>
        <v>0.64000001549720764</v>
      </c>
      <c r="Q29">
        <v>73</v>
      </c>
    </row>
    <row r="30" spans="1:17" x14ac:dyDescent="0.25">
      <c r="A30" t="s">
        <v>92</v>
      </c>
      <c r="B30" t="s">
        <v>93</v>
      </c>
      <c r="C30" s="12">
        <v>106</v>
      </c>
      <c r="D30" s="12" t="s">
        <v>1108</v>
      </c>
      <c r="E30" s="13">
        <v>3.2000000000000001E-2</v>
      </c>
      <c r="F30" s="69">
        <v>9.5744699999999998</v>
      </c>
      <c r="G30" t="s">
        <v>433</v>
      </c>
      <c r="H30" t="s">
        <v>346</v>
      </c>
      <c r="I30" s="52" t="e">
        <v>#VALUE!</v>
      </c>
      <c r="J30" t="s">
        <v>433</v>
      </c>
      <c r="K30" t="s">
        <v>346</v>
      </c>
      <c r="L30" s="52" t="e">
        <v>#VALUE!</v>
      </c>
      <c r="M30" t="s">
        <v>92</v>
      </c>
      <c r="N30" s="52" t="e">
        <v>#VALUE!</v>
      </c>
      <c r="O30" s="67" t="e">
        <f t="shared" si="0"/>
        <v>#VALUE!</v>
      </c>
      <c r="P30" s="67" t="e">
        <f t="shared" si="1"/>
        <v>#VALUE!</v>
      </c>
      <c r="Q30">
        <v>9</v>
      </c>
    </row>
    <row r="31" spans="1:17" x14ac:dyDescent="0.25">
      <c r="A31" t="s">
        <v>19</v>
      </c>
      <c r="B31" t="s">
        <v>680</v>
      </c>
      <c r="C31" s="12">
        <v>303</v>
      </c>
      <c r="D31" s="12" t="s">
        <v>233</v>
      </c>
      <c r="E31" s="13">
        <v>0.03</v>
      </c>
      <c r="F31" s="69">
        <v>11.072659999999999</v>
      </c>
      <c r="G31">
        <v>30</v>
      </c>
      <c r="H31" t="s">
        <v>435</v>
      </c>
      <c r="I31" s="67">
        <v>0.37000000476837158</v>
      </c>
      <c r="J31">
        <v>26</v>
      </c>
      <c r="K31" t="s">
        <v>225</v>
      </c>
      <c r="L31" s="67">
        <v>0.68999999761581421</v>
      </c>
      <c r="M31" t="s">
        <v>19</v>
      </c>
      <c r="N31">
        <v>13</v>
      </c>
      <c r="O31" s="67">
        <f t="shared" si="0"/>
        <v>0</v>
      </c>
      <c r="P31" s="67">
        <f t="shared" si="1"/>
        <v>0.31999999284744263</v>
      </c>
      <c r="Q31">
        <v>66</v>
      </c>
    </row>
    <row r="32" spans="1:17" x14ac:dyDescent="0.25">
      <c r="A32" t="s">
        <v>110</v>
      </c>
      <c r="B32" t="s">
        <v>111</v>
      </c>
      <c r="C32" s="12">
        <v>228</v>
      </c>
      <c r="D32" s="12" t="s">
        <v>1111</v>
      </c>
      <c r="E32" s="13">
        <v>2.3E-2</v>
      </c>
      <c r="F32" s="69">
        <v>15.204680000000002</v>
      </c>
      <c r="G32">
        <v>27</v>
      </c>
      <c r="H32" t="s">
        <v>323</v>
      </c>
      <c r="I32" s="67">
        <v>0.37000000476837158</v>
      </c>
      <c r="J32">
        <v>30</v>
      </c>
      <c r="K32" t="s">
        <v>287</v>
      </c>
      <c r="L32" s="67">
        <v>0.5</v>
      </c>
      <c r="M32" t="s">
        <v>110</v>
      </c>
      <c r="N32">
        <v>38</v>
      </c>
      <c r="O32" s="67">
        <f t="shared" si="0"/>
        <v>0</v>
      </c>
      <c r="P32" s="67">
        <f t="shared" si="1"/>
        <v>0.12999999523162842</v>
      </c>
      <c r="Q32">
        <v>99</v>
      </c>
    </row>
    <row r="33" spans="1:17" x14ac:dyDescent="0.25">
      <c r="A33" t="s">
        <v>155</v>
      </c>
      <c r="B33" t="s">
        <v>156</v>
      </c>
      <c r="C33" s="12">
        <v>12</v>
      </c>
      <c r="D33" s="12" t="s">
        <v>904</v>
      </c>
      <c r="E33" s="13">
        <v>0</v>
      </c>
      <c r="F33" s="69">
        <v>0</v>
      </c>
      <c r="G33" t="s">
        <v>433</v>
      </c>
      <c r="H33" t="s">
        <v>346</v>
      </c>
      <c r="I33" s="52" t="e">
        <v>#VALUE!</v>
      </c>
      <c r="J33" t="s">
        <v>433</v>
      </c>
      <c r="K33" t="s">
        <v>346</v>
      </c>
      <c r="L33" s="52" t="e">
        <v>#VALUE!</v>
      </c>
      <c r="M33" t="s">
        <v>155</v>
      </c>
      <c r="N33" s="52" t="e">
        <v>#VALUE!</v>
      </c>
      <c r="O33" s="67" t="e">
        <f t="shared" si="0"/>
        <v>#VALUE!</v>
      </c>
      <c r="P33" s="67" t="e">
        <f t="shared" si="1"/>
        <v>#VALUE!</v>
      </c>
      <c r="Q33">
        <v>6</v>
      </c>
    </row>
    <row r="34" spans="1:17" x14ac:dyDescent="0.25">
      <c r="A34" t="s">
        <v>165</v>
      </c>
      <c r="B34" t="s">
        <v>166</v>
      </c>
      <c r="C34" s="12">
        <v>108</v>
      </c>
      <c r="D34" s="12" t="s">
        <v>456</v>
      </c>
      <c r="E34" s="13">
        <v>1.4E-2</v>
      </c>
      <c r="F34" s="69">
        <v>3.7735799999999999</v>
      </c>
      <c r="G34">
        <v>19</v>
      </c>
      <c r="H34" t="s">
        <v>1149</v>
      </c>
      <c r="I34" s="67">
        <v>0.57999998331069946</v>
      </c>
      <c r="J34">
        <v>16</v>
      </c>
      <c r="K34" t="s">
        <v>269</v>
      </c>
      <c r="L34" s="67">
        <v>0.62999999523162842</v>
      </c>
      <c r="M34" t="s">
        <v>165</v>
      </c>
      <c r="N34">
        <v>19</v>
      </c>
      <c r="O34" s="67">
        <f t="shared" si="0"/>
        <v>0</v>
      </c>
      <c r="P34" s="67">
        <f t="shared" si="1"/>
        <v>5.0000011920928955E-2</v>
      </c>
      <c r="Q34">
        <v>36</v>
      </c>
    </row>
    <row r="35" spans="1:17" x14ac:dyDescent="0.25">
      <c r="A35" t="s">
        <v>159</v>
      </c>
      <c r="B35" t="s">
        <v>160</v>
      </c>
      <c r="C35" s="12">
        <v>120</v>
      </c>
      <c r="D35" s="12" t="s">
        <v>249</v>
      </c>
      <c r="E35" s="13">
        <v>6.0999999999999999E-2</v>
      </c>
      <c r="F35" s="69">
        <v>13.15789</v>
      </c>
      <c r="G35">
        <v>14</v>
      </c>
      <c r="H35" t="s">
        <v>1130</v>
      </c>
      <c r="I35" s="67">
        <v>0.70999997854232788</v>
      </c>
      <c r="J35">
        <v>15</v>
      </c>
      <c r="K35" t="s">
        <v>299</v>
      </c>
      <c r="L35" s="67">
        <v>0.67000001668930054</v>
      </c>
      <c r="M35" t="s">
        <v>159</v>
      </c>
      <c r="N35">
        <v>16</v>
      </c>
      <c r="O35" s="67">
        <f t="shared" si="0"/>
        <v>3.9999961853027344E-2</v>
      </c>
      <c r="P35" s="67">
        <f t="shared" si="1"/>
        <v>0</v>
      </c>
      <c r="Q35">
        <v>26</v>
      </c>
    </row>
    <row r="36" spans="1:17" x14ac:dyDescent="0.25">
      <c r="A36" t="s">
        <v>161</v>
      </c>
      <c r="B36" t="s">
        <v>162</v>
      </c>
      <c r="C36" s="12">
        <v>188</v>
      </c>
      <c r="D36" s="12" t="s">
        <v>206</v>
      </c>
      <c r="E36" s="13">
        <v>2.5000000000000001E-2</v>
      </c>
      <c r="F36" s="69">
        <v>6.7796599999999998</v>
      </c>
      <c r="G36">
        <v>19</v>
      </c>
      <c r="H36" t="s">
        <v>268</v>
      </c>
      <c r="I36" s="67">
        <v>0.62999999523162842</v>
      </c>
      <c r="J36">
        <v>33</v>
      </c>
      <c r="K36" t="s">
        <v>215</v>
      </c>
      <c r="L36" s="67">
        <v>0.75999999046325684</v>
      </c>
      <c r="M36" t="s">
        <v>161</v>
      </c>
      <c r="N36">
        <v>8</v>
      </c>
      <c r="O36" s="67">
        <f t="shared" si="0"/>
        <v>0</v>
      </c>
      <c r="P36" s="67">
        <f t="shared" si="1"/>
        <v>0.12999999523162842</v>
      </c>
      <c r="Q36">
        <v>61</v>
      </c>
    </row>
    <row r="37" spans="1:17" x14ac:dyDescent="0.25">
      <c r="A37" t="s">
        <v>163</v>
      </c>
      <c r="B37" t="s">
        <v>164</v>
      </c>
      <c r="C37" s="12">
        <v>92</v>
      </c>
      <c r="D37" s="12" t="s">
        <v>1115</v>
      </c>
      <c r="E37" s="13">
        <v>2.8000000000000001E-2</v>
      </c>
      <c r="F37" s="69">
        <v>26.436779999999999</v>
      </c>
      <c r="G37" t="s">
        <v>433</v>
      </c>
      <c r="H37" t="s">
        <v>346</v>
      </c>
      <c r="I37" s="52" t="e">
        <v>#VALUE!</v>
      </c>
      <c r="J37" t="s">
        <v>433</v>
      </c>
      <c r="K37" t="s">
        <v>346</v>
      </c>
      <c r="L37" s="52" t="e">
        <v>#VALUE!</v>
      </c>
      <c r="M37" t="s">
        <v>163</v>
      </c>
      <c r="N37" s="52" t="e">
        <v>#VALUE!</v>
      </c>
      <c r="O37" s="67" t="e">
        <f t="shared" si="0"/>
        <v>#VALUE!</v>
      </c>
      <c r="P37" s="67" t="e">
        <f t="shared" si="1"/>
        <v>#VALUE!</v>
      </c>
      <c r="Q37">
        <v>41</v>
      </c>
    </row>
    <row r="38" spans="1:17" x14ac:dyDescent="0.25">
      <c r="A38" t="s">
        <v>167</v>
      </c>
      <c r="B38" t="s">
        <v>168</v>
      </c>
      <c r="C38" s="12">
        <v>70</v>
      </c>
      <c r="D38" s="12" t="s">
        <v>252</v>
      </c>
      <c r="E38" s="13">
        <v>3.1E-2</v>
      </c>
      <c r="F38" s="69">
        <v>16.176470000000002</v>
      </c>
      <c r="G38">
        <v>10</v>
      </c>
      <c r="H38" t="s">
        <v>726</v>
      </c>
      <c r="I38" s="52" t="e">
        <v>#VALUE!</v>
      </c>
      <c r="J38" t="s">
        <v>433</v>
      </c>
      <c r="K38" t="s">
        <v>346</v>
      </c>
      <c r="L38" s="52" t="e">
        <v>#VALUE!</v>
      </c>
      <c r="M38" t="s">
        <v>167</v>
      </c>
      <c r="N38" s="52" t="e">
        <v>#VALUE!</v>
      </c>
      <c r="O38" s="67" t="e">
        <f t="shared" si="0"/>
        <v>#VALUE!</v>
      </c>
      <c r="P38" s="67" t="e">
        <f t="shared" si="1"/>
        <v>#VALUE!</v>
      </c>
      <c r="Q38">
        <v>20</v>
      </c>
    </row>
    <row r="39" spans="1:17" x14ac:dyDescent="0.25">
      <c r="A39" t="s">
        <v>169</v>
      </c>
      <c r="B39" t="s">
        <v>170</v>
      </c>
      <c r="C39" s="12">
        <v>74</v>
      </c>
      <c r="D39" s="12" t="s">
        <v>1116</v>
      </c>
      <c r="E39" s="13">
        <v>0</v>
      </c>
      <c r="F39" s="69">
        <v>4.2553200000000002</v>
      </c>
      <c r="G39" t="s">
        <v>433</v>
      </c>
      <c r="H39" t="s">
        <v>346</v>
      </c>
      <c r="I39" s="52" t="e">
        <v>#VALUE!</v>
      </c>
      <c r="J39" t="s">
        <v>433</v>
      </c>
      <c r="K39" t="s">
        <v>346</v>
      </c>
      <c r="L39" s="52" t="e">
        <v>#VALUE!</v>
      </c>
      <c r="M39" t="s">
        <v>169</v>
      </c>
      <c r="N39" s="52" t="e">
        <v>#VALUE!</v>
      </c>
      <c r="O39" s="67" t="e">
        <f t="shared" si="0"/>
        <v>#VALUE!</v>
      </c>
      <c r="P39" s="67" t="e">
        <f t="shared" si="1"/>
        <v>#VALUE!</v>
      </c>
      <c r="Q39">
        <v>5</v>
      </c>
    </row>
    <row r="40" spans="1:17" x14ac:dyDescent="0.25">
      <c r="A40" t="s">
        <v>80</v>
      </c>
      <c r="B40" t="s">
        <v>81</v>
      </c>
      <c r="C40" s="12">
        <v>177</v>
      </c>
      <c r="D40" s="12" t="s">
        <v>676</v>
      </c>
      <c r="E40" s="13">
        <v>2.8000000000000001E-2</v>
      </c>
      <c r="F40" s="69">
        <v>5.4545499999999993</v>
      </c>
      <c r="G40">
        <v>29</v>
      </c>
      <c r="H40" t="s">
        <v>305</v>
      </c>
      <c r="I40" s="67">
        <v>0.75999999046325684</v>
      </c>
      <c r="J40">
        <v>32</v>
      </c>
      <c r="K40" t="s">
        <v>207</v>
      </c>
      <c r="L40" s="67">
        <v>0.68999999761581421</v>
      </c>
      <c r="M40" t="s">
        <v>80</v>
      </c>
      <c r="N40">
        <v>14</v>
      </c>
      <c r="O40" s="67">
        <f t="shared" si="0"/>
        <v>6.9999992847442627E-2</v>
      </c>
      <c r="P40" s="67">
        <f t="shared" si="1"/>
        <v>0</v>
      </c>
      <c r="Q40">
        <v>72</v>
      </c>
    </row>
    <row r="41" spans="1:17" x14ac:dyDescent="0.25">
      <c r="A41" t="s">
        <v>121</v>
      </c>
      <c r="B41" t="s">
        <v>122</v>
      </c>
      <c r="C41" s="12">
        <v>500</v>
      </c>
      <c r="D41" s="12" t="s">
        <v>243</v>
      </c>
      <c r="E41" s="13">
        <v>1.6E-2</v>
      </c>
      <c r="F41" s="69">
        <v>16.390039999999999</v>
      </c>
      <c r="G41">
        <v>42</v>
      </c>
      <c r="H41" t="s">
        <v>207</v>
      </c>
      <c r="I41" s="67">
        <v>0.68999999761581421</v>
      </c>
      <c r="J41">
        <v>31</v>
      </c>
      <c r="K41" t="s">
        <v>1143</v>
      </c>
      <c r="L41" s="67">
        <v>0.61000001430511475</v>
      </c>
      <c r="M41" t="s">
        <v>121</v>
      </c>
      <c r="N41">
        <v>23</v>
      </c>
      <c r="O41" s="67">
        <f t="shared" si="0"/>
        <v>7.9999983310699463E-2</v>
      </c>
      <c r="P41" s="67">
        <f t="shared" si="1"/>
        <v>0</v>
      </c>
      <c r="Q41">
        <v>139</v>
      </c>
    </row>
    <row r="42" spans="1:17" x14ac:dyDescent="0.25">
      <c r="A42" t="s">
        <v>86</v>
      </c>
      <c r="B42" t="s">
        <v>694</v>
      </c>
      <c r="C42" s="12">
        <v>234</v>
      </c>
      <c r="D42" s="12" t="s">
        <v>206</v>
      </c>
      <c r="E42" s="13">
        <v>3.9E-2</v>
      </c>
      <c r="F42" s="69">
        <v>18.303570000000001</v>
      </c>
      <c r="G42">
        <v>10</v>
      </c>
      <c r="H42" t="s">
        <v>204</v>
      </c>
      <c r="I42" s="67">
        <v>0.69999998807907104</v>
      </c>
      <c r="J42">
        <v>17</v>
      </c>
      <c r="K42" t="s">
        <v>329</v>
      </c>
      <c r="L42" s="67">
        <v>0.52999997138977051</v>
      </c>
      <c r="M42" t="s">
        <v>86</v>
      </c>
      <c r="N42">
        <v>35</v>
      </c>
      <c r="O42" s="67">
        <f t="shared" si="0"/>
        <v>0.17000001668930054</v>
      </c>
      <c r="P42" s="67">
        <f t="shared" si="1"/>
        <v>0</v>
      </c>
      <c r="Q42">
        <v>82</v>
      </c>
    </row>
    <row r="43" spans="1:17" x14ac:dyDescent="0.25">
      <c r="A43" t="s">
        <v>88</v>
      </c>
      <c r="B43" t="s">
        <v>89</v>
      </c>
      <c r="C43" s="12">
        <v>207</v>
      </c>
      <c r="D43" s="12" t="s">
        <v>914</v>
      </c>
      <c r="E43" s="13">
        <v>4.3999999999999997E-2</v>
      </c>
      <c r="F43" s="69">
        <v>8.7912100000000013</v>
      </c>
      <c r="G43">
        <v>23</v>
      </c>
      <c r="H43" t="s">
        <v>1140</v>
      </c>
      <c r="I43" s="67">
        <v>0.74000000953674316</v>
      </c>
      <c r="J43">
        <v>27</v>
      </c>
      <c r="K43" t="s">
        <v>225</v>
      </c>
      <c r="L43" s="67">
        <v>0.62999999523162842</v>
      </c>
      <c r="M43" t="s">
        <v>88</v>
      </c>
      <c r="N43">
        <v>20</v>
      </c>
      <c r="O43" s="67">
        <f t="shared" si="0"/>
        <v>0.11000001430511475</v>
      </c>
      <c r="P43" s="67">
        <f t="shared" si="1"/>
        <v>0</v>
      </c>
      <c r="Q43">
        <v>69</v>
      </c>
    </row>
    <row r="44" spans="1:17" x14ac:dyDescent="0.25">
      <c r="A44" t="s">
        <v>141</v>
      </c>
      <c r="B44" t="s">
        <v>142</v>
      </c>
      <c r="C44" s="12">
        <v>155</v>
      </c>
      <c r="D44" s="12" t="s">
        <v>1112</v>
      </c>
      <c r="E44" s="13">
        <v>6.0999999999999999E-2</v>
      </c>
      <c r="F44" s="69">
        <v>18.05556</v>
      </c>
      <c r="G44" t="s">
        <v>433</v>
      </c>
      <c r="H44" t="s">
        <v>346</v>
      </c>
      <c r="I44" s="52" t="e">
        <v>#VALUE!</v>
      </c>
      <c r="J44">
        <v>11</v>
      </c>
      <c r="K44" t="s">
        <v>1148</v>
      </c>
      <c r="L44" s="52" t="e">
        <v>#VALUE!</v>
      </c>
      <c r="M44" t="s">
        <v>141</v>
      </c>
      <c r="N44" s="52" t="e">
        <v>#VALUE!</v>
      </c>
      <c r="O44" s="67" t="e">
        <f t="shared" si="0"/>
        <v>#VALUE!</v>
      </c>
      <c r="P44" s="67" t="e">
        <f t="shared" si="1"/>
        <v>#VALUE!</v>
      </c>
      <c r="Q44">
        <v>39</v>
      </c>
    </row>
    <row r="45" spans="1:17" x14ac:dyDescent="0.25">
      <c r="A45" t="s">
        <v>115</v>
      </c>
      <c r="B45" t="s">
        <v>424</v>
      </c>
      <c r="C45" s="12">
        <v>176</v>
      </c>
      <c r="D45" s="12" t="s">
        <v>1056</v>
      </c>
      <c r="E45" s="13">
        <v>2.7E-2</v>
      </c>
      <c r="F45" s="69">
        <v>6.4705899999999996</v>
      </c>
      <c r="G45">
        <v>23</v>
      </c>
      <c r="H45" t="s">
        <v>225</v>
      </c>
      <c r="I45" s="67">
        <v>0.56999999284744263</v>
      </c>
      <c r="J45">
        <v>14</v>
      </c>
      <c r="K45" t="s">
        <v>289</v>
      </c>
      <c r="L45" s="67">
        <v>0.79000002145767212</v>
      </c>
      <c r="M45" t="s">
        <v>115</v>
      </c>
      <c r="N45">
        <v>5</v>
      </c>
      <c r="O45" s="67">
        <f t="shared" si="0"/>
        <v>0</v>
      </c>
      <c r="P45" s="67">
        <f t="shared" si="1"/>
        <v>0.22000002861022949</v>
      </c>
      <c r="Q45">
        <v>42</v>
      </c>
    </row>
    <row r="46" spans="1:17" x14ac:dyDescent="0.25">
      <c r="A46" t="s">
        <v>125</v>
      </c>
      <c r="B46" t="s">
        <v>126</v>
      </c>
      <c r="C46" s="12">
        <v>526</v>
      </c>
      <c r="D46" s="12" t="s">
        <v>233</v>
      </c>
      <c r="E46" s="13">
        <v>2.5000000000000001E-2</v>
      </c>
      <c r="F46" s="69">
        <v>9.9221799999999991</v>
      </c>
      <c r="G46">
        <v>69</v>
      </c>
      <c r="H46" t="s">
        <v>1144</v>
      </c>
      <c r="I46" s="67">
        <v>0.47999998927116394</v>
      </c>
      <c r="J46">
        <v>61</v>
      </c>
      <c r="K46" t="s">
        <v>203</v>
      </c>
      <c r="L46" s="67">
        <v>0.61000001430511475</v>
      </c>
      <c r="M46" t="s">
        <v>125</v>
      </c>
      <c r="N46">
        <v>24</v>
      </c>
      <c r="O46" s="67">
        <f t="shared" si="0"/>
        <v>0</v>
      </c>
      <c r="P46" s="67">
        <f t="shared" si="1"/>
        <v>0.13000002503395081</v>
      </c>
      <c r="Q46">
        <v>162</v>
      </c>
    </row>
    <row r="47" spans="1:17" x14ac:dyDescent="0.25">
      <c r="A47" t="s">
        <v>98</v>
      </c>
      <c r="B47" t="s">
        <v>99</v>
      </c>
      <c r="C47" s="12">
        <v>40</v>
      </c>
      <c r="D47" s="12" t="s">
        <v>242</v>
      </c>
      <c r="E47" s="13">
        <v>0.11</v>
      </c>
      <c r="F47" s="69">
        <v>18.91892</v>
      </c>
      <c r="G47" t="e">
        <v>#N/A</v>
      </c>
      <c r="H47" t="e">
        <v>#N/A</v>
      </c>
      <c r="I47" s="52" t="e">
        <v>#VALUE!</v>
      </c>
      <c r="J47" t="e">
        <v>#N/A</v>
      </c>
      <c r="K47" t="e">
        <v>#N/A</v>
      </c>
      <c r="L47" s="52" t="e">
        <v>#VALUE!</v>
      </c>
      <c r="M47" t="s">
        <v>98</v>
      </c>
      <c r="N47" s="52" t="e">
        <v>#VALUE!</v>
      </c>
      <c r="O47" s="67" t="e">
        <f t="shared" si="0"/>
        <v>#VALUE!</v>
      </c>
      <c r="P47" s="67" t="e">
        <f t="shared" si="1"/>
        <v>#VALUE!</v>
      </c>
      <c r="Q47">
        <v>0</v>
      </c>
    </row>
    <row r="48" spans="1:17" x14ac:dyDescent="0.25">
      <c r="A48" t="s">
        <v>108</v>
      </c>
      <c r="B48" t="s">
        <v>109</v>
      </c>
      <c r="C48" s="12">
        <v>18</v>
      </c>
      <c r="D48" s="12" t="s">
        <v>199</v>
      </c>
      <c r="E48" s="13">
        <v>8.3000000000000004E-2</v>
      </c>
      <c r="F48" s="69" t="s">
        <v>1110</v>
      </c>
      <c r="G48" t="s">
        <v>433</v>
      </c>
      <c r="H48" t="s">
        <v>346</v>
      </c>
      <c r="I48" s="52" t="e">
        <v>#VALUE!</v>
      </c>
      <c r="J48" t="s">
        <v>433</v>
      </c>
      <c r="K48" t="s">
        <v>346</v>
      </c>
      <c r="L48" s="52" t="e">
        <v>#VALUE!</v>
      </c>
      <c r="M48" t="s">
        <v>108</v>
      </c>
      <c r="N48" s="52" t="e">
        <v>#VALUE!</v>
      </c>
      <c r="O48" s="67" t="e">
        <f t="shared" si="0"/>
        <v>#VALUE!</v>
      </c>
      <c r="P48" s="67" t="e">
        <f t="shared" si="1"/>
        <v>#VALUE!</v>
      </c>
      <c r="Q48">
        <v>7</v>
      </c>
    </row>
    <row r="49" spans="1:17" x14ac:dyDescent="0.25">
      <c r="A49" t="s">
        <v>42</v>
      </c>
      <c r="B49" t="s">
        <v>43</v>
      </c>
      <c r="C49" s="12">
        <v>248</v>
      </c>
      <c r="D49" s="12" t="s">
        <v>206</v>
      </c>
      <c r="E49" s="13">
        <v>1.7999999999999999E-2</v>
      </c>
      <c r="F49" s="69">
        <v>17.154810000000001</v>
      </c>
      <c r="G49">
        <v>18</v>
      </c>
      <c r="H49" t="s">
        <v>277</v>
      </c>
      <c r="I49" s="67">
        <v>0.61000001430511475</v>
      </c>
      <c r="J49">
        <v>11</v>
      </c>
      <c r="K49" t="s">
        <v>1130</v>
      </c>
      <c r="L49" s="67">
        <v>0.73000001907348633</v>
      </c>
      <c r="M49" t="s">
        <v>42</v>
      </c>
      <c r="N49">
        <v>11</v>
      </c>
      <c r="O49" s="67">
        <f t="shared" si="0"/>
        <v>0</v>
      </c>
      <c r="P49" s="67">
        <f t="shared" si="1"/>
        <v>0.12000000476837158</v>
      </c>
      <c r="Q49">
        <v>77</v>
      </c>
    </row>
    <row r="50" spans="1:17" x14ac:dyDescent="0.25">
      <c r="A50" t="s">
        <v>53</v>
      </c>
      <c r="B50" t="s">
        <v>54</v>
      </c>
      <c r="C50" s="12">
        <v>218</v>
      </c>
      <c r="D50" s="12" t="s">
        <v>233</v>
      </c>
      <c r="E50" s="13">
        <v>0.03</v>
      </c>
      <c r="F50" s="69">
        <v>11.961720000000001</v>
      </c>
      <c r="G50">
        <v>21</v>
      </c>
      <c r="H50" t="s">
        <v>896</v>
      </c>
      <c r="I50" s="67">
        <v>0.47999998927116394</v>
      </c>
      <c r="J50">
        <v>22</v>
      </c>
      <c r="K50" t="s">
        <v>220</v>
      </c>
      <c r="L50" s="67">
        <v>0.76999998092651367</v>
      </c>
      <c r="M50" t="s">
        <v>53</v>
      </c>
      <c r="N50">
        <v>7</v>
      </c>
      <c r="O50" s="67">
        <f t="shared" si="0"/>
        <v>0</v>
      </c>
      <c r="P50" s="67">
        <f t="shared" si="1"/>
        <v>0.28999999165534973</v>
      </c>
      <c r="Q50">
        <v>70</v>
      </c>
    </row>
    <row r="51" spans="1:17" x14ac:dyDescent="0.25">
      <c r="A51" t="s">
        <v>21</v>
      </c>
      <c r="B51" t="s">
        <v>22</v>
      </c>
      <c r="C51" s="12">
        <v>256</v>
      </c>
      <c r="D51" s="12" t="s">
        <v>1104</v>
      </c>
      <c r="E51" s="13">
        <v>2.9000000000000001E-2</v>
      </c>
      <c r="F51" s="69">
        <v>10.87866</v>
      </c>
      <c r="G51">
        <v>16</v>
      </c>
      <c r="H51" t="s">
        <v>277</v>
      </c>
      <c r="I51" s="67">
        <v>0.5</v>
      </c>
      <c r="J51">
        <v>12</v>
      </c>
      <c r="K51" t="s">
        <v>225</v>
      </c>
      <c r="L51" s="67">
        <v>0.75</v>
      </c>
      <c r="M51" t="s">
        <v>21</v>
      </c>
      <c r="N51">
        <v>10</v>
      </c>
      <c r="O51" s="67">
        <f t="shared" si="0"/>
        <v>0</v>
      </c>
      <c r="P51" s="67">
        <f t="shared" si="1"/>
        <v>0.25</v>
      </c>
      <c r="Q51">
        <v>69</v>
      </c>
    </row>
    <row r="52" spans="1:17" x14ac:dyDescent="0.25">
      <c r="A52" t="s">
        <v>57</v>
      </c>
      <c r="B52" t="s">
        <v>58</v>
      </c>
      <c r="C52" s="12">
        <v>132</v>
      </c>
      <c r="D52" s="12" t="s">
        <v>1104</v>
      </c>
      <c r="E52" s="13">
        <v>6.0000000000000001E-3</v>
      </c>
      <c r="F52" s="69">
        <v>13.385830000000002</v>
      </c>
      <c r="G52">
        <v>14</v>
      </c>
      <c r="H52" t="s">
        <v>294</v>
      </c>
      <c r="I52" s="67">
        <v>0.20999999344348907</v>
      </c>
      <c r="J52">
        <v>13</v>
      </c>
      <c r="K52" t="s">
        <v>1133</v>
      </c>
      <c r="L52" s="67">
        <v>0.46000000834465027</v>
      </c>
      <c r="M52" t="s">
        <v>57</v>
      </c>
      <c r="N52">
        <v>41</v>
      </c>
      <c r="O52" s="67">
        <f t="shared" si="0"/>
        <v>0</v>
      </c>
      <c r="P52" s="67">
        <f t="shared" si="1"/>
        <v>0.25000001490116119</v>
      </c>
      <c r="Q52">
        <v>40</v>
      </c>
    </row>
    <row r="53" spans="1:17" x14ac:dyDescent="0.25">
      <c r="A53" t="s">
        <v>151</v>
      </c>
      <c r="B53" t="s">
        <v>152</v>
      </c>
      <c r="C53" s="12">
        <v>297</v>
      </c>
      <c r="D53" s="12" t="s">
        <v>236</v>
      </c>
      <c r="E53" s="13">
        <v>2.8000000000000001E-2</v>
      </c>
      <c r="F53" s="69">
        <v>16.206899999999997</v>
      </c>
      <c r="G53">
        <v>21</v>
      </c>
      <c r="H53" t="s">
        <v>299</v>
      </c>
      <c r="I53" s="67">
        <v>0.62000000476837158</v>
      </c>
      <c r="J53">
        <v>19</v>
      </c>
      <c r="K53" t="s">
        <v>305</v>
      </c>
      <c r="L53" s="67">
        <v>0.79000002145767212</v>
      </c>
      <c r="M53" t="s">
        <v>151</v>
      </c>
      <c r="N53">
        <v>6</v>
      </c>
      <c r="O53" s="67">
        <f t="shared" si="0"/>
        <v>0</v>
      </c>
      <c r="P53" s="67">
        <f t="shared" si="1"/>
        <v>0.17000001668930054</v>
      </c>
      <c r="Q53">
        <v>71</v>
      </c>
    </row>
    <row r="54" spans="1:17" x14ac:dyDescent="0.25">
      <c r="A54" t="s">
        <v>689</v>
      </c>
      <c r="B54" t="s">
        <v>690</v>
      </c>
      <c r="C54" s="12">
        <v>434</v>
      </c>
      <c r="D54" s="12" t="s">
        <v>223</v>
      </c>
      <c r="E54" s="13">
        <v>7.0000000000000001E-3</v>
      </c>
      <c r="F54" s="69">
        <v>9.976799999999999</v>
      </c>
      <c r="G54">
        <v>23</v>
      </c>
      <c r="H54" t="s">
        <v>1131</v>
      </c>
      <c r="I54" s="67">
        <v>0.47999998927116394</v>
      </c>
      <c r="J54">
        <v>27</v>
      </c>
      <c r="K54" t="s">
        <v>212</v>
      </c>
      <c r="L54" s="67">
        <v>0.62999999523162842</v>
      </c>
      <c r="M54" t="s">
        <v>689</v>
      </c>
      <c r="N54">
        <v>21</v>
      </c>
      <c r="O54" s="67">
        <f t="shared" si="0"/>
        <v>0</v>
      </c>
      <c r="P54" s="67">
        <f t="shared" si="1"/>
        <v>0.15000000596046448</v>
      </c>
      <c r="Q54">
        <v>141</v>
      </c>
    </row>
    <row r="55" spans="1:17" x14ac:dyDescent="0.25">
      <c r="A55" t="s">
        <v>119</v>
      </c>
      <c r="B55" t="s">
        <v>120</v>
      </c>
      <c r="C55" s="12">
        <v>144</v>
      </c>
      <c r="D55" s="12" t="s">
        <v>233</v>
      </c>
      <c r="E55" s="13">
        <v>1.7000000000000001E-2</v>
      </c>
      <c r="F55" s="69">
        <v>11.47541</v>
      </c>
      <c r="G55">
        <v>18</v>
      </c>
      <c r="H55" t="s">
        <v>1141</v>
      </c>
      <c r="I55" s="67">
        <v>0.43999999761581421</v>
      </c>
      <c r="J55">
        <v>12</v>
      </c>
      <c r="K55" t="s">
        <v>1142</v>
      </c>
      <c r="L55" s="67">
        <v>0.41999998688697815</v>
      </c>
      <c r="M55" t="s">
        <v>119</v>
      </c>
      <c r="N55">
        <v>45</v>
      </c>
      <c r="O55" s="67">
        <f t="shared" si="0"/>
        <v>2.000001072883606E-2</v>
      </c>
      <c r="P55" s="67">
        <f t="shared" si="1"/>
        <v>0</v>
      </c>
      <c r="Q55">
        <v>48</v>
      </c>
    </row>
    <row r="56" spans="1:17" x14ac:dyDescent="0.25">
      <c r="A56" t="s">
        <v>674</v>
      </c>
      <c r="B56" t="s">
        <v>675</v>
      </c>
      <c r="C56" s="12">
        <v>144</v>
      </c>
      <c r="D56" s="12" t="s">
        <v>1060</v>
      </c>
      <c r="E56" s="13">
        <v>2.5000000000000001E-2</v>
      </c>
      <c r="F56" s="69">
        <v>9.929079999999999</v>
      </c>
      <c r="G56">
        <v>10</v>
      </c>
      <c r="H56" t="s">
        <v>333</v>
      </c>
      <c r="I56" s="67">
        <v>0.20000000298023224</v>
      </c>
      <c r="J56">
        <v>12</v>
      </c>
      <c r="K56" t="s">
        <v>1126</v>
      </c>
      <c r="L56" s="67">
        <v>0.57999998331069946</v>
      </c>
      <c r="M56" t="s">
        <v>674</v>
      </c>
      <c r="N56">
        <v>30</v>
      </c>
      <c r="O56" s="67">
        <f t="shared" si="0"/>
        <v>0</v>
      </c>
      <c r="P56" s="67">
        <f t="shared" si="1"/>
        <v>0.37999998033046722</v>
      </c>
      <c r="Q56">
        <v>43</v>
      </c>
    </row>
    <row r="57" spans="1:17" x14ac:dyDescent="0.25">
      <c r="A57" t="s">
        <v>65</v>
      </c>
      <c r="B57" t="s">
        <v>66</v>
      </c>
      <c r="C57" s="12">
        <v>224</v>
      </c>
      <c r="D57" s="12" t="s">
        <v>235</v>
      </c>
      <c r="E57" s="13">
        <v>1.9E-2</v>
      </c>
      <c r="F57" s="69">
        <v>11.52074</v>
      </c>
      <c r="G57">
        <v>30</v>
      </c>
      <c r="H57" t="s">
        <v>1134</v>
      </c>
      <c r="I57" s="67">
        <v>0.37000000476837158</v>
      </c>
      <c r="J57">
        <v>11</v>
      </c>
      <c r="K57" t="s">
        <v>283</v>
      </c>
      <c r="L57" s="67">
        <v>0.63999998569488525</v>
      </c>
      <c r="M57" t="s">
        <v>65</v>
      </c>
      <c r="N57">
        <v>18</v>
      </c>
      <c r="O57" s="67">
        <f t="shared" si="0"/>
        <v>0</v>
      </c>
      <c r="P57" s="67">
        <f t="shared" si="1"/>
        <v>0.26999998092651367</v>
      </c>
      <c r="Q57">
        <v>59</v>
      </c>
    </row>
    <row r="58" spans="1:17" x14ac:dyDescent="0.25">
      <c r="A58" t="s">
        <v>2</v>
      </c>
      <c r="B58" t="s">
        <v>196</v>
      </c>
      <c r="C58" s="12">
        <v>365</v>
      </c>
      <c r="D58" s="12" t="s">
        <v>1101</v>
      </c>
      <c r="E58" s="13">
        <v>2.1999999999999999E-2</v>
      </c>
      <c r="F58" s="69">
        <v>11.527379999999999</v>
      </c>
      <c r="G58">
        <v>71</v>
      </c>
      <c r="H58" t="s">
        <v>454</v>
      </c>
      <c r="I58" s="67">
        <v>0.37000000476837158</v>
      </c>
      <c r="J58">
        <v>64</v>
      </c>
      <c r="K58" t="s">
        <v>236</v>
      </c>
      <c r="L58" s="67">
        <v>0.5899999737739563</v>
      </c>
      <c r="M58" t="s">
        <v>2</v>
      </c>
      <c r="N58">
        <v>29</v>
      </c>
      <c r="O58" s="67">
        <f t="shared" si="0"/>
        <v>0</v>
      </c>
      <c r="P58" s="67">
        <f t="shared" si="1"/>
        <v>0.21999996900558472</v>
      </c>
      <c r="Q58">
        <v>108</v>
      </c>
    </row>
    <row r="59" spans="1:17" x14ac:dyDescent="0.25">
      <c r="A59" t="s">
        <v>84</v>
      </c>
      <c r="B59" t="s">
        <v>85</v>
      </c>
      <c r="C59" s="12">
        <v>455</v>
      </c>
      <c r="D59" s="12" t="s">
        <v>242</v>
      </c>
      <c r="E59" s="13">
        <v>2.5000000000000001E-2</v>
      </c>
      <c r="F59" s="69">
        <v>9.2233000000000001</v>
      </c>
      <c r="G59">
        <v>60</v>
      </c>
      <c r="H59" t="s">
        <v>225</v>
      </c>
      <c r="I59" s="67">
        <v>0.56999999284744263</v>
      </c>
      <c r="J59">
        <v>57</v>
      </c>
      <c r="K59" t="s">
        <v>220</v>
      </c>
      <c r="L59" s="67">
        <v>0.81999999284744263</v>
      </c>
      <c r="M59" t="s">
        <v>84</v>
      </c>
      <c r="N59">
        <v>2</v>
      </c>
      <c r="O59" s="67">
        <f t="shared" si="0"/>
        <v>0</v>
      </c>
      <c r="P59" s="67">
        <f t="shared" si="1"/>
        <v>0.25</v>
      </c>
      <c r="Q59">
        <v>130</v>
      </c>
    </row>
    <row r="60" spans="1:17" x14ac:dyDescent="0.25">
      <c r="A60" t="s">
        <v>15</v>
      </c>
      <c r="B60" t="s">
        <v>16</v>
      </c>
      <c r="C60" s="12">
        <v>39</v>
      </c>
      <c r="D60" s="12" t="s">
        <v>207</v>
      </c>
      <c r="E60" s="13">
        <v>0</v>
      </c>
      <c r="F60" s="69">
        <v>7.6923099999999991</v>
      </c>
      <c r="G60" t="s">
        <v>433</v>
      </c>
      <c r="H60" t="s">
        <v>346</v>
      </c>
      <c r="I60" s="52" t="e">
        <v>#VALUE!</v>
      </c>
      <c r="J60" t="s">
        <v>433</v>
      </c>
      <c r="K60" t="s">
        <v>346</v>
      </c>
      <c r="L60" s="52" t="e">
        <v>#VALUE!</v>
      </c>
      <c r="M60" t="s">
        <v>15</v>
      </c>
      <c r="N60" s="52" t="e">
        <v>#VALUE!</v>
      </c>
      <c r="O60" s="67" t="e">
        <f t="shared" si="0"/>
        <v>#VALUE!</v>
      </c>
      <c r="P60" s="67" t="e">
        <f t="shared" si="1"/>
        <v>#VALUE!</v>
      </c>
      <c r="Q60">
        <v>5</v>
      </c>
    </row>
    <row r="61" spans="1:17" x14ac:dyDescent="0.25">
      <c r="A61" t="s">
        <v>129</v>
      </c>
      <c r="B61" t="s">
        <v>130</v>
      </c>
      <c r="C61" s="12">
        <v>161</v>
      </c>
      <c r="D61" s="12" t="s">
        <v>281</v>
      </c>
      <c r="E61" s="13">
        <v>0.01</v>
      </c>
      <c r="F61" s="69">
        <v>14.55696</v>
      </c>
      <c r="G61">
        <v>31</v>
      </c>
      <c r="H61" t="s">
        <v>1146</v>
      </c>
      <c r="I61" s="67">
        <v>0.38999998569488525</v>
      </c>
      <c r="J61">
        <v>18</v>
      </c>
      <c r="K61" t="s">
        <v>311</v>
      </c>
      <c r="L61" s="67">
        <v>0.2199999988079071</v>
      </c>
      <c r="M61" t="s">
        <v>129</v>
      </c>
      <c r="N61">
        <v>50</v>
      </c>
      <c r="O61" s="67">
        <f t="shared" si="0"/>
        <v>0.16999998688697815</v>
      </c>
      <c r="P61" s="67">
        <f t="shared" si="1"/>
        <v>0</v>
      </c>
      <c r="Q61">
        <v>41</v>
      </c>
    </row>
    <row r="62" spans="1:17" x14ac:dyDescent="0.25">
      <c r="A62" t="s">
        <v>106</v>
      </c>
      <c r="B62" t="s">
        <v>107</v>
      </c>
      <c r="C62" t="e">
        <v>#N/A</v>
      </c>
      <c r="D62" s="102" t="s">
        <v>346</v>
      </c>
      <c r="E62" t="e">
        <v>#N/A</v>
      </c>
      <c r="F62" s="102" t="s">
        <v>346</v>
      </c>
      <c r="G62" t="s">
        <v>433</v>
      </c>
      <c r="H62" t="s">
        <v>346</v>
      </c>
      <c r="I62" s="52" t="e">
        <v>#VALUE!</v>
      </c>
      <c r="J62" t="s">
        <v>433</v>
      </c>
      <c r="K62" t="s">
        <v>346</v>
      </c>
      <c r="L62" s="52" t="e">
        <v>#VALUE!</v>
      </c>
      <c r="M62" t="s">
        <v>106</v>
      </c>
      <c r="N62" s="52" t="e">
        <v>#VALUE!</v>
      </c>
      <c r="O62" s="67" t="e">
        <f t="shared" si="0"/>
        <v>#VALUE!</v>
      </c>
      <c r="P62" s="67" t="e">
        <f t="shared" si="1"/>
        <v>#VALUE!</v>
      </c>
      <c r="Q62" t="s">
        <v>345</v>
      </c>
    </row>
    <row r="63" spans="1:17" x14ac:dyDescent="0.25">
      <c r="A63" t="s">
        <v>67</v>
      </c>
      <c r="B63" t="s">
        <v>68</v>
      </c>
      <c r="C63" s="12">
        <v>401</v>
      </c>
      <c r="D63" s="12" t="s">
        <v>243</v>
      </c>
      <c r="E63" s="13">
        <v>4.9000000000000002E-2</v>
      </c>
      <c r="F63" s="69">
        <v>21.989529999999998</v>
      </c>
      <c r="G63">
        <v>34</v>
      </c>
      <c r="H63" t="s">
        <v>1135</v>
      </c>
      <c r="I63" s="67">
        <v>0.18000000715255737</v>
      </c>
      <c r="J63">
        <v>19</v>
      </c>
      <c r="K63" t="s">
        <v>282</v>
      </c>
      <c r="L63" s="67">
        <v>0.57999998331069946</v>
      </c>
      <c r="M63" t="s">
        <v>67</v>
      </c>
      <c r="N63">
        <v>31</v>
      </c>
      <c r="O63" s="67">
        <f t="shared" si="0"/>
        <v>0</v>
      </c>
      <c r="P63" s="67">
        <f t="shared" si="1"/>
        <v>0.39999997615814209</v>
      </c>
      <c r="Q63">
        <v>114</v>
      </c>
    </row>
    <row r="64" spans="1:17" x14ac:dyDescent="0.25">
      <c r="A64" t="s">
        <v>55</v>
      </c>
      <c r="B64" t="s">
        <v>56</v>
      </c>
      <c r="C64" s="12">
        <v>423</v>
      </c>
      <c r="D64" s="12" t="s">
        <v>452</v>
      </c>
      <c r="E64" s="13">
        <v>1.9E-2</v>
      </c>
      <c r="F64" s="69">
        <v>7.5980400000000001</v>
      </c>
      <c r="G64">
        <v>18</v>
      </c>
      <c r="H64" t="s">
        <v>1132</v>
      </c>
      <c r="I64" s="67">
        <v>0.5</v>
      </c>
      <c r="J64">
        <v>38</v>
      </c>
      <c r="K64" t="s">
        <v>271</v>
      </c>
      <c r="L64" s="67">
        <v>0.61000001430511475</v>
      </c>
      <c r="M64" t="s">
        <v>55</v>
      </c>
      <c r="N64">
        <v>25</v>
      </c>
      <c r="O64" s="67">
        <f t="shared" si="0"/>
        <v>0</v>
      </c>
      <c r="P64" s="67">
        <f t="shared" si="1"/>
        <v>0.11000001430511475</v>
      </c>
      <c r="Q64">
        <v>159</v>
      </c>
    </row>
    <row r="65" spans="1:17" x14ac:dyDescent="0.25">
      <c r="A65" t="s">
        <v>701</v>
      </c>
      <c r="B65" t="s">
        <v>702</v>
      </c>
      <c r="C65" s="12">
        <v>304</v>
      </c>
      <c r="D65" s="12" t="s">
        <v>466</v>
      </c>
      <c r="E65" s="13">
        <v>1.7000000000000001E-2</v>
      </c>
      <c r="F65" s="69">
        <v>8.6956500000000005</v>
      </c>
      <c r="G65">
        <v>35</v>
      </c>
      <c r="H65" t="s">
        <v>1144</v>
      </c>
      <c r="I65" s="67">
        <v>0.40000000596046448</v>
      </c>
      <c r="J65">
        <v>47</v>
      </c>
      <c r="K65" t="s">
        <v>282</v>
      </c>
      <c r="L65" s="67">
        <v>0.50999999046325684</v>
      </c>
      <c r="M65" t="s">
        <v>701</v>
      </c>
      <c r="N65">
        <v>36</v>
      </c>
      <c r="O65" s="67">
        <f t="shared" si="0"/>
        <v>0</v>
      </c>
      <c r="P65" s="67">
        <f t="shared" si="1"/>
        <v>0.10999998450279236</v>
      </c>
      <c r="Q65">
        <v>93</v>
      </c>
    </row>
    <row r="66" spans="1:17" x14ac:dyDescent="0.25">
      <c r="A66" t="s">
        <v>104</v>
      </c>
      <c r="B66" t="s">
        <v>105</v>
      </c>
      <c r="C66" s="12">
        <v>471</v>
      </c>
      <c r="D66" s="12" t="s">
        <v>1109</v>
      </c>
      <c r="E66" s="13">
        <v>4.3999999999999997E-2</v>
      </c>
      <c r="F66" s="69">
        <v>7.1100899999999996</v>
      </c>
      <c r="G66">
        <v>62</v>
      </c>
      <c r="H66" t="s">
        <v>298</v>
      </c>
      <c r="I66" s="67">
        <v>0.5</v>
      </c>
      <c r="J66">
        <v>69</v>
      </c>
      <c r="K66" t="s">
        <v>207</v>
      </c>
      <c r="L66" s="67">
        <v>0.68000000715255737</v>
      </c>
      <c r="M66" t="s">
        <v>104</v>
      </c>
      <c r="N66">
        <v>15</v>
      </c>
      <c r="O66" s="67">
        <f t="shared" ref="O66:O74" si="2">IF(L66&gt;I66,0,I66-L66)</f>
        <v>0</v>
      </c>
      <c r="P66" s="67">
        <f t="shared" ref="P66:P74" si="3">IF(L66&gt;I66,L66-I66,0)</f>
        <v>0.18000000715255737</v>
      </c>
      <c r="Q66">
        <v>128</v>
      </c>
    </row>
    <row r="67" spans="1:17" x14ac:dyDescent="0.25">
      <c r="A67" t="s">
        <v>74</v>
      </c>
      <c r="B67" t="s">
        <v>75</v>
      </c>
      <c r="C67" s="12">
        <v>237</v>
      </c>
      <c r="D67" s="12" t="s">
        <v>239</v>
      </c>
      <c r="E67" s="13">
        <v>2.1999999999999999E-2</v>
      </c>
      <c r="F67" s="69">
        <v>10.5</v>
      </c>
      <c r="G67">
        <v>34</v>
      </c>
      <c r="H67" t="s">
        <v>1134</v>
      </c>
      <c r="I67" s="67">
        <v>0.34999999403953552</v>
      </c>
      <c r="J67">
        <v>29</v>
      </c>
      <c r="K67" t="s">
        <v>244</v>
      </c>
      <c r="L67" s="67">
        <v>0.40999999642372131</v>
      </c>
      <c r="M67" t="s">
        <v>74</v>
      </c>
      <c r="N67">
        <v>46</v>
      </c>
      <c r="O67" s="67">
        <f t="shared" si="2"/>
        <v>0</v>
      </c>
      <c r="P67" s="67">
        <f t="shared" si="3"/>
        <v>6.0000002384185791E-2</v>
      </c>
      <c r="Q67">
        <v>77</v>
      </c>
    </row>
    <row r="68" spans="1:17" x14ac:dyDescent="0.25">
      <c r="A68" t="s">
        <v>677</v>
      </c>
      <c r="B68" t="s">
        <v>678</v>
      </c>
      <c r="C68" s="12">
        <v>190</v>
      </c>
      <c r="D68" s="12" t="s">
        <v>251</v>
      </c>
      <c r="E68" s="13">
        <v>1.0999999999999999E-2</v>
      </c>
      <c r="F68" s="69">
        <v>9.0425500000000003</v>
      </c>
      <c r="G68">
        <v>13</v>
      </c>
      <c r="H68" t="s">
        <v>225</v>
      </c>
      <c r="I68" s="52" t="e">
        <v>#VALUE!</v>
      </c>
      <c r="J68" t="s">
        <v>433</v>
      </c>
      <c r="K68" t="s">
        <v>346</v>
      </c>
      <c r="L68" s="52" t="e">
        <v>#VALUE!</v>
      </c>
      <c r="M68" t="s">
        <v>677</v>
      </c>
      <c r="N68" s="52" t="e">
        <v>#VALUE!</v>
      </c>
      <c r="O68" s="67" t="e">
        <f t="shared" si="2"/>
        <v>#VALUE!</v>
      </c>
      <c r="P68" s="67" t="e">
        <f t="shared" si="3"/>
        <v>#VALUE!</v>
      </c>
      <c r="Q68">
        <v>50</v>
      </c>
    </row>
    <row r="69" spans="1:17" x14ac:dyDescent="0.25">
      <c r="A69" t="s">
        <v>114</v>
      </c>
      <c r="B69" t="s">
        <v>347</v>
      </c>
      <c r="C69" s="12">
        <v>348</v>
      </c>
      <c r="D69" s="12" t="s">
        <v>244</v>
      </c>
      <c r="E69" s="13">
        <v>2.1999999999999999E-2</v>
      </c>
      <c r="F69" s="69">
        <v>10.882350000000001</v>
      </c>
      <c r="G69">
        <v>27</v>
      </c>
      <c r="H69" t="s">
        <v>1141</v>
      </c>
      <c r="I69" s="67">
        <v>0.43999999761581421</v>
      </c>
      <c r="J69">
        <v>16</v>
      </c>
      <c r="K69" t="s">
        <v>462</v>
      </c>
      <c r="L69" s="67">
        <v>0.25</v>
      </c>
      <c r="M69" t="s">
        <v>114</v>
      </c>
      <c r="N69">
        <v>49</v>
      </c>
      <c r="O69" s="67">
        <f t="shared" si="2"/>
        <v>0.18999999761581421</v>
      </c>
      <c r="P69" s="67">
        <f t="shared" si="3"/>
        <v>0</v>
      </c>
      <c r="Q69">
        <v>88</v>
      </c>
    </row>
    <row r="70" spans="1:17" x14ac:dyDescent="0.25">
      <c r="A70" t="s">
        <v>131</v>
      </c>
      <c r="B70" t="s">
        <v>132</v>
      </c>
      <c r="C70" s="12">
        <v>260</v>
      </c>
      <c r="D70" s="12" t="s">
        <v>232</v>
      </c>
      <c r="E70" s="13">
        <v>3.0000000000000001E-3</v>
      </c>
      <c r="F70" s="69">
        <v>5.8365800000000005</v>
      </c>
      <c r="G70">
        <v>32</v>
      </c>
      <c r="H70" t="s">
        <v>1147</v>
      </c>
      <c r="I70" s="67">
        <v>0.56000000238418579</v>
      </c>
      <c r="J70">
        <v>41</v>
      </c>
      <c r="K70" t="s">
        <v>271</v>
      </c>
      <c r="L70" s="67">
        <v>0.61000001430511475</v>
      </c>
      <c r="M70" t="s">
        <v>131</v>
      </c>
      <c r="N70">
        <v>26</v>
      </c>
      <c r="O70" s="67">
        <f t="shared" si="2"/>
        <v>0</v>
      </c>
      <c r="P70" s="67">
        <f t="shared" si="3"/>
        <v>5.0000011920928955E-2</v>
      </c>
      <c r="Q70">
        <v>101</v>
      </c>
    </row>
    <row r="71" spans="1:17" x14ac:dyDescent="0.25">
      <c r="A71" t="s">
        <v>73</v>
      </c>
      <c r="B71" t="s">
        <v>197</v>
      </c>
      <c r="C71" s="12">
        <v>172</v>
      </c>
      <c r="D71" s="12" t="s">
        <v>241</v>
      </c>
      <c r="E71" s="13">
        <v>3.7999999999999999E-2</v>
      </c>
      <c r="F71" s="69">
        <v>18.787880000000001</v>
      </c>
      <c r="G71">
        <v>12</v>
      </c>
      <c r="H71" t="s">
        <v>1138</v>
      </c>
      <c r="I71" s="67">
        <v>0.41999998688697815</v>
      </c>
      <c r="J71">
        <v>12</v>
      </c>
      <c r="K71" t="s">
        <v>1139</v>
      </c>
      <c r="L71" s="67">
        <v>0.5</v>
      </c>
      <c r="M71" t="s">
        <v>73</v>
      </c>
      <c r="N71">
        <v>39</v>
      </c>
      <c r="O71" s="67">
        <f t="shared" si="2"/>
        <v>0</v>
      </c>
      <c r="P71" s="67">
        <f t="shared" si="3"/>
        <v>8.0000013113021851E-2</v>
      </c>
      <c r="Q71">
        <v>41</v>
      </c>
    </row>
    <row r="72" spans="1:17" x14ac:dyDescent="0.25">
      <c r="A72" t="s">
        <v>133</v>
      </c>
      <c r="B72" t="s">
        <v>134</v>
      </c>
      <c r="C72" s="12">
        <v>94</v>
      </c>
      <c r="D72" s="12" t="s">
        <v>240</v>
      </c>
      <c r="E72" s="13">
        <v>5.7000000000000002E-2</v>
      </c>
      <c r="F72" s="69">
        <v>18.181820000000002</v>
      </c>
      <c r="G72" t="s">
        <v>433</v>
      </c>
      <c r="H72" t="s">
        <v>346</v>
      </c>
      <c r="I72" s="52" t="e">
        <v>#VALUE!</v>
      </c>
      <c r="J72" t="s">
        <v>433</v>
      </c>
      <c r="K72" t="s">
        <v>346</v>
      </c>
      <c r="L72" s="52" t="e">
        <v>#VALUE!</v>
      </c>
      <c r="M72" t="s">
        <v>133</v>
      </c>
      <c r="N72" s="52" t="e">
        <v>#VALUE!</v>
      </c>
      <c r="O72" s="67" t="e">
        <f t="shared" si="2"/>
        <v>#VALUE!</v>
      </c>
      <c r="P72" s="67" t="e">
        <f t="shared" si="3"/>
        <v>#VALUE!</v>
      </c>
      <c r="Q72">
        <v>28</v>
      </c>
    </row>
    <row r="73" spans="1:17" x14ac:dyDescent="0.25">
      <c r="A73" t="s">
        <v>137</v>
      </c>
      <c r="B73" t="s">
        <v>138</v>
      </c>
      <c r="C73" s="12">
        <v>415</v>
      </c>
      <c r="D73" s="12" t="s">
        <v>243</v>
      </c>
      <c r="E73" s="13">
        <v>2.4E-2</v>
      </c>
      <c r="F73" s="69">
        <v>16.089110000000002</v>
      </c>
      <c r="G73">
        <v>24</v>
      </c>
      <c r="H73" t="s">
        <v>235</v>
      </c>
      <c r="I73" s="67">
        <v>0.37999999523162842</v>
      </c>
      <c r="J73">
        <v>28</v>
      </c>
      <c r="K73" t="s">
        <v>290</v>
      </c>
      <c r="L73" s="67">
        <v>0.61000001430511475</v>
      </c>
      <c r="M73" t="s">
        <v>137</v>
      </c>
      <c r="N73">
        <v>27</v>
      </c>
      <c r="O73" s="67">
        <f t="shared" si="2"/>
        <v>0</v>
      </c>
      <c r="P73" s="67">
        <f t="shared" si="3"/>
        <v>0.23000001907348633</v>
      </c>
      <c r="Q73">
        <v>110</v>
      </c>
    </row>
    <row r="74" spans="1:17" x14ac:dyDescent="0.25">
      <c r="A74" t="s">
        <v>33</v>
      </c>
      <c r="B74" t="s">
        <v>34</v>
      </c>
      <c r="C74" s="12">
        <v>362</v>
      </c>
      <c r="D74" s="12" t="s">
        <v>246</v>
      </c>
      <c r="E74" s="13">
        <v>4.2000000000000003E-2</v>
      </c>
      <c r="F74" s="69">
        <v>14.201179999999999</v>
      </c>
      <c r="G74">
        <v>42</v>
      </c>
      <c r="H74" t="s">
        <v>220</v>
      </c>
      <c r="I74" s="67">
        <v>0.79000002145767212</v>
      </c>
      <c r="J74">
        <v>50</v>
      </c>
      <c r="K74" t="s">
        <v>276</v>
      </c>
      <c r="L74" s="67">
        <v>0.80000001192092896</v>
      </c>
      <c r="M74" t="s">
        <v>33</v>
      </c>
      <c r="N74">
        <v>4</v>
      </c>
      <c r="O74" s="67">
        <f t="shared" si="2"/>
        <v>0</v>
      </c>
      <c r="P74" s="67">
        <f t="shared" si="3"/>
        <v>9.9999904632568359E-3</v>
      </c>
      <c r="Q74">
        <v>90</v>
      </c>
    </row>
  </sheetData>
  <autoFilter ref="A1:Q74"/>
  <sortState ref="A2:L75">
    <sortCondition ref="B2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5" x14ac:dyDescent="0.25"/>
  <cols>
    <col min="1" max="1" width="10.42578125" bestFit="1" customWidth="1"/>
    <col min="2" max="2" width="61" bestFit="1" customWidth="1"/>
    <col min="3" max="6" width="5.7109375" bestFit="1" customWidth="1"/>
    <col min="8" max="8" width="10" bestFit="1" customWidth="1"/>
    <col min="9" max="9" width="9" bestFit="1" customWidth="1"/>
    <col min="10" max="10" width="8.140625" bestFit="1" customWidth="1"/>
    <col min="11" max="11" width="6" bestFit="1" customWidth="1"/>
    <col min="12" max="12" width="8.140625" bestFit="1" customWidth="1"/>
    <col min="13" max="13" width="6" bestFit="1" customWidth="1"/>
    <col min="14" max="14" width="5.7109375" style="15" bestFit="1" customWidth="1"/>
    <col min="15" max="15" width="9.42578125" style="15" bestFit="1" customWidth="1"/>
    <col min="16" max="16" width="8.140625" style="15" bestFit="1" customWidth="1"/>
    <col min="17" max="17" width="5.7109375" style="15" bestFit="1" customWidth="1"/>
    <col min="18" max="18" width="9.42578125" bestFit="1" customWidth="1"/>
    <col min="19" max="19" width="8.140625" bestFit="1" customWidth="1"/>
    <col min="20" max="23" width="9" bestFit="1" customWidth="1"/>
    <col min="31" max="31" width="8.7109375" bestFit="1" customWidth="1"/>
    <col min="32" max="33" width="6.42578125" bestFit="1" customWidth="1"/>
  </cols>
  <sheetData>
    <row r="1" spans="1:35" ht="90" x14ac:dyDescent="0.25">
      <c r="A1" s="97" t="s">
        <v>1006</v>
      </c>
      <c r="B1" s="97" t="s">
        <v>175</v>
      </c>
      <c r="C1" s="98" t="s">
        <v>1007</v>
      </c>
      <c r="D1" s="98" t="s">
        <v>1008</v>
      </c>
      <c r="E1" s="98" t="s">
        <v>1009</v>
      </c>
      <c r="F1" s="98" t="s">
        <v>1010</v>
      </c>
      <c r="G1" s="99" t="s">
        <v>195</v>
      </c>
      <c r="H1" s="98" t="s">
        <v>1011</v>
      </c>
      <c r="I1" s="98" t="s">
        <v>1012</v>
      </c>
      <c r="J1" s="98" t="s">
        <v>1013</v>
      </c>
      <c r="K1" s="100" t="s">
        <v>1014</v>
      </c>
      <c r="L1" s="98" t="s">
        <v>1015</v>
      </c>
      <c r="M1" s="100" t="s">
        <v>1016</v>
      </c>
      <c r="N1" s="111" t="s">
        <v>1017</v>
      </c>
      <c r="O1" s="111" t="s">
        <v>1018</v>
      </c>
      <c r="P1" s="111" t="s">
        <v>1019</v>
      </c>
      <c r="Q1" s="111" t="s">
        <v>1020</v>
      </c>
      <c r="R1" s="98" t="s">
        <v>1021</v>
      </c>
      <c r="S1" s="98" t="s">
        <v>1022</v>
      </c>
      <c r="T1" s="98" t="s">
        <v>1023</v>
      </c>
      <c r="U1" s="99" t="s">
        <v>1024</v>
      </c>
      <c r="V1" s="98" t="s">
        <v>1025</v>
      </c>
      <c r="W1" s="99" t="s">
        <v>1026</v>
      </c>
      <c r="X1" s="97" t="s">
        <v>1006</v>
      </c>
      <c r="Y1" s="51" t="s">
        <v>666</v>
      </c>
      <c r="Z1" s="14" t="s">
        <v>1078</v>
      </c>
      <c r="AA1" s="14" t="s">
        <v>1082</v>
      </c>
      <c r="AB1" s="14" t="s">
        <v>1083</v>
      </c>
      <c r="AC1" s="14" t="s">
        <v>1084</v>
      </c>
      <c r="AD1" s="14" t="s">
        <v>1085</v>
      </c>
      <c r="AE1" s="39" t="s">
        <v>1075</v>
      </c>
      <c r="AF1" s="39" t="s">
        <v>1076</v>
      </c>
      <c r="AG1" s="39" t="s">
        <v>1077</v>
      </c>
      <c r="AH1" s="116" t="s">
        <v>1086</v>
      </c>
      <c r="AI1" s="116" t="s">
        <v>1087</v>
      </c>
    </row>
    <row r="2" spans="1:35" x14ac:dyDescent="0.25">
      <c r="A2" t="s">
        <v>7</v>
      </c>
      <c r="B2" t="s">
        <v>8</v>
      </c>
      <c r="C2" s="101">
        <v>20</v>
      </c>
      <c r="D2" s="101">
        <v>10</v>
      </c>
      <c r="E2" s="101">
        <v>0</v>
      </c>
      <c r="F2" s="101">
        <v>10</v>
      </c>
      <c r="G2" s="102">
        <v>0</v>
      </c>
      <c r="H2" s="103" t="s">
        <v>346</v>
      </c>
      <c r="I2" s="103" t="s">
        <v>1034</v>
      </c>
      <c r="J2" s="103" t="s">
        <v>433</v>
      </c>
      <c r="K2" s="104" t="s">
        <v>346</v>
      </c>
      <c r="L2" s="103">
        <v>10</v>
      </c>
      <c r="M2" s="104">
        <v>0.30000001192092896</v>
      </c>
      <c r="N2" s="112" t="s">
        <v>433</v>
      </c>
      <c r="O2" s="112" t="s">
        <v>346</v>
      </c>
      <c r="P2" s="113" t="s">
        <v>346</v>
      </c>
      <c r="Q2" s="112" t="s">
        <v>433</v>
      </c>
      <c r="R2" s="105" t="s">
        <v>346</v>
      </c>
      <c r="S2" s="106" t="s">
        <v>346</v>
      </c>
      <c r="T2" s="103" t="s">
        <v>345</v>
      </c>
      <c r="U2" s="104" t="s">
        <v>346</v>
      </c>
      <c r="V2" s="103">
        <v>10</v>
      </c>
      <c r="W2" s="104">
        <v>0</v>
      </c>
      <c r="X2" t="s">
        <v>7</v>
      </c>
      <c r="Y2" s="52" t="e">
        <v>#VALUE!</v>
      </c>
      <c r="Z2" s="52" t="e">
        <v>#VALUE!</v>
      </c>
      <c r="AA2" s="106" t="s">
        <v>346</v>
      </c>
      <c r="AB2" s="113" t="s">
        <v>346</v>
      </c>
      <c r="AC2" s="104" t="s">
        <v>346</v>
      </c>
      <c r="AD2" s="104" t="s">
        <v>346</v>
      </c>
      <c r="AE2" s="110" t="e">
        <f>IF('Angioplasty Summary'!$R$4=2,Z2,IF('Angioplasty Summary'!$R$4=1,Y2))</f>
        <v>#VALUE!</v>
      </c>
      <c r="AF2" s="52" t="str">
        <f>IF('Angioplasty Summary'!$R$4=2,AC2,IF('Angioplasty Summary'!$R$4=1,AA2))</f>
        <v>xx</v>
      </c>
      <c r="AG2" s="52" t="str">
        <f>IF('Angioplasty Summary'!$R$4=2,AD2,IF('Angioplasty Summary'!$R$4=1,AB2))</f>
        <v>xx</v>
      </c>
      <c r="AH2" s="67" t="e">
        <f>IF(AF2&gt;AG2,0,AG2-AF2)</f>
        <v>#VALUE!</v>
      </c>
      <c r="AI2" s="67">
        <f>IF(AF2&gt;AG2,AF2-AG2,0)</f>
        <v>0</v>
      </c>
    </row>
    <row r="3" spans="1:35" x14ac:dyDescent="0.25">
      <c r="A3" t="s">
        <v>117</v>
      </c>
      <c r="B3" s="107" t="s">
        <v>416</v>
      </c>
      <c r="C3" s="101">
        <v>19</v>
      </c>
      <c r="D3" s="101">
        <v>8</v>
      </c>
      <c r="E3" s="101">
        <v>10</v>
      </c>
      <c r="F3" s="101">
        <v>1</v>
      </c>
      <c r="G3" s="102">
        <v>5.1585078239440918E-2</v>
      </c>
      <c r="H3" s="103" t="s">
        <v>251</v>
      </c>
      <c r="I3" s="103" t="s">
        <v>346</v>
      </c>
      <c r="J3" s="103" t="s">
        <v>433</v>
      </c>
      <c r="K3" s="104" t="s">
        <v>346</v>
      </c>
      <c r="L3" s="103" t="s">
        <v>433</v>
      </c>
      <c r="M3" s="104" t="s">
        <v>346</v>
      </c>
      <c r="N3" s="112" t="s">
        <v>433</v>
      </c>
      <c r="O3" s="112" t="s">
        <v>346</v>
      </c>
      <c r="P3" s="113" t="s">
        <v>346</v>
      </c>
      <c r="Q3" s="112" t="s">
        <v>433</v>
      </c>
      <c r="R3" s="105" t="s">
        <v>346</v>
      </c>
      <c r="S3" s="106" t="s">
        <v>346</v>
      </c>
      <c r="T3" s="103">
        <v>9</v>
      </c>
      <c r="U3" s="104">
        <v>0</v>
      </c>
      <c r="V3" s="103" t="s">
        <v>345</v>
      </c>
      <c r="W3" s="104" t="s">
        <v>346</v>
      </c>
      <c r="X3" t="s">
        <v>117</v>
      </c>
      <c r="Y3" s="52" t="e">
        <v>#VALUE!</v>
      </c>
      <c r="Z3" s="52" t="e">
        <v>#VALUE!</v>
      </c>
      <c r="AA3" s="106" t="s">
        <v>346</v>
      </c>
      <c r="AB3" s="113" t="s">
        <v>346</v>
      </c>
      <c r="AC3" s="104" t="s">
        <v>346</v>
      </c>
      <c r="AD3" s="104" t="s">
        <v>346</v>
      </c>
      <c r="AE3" s="110" t="e">
        <f>IF('Angioplasty Summary'!$R$4=2,Z3,IF('Angioplasty Summary'!$R$4=1,Y3))</f>
        <v>#VALUE!</v>
      </c>
      <c r="AF3" s="52" t="str">
        <f>IF('Angioplasty Summary'!$R$4=2,AC3,IF('Angioplasty Summary'!$R$4=1,AA3))</f>
        <v>xx</v>
      </c>
      <c r="AG3" s="52" t="str">
        <f>IF('Angioplasty Summary'!$R$4=2,AD3,IF('Angioplasty Summary'!$R$4=1,AB3))</f>
        <v>xx</v>
      </c>
      <c r="AH3" s="67" t="e">
        <f t="shared" ref="AH3:AH66" si="0">IF(AF3&gt;AG3,0,AG3-AF3)</f>
        <v>#VALUE!</v>
      </c>
      <c r="AI3" s="67">
        <f t="shared" ref="AI3:AI66" si="1">IF(AF3&gt;AG3,AF3-AG3,0)</f>
        <v>0</v>
      </c>
    </row>
    <row r="4" spans="1:35" x14ac:dyDescent="0.25">
      <c r="A4" t="s">
        <v>45</v>
      </c>
      <c r="B4" t="s">
        <v>417</v>
      </c>
      <c r="C4" s="101">
        <v>512</v>
      </c>
      <c r="D4" s="101">
        <v>204</v>
      </c>
      <c r="E4" s="101">
        <v>170</v>
      </c>
      <c r="F4" s="101">
        <v>138</v>
      </c>
      <c r="G4" s="102">
        <v>2.5506595149636269E-2</v>
      </c>
      <c r="H4" s="103" t="s">
        <v>278</v>
      </c>
      <c r="I4" s="103" t="s">
        <v>1044</v>
      </c>
      <c r="J4" s="103">
        <v>113</v>
      </c>
      <c r="K4" s="104">
        <v>0.6600000262260437</v>
      </c>
      <c r="L4" s="103">
        <v>51</v>
      </c>
      <c r="M4" s="104">
        <v>0.56999999284744263</v>
      </c>
      <c r="N4" s="114">
        <v>30</v>
      </c>
      <c r="O4" s="114" t="s">
        <v>1029</v>
      </c>
      <c r="P4" s="115">
        <v>0.23000000417232513</v>
      </c>
      <c r="Q4" s="114">
        <v>41</v>
      </c>
      <c r="R4" s="103" t="s">
        <v>232</v>
      </c>
      <c r="S4" s="104">
        <v>0.34000000357627869</v>
      </c>
      <c r="T4" s="103">
        <v>166</v>
      </c>
      <c r="U4" s="104">
        <v>5.9999998658895493E-2</v>
      </c>
      <c r="V4" s="103">
        <v>132</v>
      </c>
      <c r="W4" s="104">
        <v>0.10999999940395355</v>
      </c>
      <c r="X4" t="s">
        <v>45</v>
      </c>
      <c r="Y4">
        <v>28</v>
      </c>
      <c r="Z4">
        <v>27</v>
      </c>
      <c r="AA4" s="104">
        <v>0.34000000357627869</v>
      </c>
      <c r="AB4" s="115">
        <v>0.23000000417232513</v>
      </c>
      <c r="AC4" s="104">
        <v>0.56999999284744263</v>
      </c>
      <c r="AD4" s="104">
        <v>0.6600000262260437</v>
      </c>
      <c r="AE4" s="110">
        <f>IF('Angioplasty Summary'!$R$4=2,Z4,IF('Angioplasty Summary'!$R$4=1,Y4))</f>
        <v>28</v>
      </c>
      <c r="AF4" s="52">
        <f>IF('Angioplasty Summary'!$R$4=2,AC4,IF('Angioplasty Summary'!$R$4=1,AA4))</f>
        <v>0.34000000357627869</v>
      </c>
      <c r="AG4" s="52">
        <f>IF('Angioplasty Summary'!$R$4=2,AD4,IF('Angioplasty Summary'!$R$4=1,AB4))</f>
        <v>0.23000000417232513</v>
      </c>
      <c r="AH4" s="67">
        <f t="shared" si="0"/>
        <v>0</v>
      </c>
      <c r="AI4" s="67">
        <f t="shared" si="1"/>
        <v>0.10999999940395355</v>
      </c>
    </row>
    <row r="5" spans="1:35" x14ac:dyDescent="0.25">
      <c r="A5" t="s">
        <v>11</v>
      </c>
      <c r="B5" t="s">
        <v>12</v>
      </c>
      <c r="C5" s="101">
        <v>540</v>
      </c>
      <c r="D5" s="101">
        <v>206</v>
      </c>
      <c r="E5" s="101">
        <v>179</v>
      </c>
      <c r="F5" s="101">
        <v>155</v>
      </c>
      <c r="G5" s="102">
        <v>1.5910197049379349E-2</v>
      </c>
      <c r="H5" s="103" t="s">
        <v>1037</v>
      </c>
      <c r="I5" s="103" t="s">
        <v>1038</v>
      </c>
      <c r="J5" s="103">
        <v>86</v>
      </c>
      <c r="K5" s="104">
        <v>0.51999998092651367</v>
      </c>
      <c r="L5" s="103">
        <v>68</v>
      </c>
      <c r="M5" s="104">
        <v>0.37999999523162842</v>
      </c>
      <c r="N5" s="114">
        <v>52</v>
      </c>
      <c r="O5" s="114" t="s">
        <v>293</v>
      </c>
      <c r="P5" s="115">
        <v>0.27000001072883606</v>
      </c>
      <c r="Q5" s="114">
        <v>61</v>
      </c>
      <c r="R5" s="103" t="s">
        <v>296</v>
      </c>
      <c r="S5" s="104">
        <v>0.38999998569488525</v>
      </c>
      <c r="T5" s="103">
        <v>176</v>
      </c>
      <c r="U5" s="104">
        <v>0.10999999940395355</v>
      </c>
      <c r="V5" s="103">
        <v>151</v>
      </c>
      <c r="W5" s="104">
        <v>0.12999999523162842</v>
      </c>
      <c r="X5" t="s">
        <v>11</v>
      </c>
      <c r="Y5">
        <v>26</v>
      </c>
      <c r="Z5">
        <v>35</v>
      </c>
      <c r="AA5" s="104">
        <v>0.38999998569488525</v>
      </c>
      <c r="AB5" s="115">
        <v>0.27000001072883606</v>
      </c>
      <c r="AC5" s="104">
        <v>0.37999999523162842</v>
      </c>
      <c r="AD5" s="104">
        <v>0.51999998092651367</v>
      </c>
      <c r="AE5" s="110">
        <f>IF('Angioplasty Summary'!$R$4=2,Z5,IF('Angioplasty Summary'!$R$4=1,Y5))</f>
        <v>26</v>
      </c>
      <c r="AF5" s="52">
        <f>IF('Angioplasty Summary'!$R$4=2,AC5,IF('Angioplasty Summary'!$R$4=1,AA5))</f>
        <v>0.38999998569488525</v>
      </c>
      <c r="AG5" s="52">
        <f>IF('Angioplasty Summary'!$R$4=2,AD5,IF('Angioplasty Summary'!$R$4=1,AB5))</f>
        <v>0.27000001072883606</v>
      </c>
      <c r="AH5" s="67">
        <f t="shared" si="0"/>
        <v>0</v>
      </c>
      <c r="AI5" s="67">
        <f t="shared" si="1"/>
        <v>0.11999997496604919</v>
      </c>
    </row>
    <row r="6" spans="1:35" x14ac:dyDescent="0.25">
      <c r="A6" t="s">
        <v>31</v>
      </c>
      <c r="B6" t="s">
        <v>32</v>
      </c>
      <c r="C6" s="101">
        <v>433</v>
      </c>
      <c r="D6" s="101">
        <v>123</v>
      </c>
      <c r="E6" s="101">
        <v>177</v>
      </c>
      <c r="F6" s="101">
        <v>133</v>
      </c>
      <c r="G6" s="102">
        <v>1.1549730785191059E-2</v>
      </c>
      <c r="H6" s="103" t="s">
        <v>260</v>
      </c>
      <c r="I6" s="103" t="s">
        <v>261</v>
      </c>
      <c r="J6" s="103">
        <v>106</v>
      </c>
      <c r="K6" s="104">
        <v>0.82999998331069946</v>
      </c>
      <c r="L6" s="103">
        <v>99</v>
      </c>
      <c r="M6" s="104">
        <v>0.92000001668930054</v>
      </c>
      <c r="N6" s="114">
        <v>53</v>
      </c>
      <c r="O6" s="114" t="s">
        <v>1040</v>
      </c>
      <c r="P6" s="115">
        <v>0.75</v>
      </c>
      <c r="Q6" s="114">
        <v>22</v>
      </c>
      <c r="R6" s="103" t="s">
        <v>277</v>
      </c>
      <c r="S6" s="104">
        <v>0.5899999737739563</v>
      </c>
      <c r="T6" s="103">
        <v>167</v>
      </c>
      <c r="U6" s="104">
        <v>5.000000074505806E-2</v>
      </c>
      <c r="V6" s="103">
        <v>132</v>
      </c>
      <c r="W6" s="104">
        <v>0.10000000149011612</v>
      </c>
      <c r="X6" t="s">
        <v>31</v>
      </c>
      <c r="Y6">
        <v>16</v>
      </c>
      <c r="Z6">
        <v>4</v>
      </c>
      <c r="AA6" s="104">
        <v>0.5899999737739563</v>
      </c>
      <c r="AB6" s="115">
        <v>0.75</v>
      </c>
      <c r="AC6" s="104">
        <v>0.92000001668930054</v>
      </c>
      <c r="AD6" s="104">
        <v>0.82999998331069946</v>
      </c>
      <c r="AE6" s="110">
        <f>IF('Angioplasty Summary'!$R$4=2,Z6,IF('Angioplasty Summary'!$R$4=1,Y6))</f>
        <v>16</v>
      </c>
      <c r="AF6" s="52">
        <f>IF('Angioplasty Summary'!$R$4=2,AC6,IF('Angioplasty Summary'!$R$4=1,AA6))</f>
        <v>0.5899999737739563</v>
      </c>
      <c r="AG6" s="52">
        <f>IF('Angioplasty Summary'!$R$4=2,AD6,IF('Angioplasty Summary'!$R$4=1,AB6))</f>
        <v>0.75</v>
      </c>
      <c r="AH6" s="67">
        <f t="shared" si="0"/>
        <v>0.1600000262260437</v>
      </c>
      <c r="AI6" s="67">
        <f t="shared" si="1"/>
        <v>0</v>
      </c>
    </row>
    <row r="7" spans="1:35" x14ac:dyDescent="0.25">
      <c r="A7" t="s">
        <v>173</v>
      </c>
      <c r="B7" t="s">
        <v>174</v>
      </c>
      <c r="C7" s="101">
        <v>420</v>
      </c>
      <c r="D7" s="101">
        <v>168</v>
      </c>
      <c r="E7" s="101">
        <v>167</v>
      </c>
      <c r="F7" s="101">
        <v>85</v>
      </c>
      <c r="G7" s="102">
        <v>1.1468547396361828E-2</v>
      </c>
      <c r="H7" s="103" t="s">
        <v>261</v>
      </c>
      <c r="I7" s="103" t="s">
        <v>1064</v>
      </c>
      <c r="J7" s="103">
        <v>141</v>
      </c>
      <c r="K7" s="104">
        <v>0.82999998331069946</v>
      </c>
      <c r="L7" s="103">
        <v>63</v>
      </c>
      <c r="M7" s="104">
        <v>0.69999998807907104</v>
      </c>
      <c r="N7" s="114">
        <v>24</v>
      </c>
      <c r="O7" s="114" t="s">
        <v>1065</v>
      </c>
      <c r="P7" s="115">
        <v>0.37999999523162842</v>
      </c>
      <c r="Q7" s="114">
        <v>19</v>
      </c>
      <c r="R7" s="103" t="s">
        <v>392</v>
      </c>
      <c r="S7" s="104">
        <v>0.37000000476837158</v>
      </c>
      <c r="T7" s="103">
        <v>165</v>
      </c>
      <c r="U7" s="104">
        <v>7.9999998211860657E-2</v>
      </c>
      <c r="V7" s="103">
        <v>83</v>
      </c>
      <c r="W7" s="104">
        <v>0.14000000059604645</v>
      </c>
      <c r="X7" t="s">
        <v>173</v>
      </c>
      <c r="Y7">
        <v>27</v>
      </c>
      <c r="Z7">
        <v>19</v>
      </c>
      <c r="AA7" s="104">
        <v>0.37000000476837158</v>
      </c>
      <c r="AB7" s="115">
        <v>0.37999999523162842</v>
      </c>
      <c r="AC7" s="104">
        <v>0.69999998807907104</v>
      </c>
      <c r="AD7" s="104">
        <v>0.82999998331069946</v>
      </c>
      <c r="AE7" s="110">
        <f>IF('Angioplasty Summary'!$R$4=2,Z7,IF('Angioplasty Summary'!$R$4=1,Y7))</f>
        <v>27</v>
      </c>
      <c r="AF7" s="52">
        <f>IF('Angioplasty Summary'!$R$4=2,AC7,IF('Angioplasty Summary'!$R$4=1,AA7))</f>
        <v>0.37000000476837158</v>
      </c>
      <c r="AG7" s="52">
        <f>IF('Angioplasty Summary'!$R$4=2,AD7,IF('Angioplasty Summary'!$R$4=1,AB7))</f>
        <v>0.37999999523162842</v>
      </c>
      <c r="AH7" s="67">
        <f t="shared" si="0"/>
        <v>9.9999904632568359E-3</v>
      </c>
      <c r="AI7" s="67">
        <f t="shared" si="1"/>
        <v>0</v>
      </c>
    </row>
    <row r="8" spans="1:35" x14ac:dyDescent="0.25">
      <c r="A8" t="s">
        <v>0</v>
      </c>
      <c r="B8" t="s">
        <v>1</v>
      </c>
      <c r="C8" s="101">
        <v>5</v>
      </c>
      <c r="D8" s="101">
        <v>0</v>
      </c>
      <c r="E8" s="101">
        <v>2</v>
      </c>
      <c r="F8" s="101">
        <v>3</v>
      </c>
      <c r="G8" s="102" t="s">
        <v>346</v>
      </c>
      <c r="H8" s="103" t="s">
        <v>346</v>
      </c>
      <c r="I8" s="103" t="s">
        <v>346</v>
      </c>
      <c r="J8" s="103" t="s">
        <v>433</v>
      </c>
      <c r="K8" s="104" t="s">
        <v>346</v>
      </c>
      <c r="L8" s="103" t="s">
        <v>433</v>
      </c>
      <c r="M8" s="104" t="s">
        <v>346</v>
      </c>
      <c r="N8" s="112" t="s">
        <v>433</v>
      </c>
      <c r="O8" s="112" t="s">
        <v>346</v>
      </c>
      <c r="P8" s="113" t="s">
        <v>346</v>
      </c>
      <c r="Q8" s="112" t="s">
        <v>433</v>
      </c>
      <c r="R8" s="105" t="s">
        <v>346</v>
      </c>
      <c r="S8" s="106" t="s">
        <v>346</v>
      </c>
      <c r="T8" s="103" t="s">
        <v>345</v>
      </c>
      <c r="U8" s="104" t="s">
        <v>346</v>
      </c>
      <c r="V8" s="103" t="s">
        <v>345</v>
      </c>
      <c r="W8" s="104" t="s">
        <v>346</v>
      </c>
      <c r="X8" t="s">
        <v>0</v>
      </c>
      <c r="Y8" s="52" t="e">
        <v>#VALUE!</v>
      </c>
      <c r="Z8" s="52" t="e">
        <v>#VALUE!</v>
      </c>
      <c r="AA8" s="106" t="s">
        <v>346</v>
      </c>
      <c r="AB8" s="113" t="s">
        <v>346</v>
      </c>
      <c r="AC8" s="104" t="s">
        <v>346</v>
      </c>
      <c r="AD8" s="104" t="s">
        <v>346</v>
      </c>
      <c r="AE8" s="110" t="e">
        <f>IF('Angioplasty Summary'!$R$4=2,Z8,IF('Angioplasty Summary'!$R$4=1,Y8))</f>
        <v>#VALUE!</v>
      </c>
      <c r="AF8" s="52" t="str">
        <f>IF('Angioplasty Summary'!$R$4=2,AC8,IF('Angioplasty Summary'!$R$4=1,AA8))</f>
        <v>xx</v>
      </c>
      <c r="AG8" s="52" t="str">
        <f>IF('Angioplasty Summary'!$R$4=2,AD8,IF('Angioplasty Summary'!$R$4=1,AB8))</f>
        <v>xx</v>
      </c>
      <c r="AH8" s="67" t="e">
        <f t="shared" si="0"/>
        <v>#VALUE!</v>
      </c>
      <c r="AI8" s="67">
        <f t="shared" si="1"/>
        <v>0</v>
      </c>
    </row>
    <row r="9" spans="1:35" x14ac:dyDescent="0.25">
      <c r="A9" t="s">
        <v>82</v>
      </c>
      <c r="B9" t="s">
        <v>83</v>
      </c>
      <c r="C9" s="101">
        <v>212</v>
      </c>
      <c r="D9" s="101">
        <v>77</v>
      </c>
      <c r="E9" s="101">
        <v>79</v>
      </c>
      <c r="F9" s="101">
        <v>56</v>
      </c>
      <c r="G9" s="102">
        <v>0</v>
      </c>
      <c r="H9" s="103" t="s">
        <v>258</v>
      </c>
      <c r="I9" s="103" t="s">
        <v>258</v>
      </c>
      <c r="J9" s="103">
        <v>76</v>
      </c>
      <c r="K9" s="104">
        <v>1</v>
      </c>
      <c r="L9" s="103">
        <v>53</v>
      </c>
      <c r="M9" s="104">
        <v>0.9100000262260437</v>
      </c>
      <c r="N9" s="112" t="s">
        <v>433</v>
      </c>
      <c r="O9" s="112" t="s">
        <v>346</v>
      </c>
      <c r="P9" s="113" t="s">
        <v>346</v>
      </c>
      <c r="Q9" s="112" t="s">
        <v>433</v>
      </c>
      <c r="R9" s="105" t="s">
        <v>346</v>
      </c>
      <c r="S9" s="106" t="s">
        <v>346</v>
      </c>
      <c r="T9" s="103">
        <v>79</v>
      </c>
      <c r="U9" s="104">
        <v>9.9999997764825821E-3</v>
      </c>
      <c r="V9" s="103">
        <v>56</v>
      </c>
      <c r="W9" s="104">
        <v>1.9999999552965164E-2</v>
      </c>
      <c r="X9" t="s">
        <v>82</v>
      </c>
      <c r="Y9" s="52" t="e">
        <v>#VALUE!</v>
      </c>
      <c r="Z9">
        <v>5</v>
      </c>
      <c r="AA9" s="106" t="s">
        <v>346</v>
      </c>
      <c r="AB9" s="113" t="s">
        <v>346</v>
      </c>
      <c r="AC9" s="104">
        <v>0.9100000262260437</v>
      </c>
      <c r="AD9" s="104">
        <v>1</v>
      </c>
      <c r="AE9" s="110" t="e">
        <f>IF('Angioplasty Summary'!$R$4=2,Z9,IF('Angioplasty Summary'!$R$4=1,Y9))</f>
        <v>#VALUE!</v>
      </c>
      <c r="AF9" s="52" t="str">
        <f>IF('Angioplasty Summary'!$R$4=2,AC9,IF('Angioplasty Summary'!$R$4=1,AA9))</f>
        <v>xx</v>
      </c>
      <c r="AG9" s="52" t="str">
        <f>IF('Angioplasty Summary'!$R$4=2,AD9,IF('Angioplasty Summary'!$R$4=1,AB9))</f>
        <v>xx</v>
      </c>
      <c r="AH9" s="67" t="e">
        <f t="shared" si="0"/>
        <v>#VALUE!</v>
      </c>
      <c r="AI9" s="67">
        <f t="shared" si="1"/>
        <v>0</v>
      </c>
    </row>
    <row r="10" spans="1:35" x14ac:dyDescent="0.25">
      <c r="A10" t="s">
        <v>231</v>
      </c>
      <c r="B10" t="s">
        <v>344</v>
      </c>
      <c r="C10" s="101">
        <v>38</v>
      </c>
      <c r="D10" s="101">
        <v>29</v>
      </c>
      <c r="E10" s="101">
        <v>9</v>
      </c>
      <c r="F10" s="101">
        <v>0</v>
      </c>
      <c r="G10" s="102">
        <v>0</v>
      </c>
      <c r="H10" s="103" t="s">
        <v>346</v>
      </c>
      <c r="I10" s="103" t="s">
        <v>346</v>
      </c>
      <c r="J10" s="103" t="s">
        <v>433</v>
      </c>
      <c r="K10" s="104" t="s">
        <v>346</v>
      </c>
      <c r="L10" s="103" t="s">
        <v>433</v>
      </c>
      <c r="M10" s="104" t="s">
        <v>346</v>
      </c>
      <c r="N10" s="112" t="s">
        <v>433</v>
      </c>
      <c r="O10" s="112" t="s">
        <v>346</v>
      </c>
      <c r="P10" s="113" t="s">
        <v>346</v>
      </c>
      <c r="Q10" s="112" t="s">
        <v>433</v>
      </c>
      <c r="R10" s="105" t="s">
        <v>346</v>
      </c>
      <c r="S10" s="106" t="s">
        <v>346</v>
      </c>
      <c r="T10" s="103">
        <v>6</v>
      </c>
      <c r="U10" s="104">
        <v>0</v>
      </c>
      <c r="V10" s="103" t="s">
        <v>345</v>
      </c>
      <c r="W10" s="104" t="s">
        <v>346</v>
      </c>
      <c r="X10" t="s">
        <v>231</v>
      </c>
      <c r="Y10" s="52" t="e">
        <v>#VALUE!</v>
      </c>
      <c r="Z10" s="52" t="e">
        <v>#VALUE!</v>
      </c>
      <c r="AA10" s="106" t="s">
        <v>346</v>
      </c>
      <c r="AB10" s="113" t="s">
        <v>346</v>
      </c>
      <c r="AC10" s="104" t="s">
        <v>346</v>
      </c>
      <c r="AD10" s="104" t="s">
        <v>346</v>
      </c>
      <c r="AE10" s="110" t="e">
        <f>IF('Angioplasty Summary'!$R$4=2,Z10,IF('Angioplasty Summary'!$R$4=1,Y10))</f>
        <v>#VALUE!</v>
      </c>
      <c r="AF10" s="52" t="str">
        <f>IF('Angioplasty Summary'!$R$4=2,AC10,IF('Angioplasty Summary'!$R$4=1,AA10))</f>
        <v>xx</v>
      </c>
      <c r="AG10" s="52" t="str">
        <f>IF('Angioplasty Summary'!$R$4=2,AD10,IF('Angioplasty Summary'!$R$4=1,AB10))</f>
        <v>xx</v>
      </c>
      <c r="AH10" s="67" t="e">
        <f t="shared" si="0"/>
        <v>#VALUE!</v>
      </c>
      <c r="AI10" s="67">
        <f t="shared" si="1"/>
        <v>0</v>
      </c>
    </row>
    <row r="11" spans="1:35" x14ac:dyDescent="0.25">
      <c r="A11" t="s">
        <v>139</v>
      </c>
      <c r="B11" t="s">
        <v>140</v>
      </c>
      <c r="C11" s="101">
        <v>0</v>
      </c>
      <c r="D11" s="101"/>
      <c r="E11" s="101"/>
      <c r="F11" s="101"/>
      <c r="G11" s="102"/>
      <c r="H11" s="103"/>
      <c r="I11" s="103"/>
      <c r="J11" s="103"/>
      <c r="K11" s="104"/>
      <c r="L11" s="103"/>
      <c r="M11" s="104"/>
      <c r="N11" s="112"/>
      <c r="O11" s="112"/>
      <c r="P11" s="113"/>
      <c r="Q11" s="114"/>
      <c r="R11" s="103"/>
      <c r="S11" s="104"/>
      <c r="T11" s="103"/>
      <c r="U11" s="104"/>
      <c r="V11" s="103"/>
      <c r="W11" s="104"/>
      <c r="X11" t="s">
        <v>139</v>
      </c>
      <c r="Y11" s="52" t="e">
        <v>#VALUE!</v>
      </c>
      <c r="Z11" s="52" t="e">
        <v>#VALUE!</v>
      </c>
      <c r="AA11" s="104" t="s">
        <v>346</v>
      </c>
      <c r="AB11" s="113" t="s">
        <v>346</v>
      </c>
      <c r="AC11" s="104" t="s">
        <v>346</v>
      </c>
      <c r="AD11" s="104" t="s">
        <v>346</v>
      </c>
      <c r="AE11" s="110" t="e">
        <f>IF('Angioplasty Summary'!$R$4=2,Z11,IF('Angioplasty Summary'!$R$4=1,Y11))</f>
        <v>#VALUE!</v>
      </c>
      <c r="AF11" s="52" t="str">
        <f>IF('Angioplasty Summary'!$R$4=2,AC11,IF('Angioplasty Summary'!$R$4=1,AA11))</f>
        <v>xx</v>
      </c>
      <c r="AG11" s="52" t="str">
        <f>IF('Angioplasty Summary'!$R$4=2,AD11,IF('Angioplasty Summary'!$R$4=1,AB11))</f>
        <v>xx</v>
      </c>
      <c r="AH11" s="67" t="e">
        <f t="shared" si="0"/>
        <v>#VALUE!</v>
      </c>
      <c r="AI11" s="67">
        <f t="shared" si="1"/>
        <v>0</v>
      </c>
    </row>
    <row r="12" spans="1:35" x14ac:dyDescent="0.25">
      <c r="A12" t="s">
        <v>51</v>
      </c>
      <c r="B12" t="s">
        <v>52</v>
      </c>
      <c r="C12" s="101">
        <v>434</v>
      </c>
      <c r="D12" s="101">
        <v>14</v>
      </c>
      <c r="E12" s="101">
        <v>380</v>
      </c>
      <c r="F12" s="101">
        <v>40</v>
      </c>
      <c r="G12" s="102">
        <v>1.6044763848185539E-2</v>
      </c>
      <c r="H12" s="103" t="s">
        <v>436</v>
      </c>
      <c r="I12" s="103" t="s">
        <v>1036</v>
      </c>
      <c r="J12" s="103">
        <v>284</v>
      </c>
      <c r="K12" s="104">
        <v>0.50999999046325684</v>
      </c>
      <c r="L12" s="103">
        <v>34</v>
      </c>
      <c r="M12" s="104">
        <v>0.34999999403953552</v>
      </c>
      <c r="N12" s="114">
        <v>80</v>
      </c>
      <c r="O12" s="114" t="s">
        <v>236</v>
      </c>
      <c r="P12" s="115">
        <v>0.5</v>
      </c>
      <c r="Q12" s="112" t="s">
        <v>433</v>
      </c>
      <c r="R12" s="105" t="s">
        <v>346</v>
      </c>
      <c r="S12" s="106" t="s">
        <v>346</v>
      </c>
      <c r="T12" s="103">
        <v>375</v>
      </c>
      <c r="U12" s="104">
        <v>0.10000000149011612</v>
      </c>
      <c r="V12" s="103">
        <v>39</v>
      </c>
      <c r="W12" s="104">
        <v>2.9999999329447746E-2</v>
      </c>
      <c r="X12" t="s">
        <v>51</v>
      </c>
      <c r="Y12" s="52" t="e">
        <v>#VALUE!</v>
      </c>
      <c r="Z12">
        <v>39</v>
      </c>
      <c r="AA12" s="106" t="s">
        <v>346</v>
      </c>
      <c r="AB12" s="115" t="s">
        <v>346</v>
      </c>
      <c r="AC12" s="104">
        <v>0.34999999403953552</v>
      </c>
      <c r="AD12" s="104">
        <v>0.50999999046325684</v>
      </c>
      <c r="AE12" s="110" t="e">
        <f>IF('Angioplasty Summary'!$R$4=2,Z12,IF('Angioplasty Summary'!$R$4=1,Y12))</f>
        <v>#VALUE!</v>
      </c>
      <c r="AF12" s="52" t="str">
        <f>IF('Angioplasty Summary'!$R$4=2,AC12,IF('Angioplasty Summary'!$R$4=1,AA12))</f>
        <v>xx</v>
      </c>
      <c r="AG12" s="52" t="str">
        <f>IF('Angioplasty Summary'!$R$4=2,AD12,IF('Angioplasty Summary'!$R$4=1,AB12))</f>
        <v>xx</v>
      </c>
      <c r="AH12" s="67" t="e">
        <f t="shared" si="0"/>
        <v>#VALUE!</v>
      </c>
      <c r="AI12" s="67">
        <f t="shared" si="1"/>
        <v>0</v>
      </c>
    </row>
    <row r="13" spans="1:35" x14ac:dyDescent="0.25">
      <c r="A13" t="s">
        <v>3</v>
      </c>
      <c r="B13" t="s">
        <v>4</v>
      </c>
      <c r="C13" s="101">
        <v>73</v>
      </c>
      <c r="D13" s="101">
        <v>27</v>
      </c>
      <c r="E13" s="101">
        <v>24</v>
      </c>
      <c r="F13" s="101">
        <v>22</v>
      </c>
      <c r="G13" s="102">
        <v>5.8647502213716507E-2</v>
      </c>
      <c r="H13" s="103" t="s">
        <v>1031</v>
      </c>
      <c r="I13" s="103" t="s">
        <v>1032</v>
      </c>
      <c r="J13" s="103">
        <v>15</v>
      </c>
      <c r="K13" s="104">
        <v>0.33000001311302185</v>
      </c>
      <c r="L13" s="103" t="s">
        <v>433</v>
      </c>
      <c r="M13" s="104" t="s">
        <v>346</v>
      </c>
      <c r="N13" s="112" t="s">
        <v>433</v>
      </c>
      <c r="O13" s="112" t="s">
        <v>346</v>
      </c>
      <c r="P13" s="113" t="s">
        <v>346</v>
      </c>
      <c r="Q13" s="114">
        <v>16</v>
      </c>
      <c r="R13" s="103" t="s">
        <v>1033</v>
      </c>
      <c r="S13" s="104">
        <v>0.56000000238418579</v>
      </c>
      <c r="T13" s="103">
        <v>23</v>
      </c>
      <c r="U13" s="104">
        <v>0.17000000178813934</v>
      </c>
      <c r="V13" s="103">
        <v>18</v>
      </c>
      <c r="W13" s="104">
        <v>0.10999999940395355</v>
      </c>
      <c r="X13" t="s">
        <v>3</v>
      </c>
      <c r="Y13" s="52" t="e">
        <v>#VALUE!</v>
      </c>
      <c r="Z13" s="52" t="e">
        <v>#VALUE!</v>
      </c>
      <c r="AA13" s="104" t="s">
        <v>346</v>
      </c>
      <c r="AB13" s="113" t="s">
        <v>346</v>
      </c>
      <c r="AC13" s="104" t="s">
        <v>346</v>
      </c>
      <c r="AD13" s="104" t="s">
        <v>346</v>
      </c>
      <c r="AE13" s="110" t="e">
        <f>IF('Angioplasty Summary'!$R$4=2,Z13,IF('Angioplasty Summary'!$R$4=1,Y13))</f>
        <v>#VALUE!</v>
      </c>
      <c r="AF13" s="52" t="str">
        <f>IF('Angioplasty Summary'!$R$4=2,AC13,IF('Angioplasty Summary'!$R$4=1,AA13))</f>
        <v>xx</v>
      </c>
      <c r="AG13" s="52" t="str">
        <f>IF('Angioplasty Summary'!$R$4=2,AD13,IF('Angioplasty Summary'!$R$4=1,AB13))</f>
        <v>xx</v>
      </c>
      <c r="AH13" s="67" t="e">
        <f t="shared" si="0"/>
        <v>#VALUE!</v>
      </c>
      <c r="AI13" s="67">
        <f t="shared" si="1"/>
        <v>0</v>
      </c>
    </row>
    <row r="14" spans="1:35" x14ac:dyDescent="0.25">
      <c r="A14" t="s">
        <v>69</v>
      </c>
      <c r="B14" t="s">
        <v>70</v>
      </c>
      <c r="C14" s="101">
        <v>276</v>
      </c>
      <c r="D14" s="101">
        <v>2</v>
      </c>
      <c r="E14" s="101">
        <v>173</v>
      </c>
      <c r="F14" s="101">
        <v>101</v>
      </c>
      <c r="G14" s="102">
        <v>3.2477408647537231E-2</v>
      </c>
      <c r="H14" s="103" t="s">
        <v>438</v>
      </c>
      <c r="I14" s="103" t="s">
        <v>1048</v>
      </c>
      <c r="J14" s="103">
        <v>115</v>
      </c>
      <c r="K14" s="104">
        <v>0.50999999046325684</v>
      </c>
      <c r="L14" s="103">
        <v>65</v>
      </c>
      <c r="M14" s="104">
        <v>0.49000000953674316</v>
      </c>
      <c r="N14" s="114">
        <v>38</v>
      </c>
      <c r="O14" s="114" t="s">
        <v>282</v>
      </c>
      <c r="P14" s="115">
        <v>0.62999999523162842</v>
      </c>
      <c r="Q14" s="114">
        <v>32</v>
      </c>
      <c r="R14" s="103" t="s">
        <v>209</v>
      </c>
      <c r="S14" s="104">
        <v>0.62999999523162842</v>
      </c>
      <c r="T14" s="103">
        <v>167</v>
      </c>
      <c r="U14" s="104">
        <v>0.14000000059604645</v>
      </c>
      <c r="V14" s="103">
        <v>99</v>
      </c>
      <c r="W14" s="104">
        <v>5.9999998658895493E-2</v>
      </c>
      <c r="X14" t="s">
        <v>69</v>
      </c>
      <c r="Y14">
        <v>12</v>
      </c>
      <c r="Z14">
        <v>32</v>
      </c>
      <c r="AA14" s="104">
        <v>0.62999999523162842</v>
      </c>
      <c r="AB14" s="115">
        <v>0.62999999523162842</v>
      </c>
      <c r="AC14" s="104">
        <v>0.49000000953674316</v>
      </c>
      <c r="AD14" s="104">
        <v>0.50999999046325684</v>
      </c>
      <c r="AE14" s="110">
        <f>IF('Angioplasty Summary'!$R$4=2,Z14,IF('Angioplasty Summary'!$R$4=1,Y14))</f>
        <v>12</v>
      </c>
      <c r="AF14" s="52">
        <f>IF('Angioplasty Summary'!$R$4=2,AC14,IF('Angioplasty Summary'!$R$4=1,AA14))</f>
        <v>0.62999999523162842</v>
      </c>
      <c r="AG14" s="52">
        <f>IF('Angioplasty Summary'!$R$4=2,AD14,IF('Angioplasty Summary'!$R$4=1,AB14))</f>
        <v>0.62999999523162842</v>
      </c>
      <c r="AH14" s="67">
        <f t="shared" si="0"/>
        <v>0</v>
      </c>
      <c r="AI14" s="67">
        <f t="shared" si="1"/>
        <v>0</v>
      </c>
    </row>
    <row r="15" spans="1:35" x14ac:dyDescent="0.25">
      <c r="A15" t="s">
        <v>5</v>
      </c>
      <c r="B15" s="107" t="s">
        <v>418</v>
      </c>
      <c r="C15" s="101">
        <v>99</v>
      </c>
      <c r="D15" s="101">
        <v>28</v>
      </c>
      <c r="E15" s="101">
        <v>71</v>
      </c>
      <c r="F15" s="101">
        <v>0</v>
      </c>
      <c r="G15" s="102">
        <v>1.1857552453875542E-2</v>
      </c>
      <c r="H15" s="103" t="s">
        <v>257</v>
      </c>
      <c r="I15" s="103" t="s">
        <v>346</v>
      </c>
      <c r="J15" s="103">
        <v>53</v>
      </c>
      <c r="K15" s="104">
        <v>0.9100000262260437</v>
      </c>
      <c r="L15" s="103" t="s">
        <v>433</v>
      </c>
      <c r="M15" s="104" t="s">
        <v>346</v>
      </c>
      <c r="N15" s="114">
        <v>18</v>
      </c>
      <c r="O15" s="114" t="s">
        <v>435</v>
      </c>
      <c r="P15" s="115">
        <v>0.38999998569488525</v>
      </c>
      <c r="Q15" s="112" t="s">
        <v>433</v>
      </c>
      <c r="R15" s="105" t="s">
        <v>346</v>
      </c>
      <c r="S15" s="106" t="s">
        <v>346</v>
      </c>
      <c r="T15" s="103">
        <v>70</v>
      </c>
      <c r="U15" s="104">
        <v>9.0000003576278687E-2</v>
      </c>
      <c r="V15" s="103" t="s">
        <v>345</v>
      </c>
      <c r="W15" s="104" t="s">
        <v>346</v>
      </c>
      <c r="X15" t="s">
        <v>5</v>
      </c>
      <c r="Y15" s="52" t="e">
        <v>#VALUE!</v>
      </c>
      <c r="Z15" s="52" t="e">
        <v>#VALUE!</v>
      </c>
      <c r="AA15" s="106" t="s">
        <v>346</v>
      </c>
      <c r="AB15" s="115" t="s">
        <v>346</v>
      </c>
      <c r="AC15" s="104" t="s">
        <v>346</v>
      </c>
      <c r="AD15" s="104" t="s">
        <v>346</v>
      </c>
      <c r="AE15" s="110" t="e">
        <f>IF('Angioplasty Summary'!$R$4=2,Z15,IF('Angioplasty Summary'!$R$4=1,Y15))</f>
        <v>#VALUE!</v>
      </c>
      <c r="AF15" s="52" t="str">
        <f>IF('Angioplasty Summary'!$R$4=2,AC15,IF('Angioplasty Summary'!$R$4=1,AA15))</f>
        <v>xx</v>
      </c>
      <c r="AG15" s="52" t="str">
        <f>IF('Angioplasty Summary'!$R$4=2,AD15,IF('Angioplasty Summary'!$R$4=1,AB15))</f>
        <v>xx</v>
      </c>
      <c r="AH15" s="67" t="e">
        <f t="shared" si="0"/>
        <v>#VALUE!</v>
      </c>
      <c r="AI15" s="67">
        <f t="shared" si="1"/>
        <v>0</v>
      </c>
    </row>
    <row r="16" spans="1:35" x14ac:dyDescent="0.25">
      <c r="A16" t="s">
        <v>90</v>
      </c>
      <c r="B16" t="s">
        <v>419</v>
      </c>
      <c r="C16" s="101">
        <v>0</v>
      </c>
      <c r="D16" s="101"/>
      <c r="E16" s="101"/>
      <c r="F16" s="101"/>
      <c r="G16" s="102"/>
      <c r="H16" s="103"/>
      <c r="I16" s="103"/>
      <c r="J16" s="103"/>
      <c r="K16" s="104"/>
      <c r="L16" s="103"/>
      <c r="M16" s="104"/>
      <c r="N16" s="112"/>
      <c r="O16" s="112"/>
      <c r="P16" s="113"/>
      <c r="Q16" s="112"/>
      <c r="R16" s="105"/>
      <c r="S16" s="106"/>
      <c r="T16" s="103"/>
      <c r="U16" s="104"/>
      <c r="V16" s="103"/>
      <c r="W16" s="104"/>
      <c r="X16" t="s">
        <v>90</v>
      </c>
      <c r="Y16" s="52" t="e">
        <v>#VALUE!</v>
      </c>
      <c r="Z16" s="52" t="e">
        <v>#VALUE!</v>
      </c>
      <c r="AA16" s="106" t="s">
        <v>346</v>
      </c>
      <c r="AB16" s="113" t="s">
        <v>346</v>
      </c>
      <c r="AC16" s="104" t="s">
        <v>346</v>
      </c>
      <c r="AD16" s="104" t="s">
        <v>346</v>
      </c>
      <c r="AE16" s="110" t="e">
        <f>IF('Angioplasty Summary'!$R$4=2,Z16,IF('Angioplasty Summary'!$R$4=1,Y16))</f>
        <v>#VALUE!</v>
      </c>
      <c r="AF16" s="52" t="str">
        <f>IF('Angioplasty Summary'!$R$4=2,AC16,IF('Angioplasty Summary'!$R$4=1,AA16))</f>
        <v>xx</v>
      </c>
      <c r="AG16" s="52" t="str">
        <f>IF('Angioplasty Summary'!$R$4=2,AD16,IF('Angioplasty Summary'!$R$4=1,AB16))</f>
        <v>xx</v>
      </c>
      <c r="AH16" s="67" t="e">
        <f t="shared" si="0"/>
        <v>#VALUE!</v>
      </c>
      <c r="AI16" s="67">
        <f t="shared" si="1"/>
        <v>0</v>
      </c>
    </row>
    <row r="17" spans="1:35" x14ac:dyDescent="0.25">
      <c r="A17" t="s">
        <v>25</v>
      </c>
      <c r="B17" t="s">
        <v>26</v>
      </c>
      <c r="C17" s="101">
        <v>0</v>
      </c>
      <c r="D17" s="101"/>
      <c r="E17" s="101"/>
      <c r="F17" s="101"/>
      <c r="G17" s="102"/>
      <c r="H17" s="103"/>
      <c r="I17" s="103"/>
      <c r="J17" s="103"/>
      <c r="K17" s="104"/>
      <c r="L17" s="103"/>
      <c r="M17" s="104"/>
      <c r="N17" s="114"/>
      <c r="O17" s="114"/>
      <c r="P17" s="115"/>
      <c r="Q17" s="114"/>
      <c r="R17" s="103"/>
      <c r="S17" s="104"/>
      <c r="T17" s="103"/>
      <c r="U17" s="104"/>
      <c r="V17" s="103"/>
      <c r="W17" s="104"/>
      <c r="X17" t="s">
        <v>25</v>
      </c>
      <c r="Y17" s="52" t="e">
        <v>#VALUE!</v>
      </c>
      <c r="Z17" s="52" t="e">
        <v>#VALUE!</v>
      </c>
      <c r="AA17" s="104" t="s">
        <v>346</v>
      </c>
      <c r="AB17" s="115" t="s">
        <v>346</v>
      </c>
      <c r="AC17" s="104" t="s">
        <v>346</v>
      </c>
      <c r="AD17" s="104" t="s">
        <v>346</v>
      </c>
      <c r="AE17" s="110" t="e">
        <f>IF('Angioplasty Summary'!$R$4=2,Z17,IF('Angioplasty Summary'!$R$4=1,Y17))</f>
        <v>#VALUE!</v>
      </c>
      <c r="AF17" s="52" t="str">
        <f>IF('Angioplasty Summary'!$R$4=2,AC17,IF('Angioplasty Summary'!$R$4=1,AA17))</f>
        <v>xx</v>
      </c>
      <c r="AG17" s="52" t="str">
        <f>IF('Angioplasty Summary'!$R$4=2,AD17,IF('Angioplasty Summary'!$R$4=1,AB17))</f>
        <v>xx</v>
      </c>
      <c r="AH17" s="67" t="e">
        <f t="shared" si="0"/>
        <v>#VALUE!</v>
      </c>
      <c r="AI17" s="67">
        <f t="shared" si="1"/>
        <v>0</v>
      </c>
    </row>
    <row r="18" spans="1:35" x14ac:dyDescent="0.25">
      <c r="A18" t="s">
        <v>135</v>
      </c>
      <c r="B18" t="s">
        <v>136</v>
      </c>
      <c r="C18" s="101">
        <v>37</v>
      </c>
      <c r="D18" s="101">
        <v>26</v>
      </c>
      <c r="E18" s="101">
        <v>9</v>
      </c>
      <c r="F18" s="101">
        <v>2</v>
      </c>
      <c r="G18" s="102">
        <v>2.6440398767590523E-2</v>
      </c>
      <c r="H18" s="103" t="s">
        <v>346</v>
      </c>
      <c r="I18" s="103" t="s">
        <v>346</v>
      </c>
      <c r="J18" s="103" t="s">
        <v>433</v>
      </c>
      <c r="K18" s="104" t="s">
        <v>346</v>
      </c>
      <c r="L18" s="103" t="s">
        <v>433</v>
      </c>
      <c r="M18" s="104" t="s">
        <v>346</v>
      </c>
      <c r="N18" s="112" t="s">
        <v>433</v>
      </c>
      <c r="O18" s="112" t="s">
        <v>346</v>
      </c>
      <c r="P18" s="113" t="s">
        <v>346</v>
      </c>
      <c r="Q18" s="112" t="s">
        <v>433</v>
      </c>
      <c r="R18" s="105" t="s">
        <v>346</v>
      </c>
      <c r="S18" s="106" t="s">
        <v>346</v>
      </c>
      <c r="T18" s="103">
        <v>9</v>
      </c>
      <c r="U18" s="104">
        <v>0</v>
      </c>
      <c r="V18" s="103" t="s">
        <v>345</v>
      </c>
      <c r="W18" s="104" t="s">
        <v>346</v>
      </c>
      <c r="X18" t="s">
        <v>135</v>
      </c>
      <c r="Y18" s="52" t="e">
        <v>#VALUE!</v>
      </c>
      <c r="Z18" s="52" t="e">
        <v>#VALUE!</v>
      </c>
      <c r="AA18" s="106" t="s">
        <v>346</v>
      </c>
      <c r="AB18" s="113" t="s">
        <v>346</v>
      </c>
      <c r="AC18" s="104" t="s">
        <v>346</v>
      </c>
      <c r="AD18" s="104" t="s">
        <v>346</v>
      </c>
      <c r="AE18" s="110" t="e">
        <f>IF('Angioplasty Summary'!$R$4=2,Z18,IF('Angioplasty Summary'!$R$4=1,Y18))</f>
        <v>#VALUE!</v>
      </c>
      <c r="AF18" s="52" t="str">
        <f>IF('Angioplasty Summary'!$R$4=2,AC18,IF('Angioplasty Summary'!$R$4=1,AA18))</f>
        <v>xx</v>
      </c>
      <c r="AG18" s="52" t="str">
        <f>IF('Angioplasty Summary'!$R$4=2,AD18,IF('Angioplasty Summary'!$R$4=1,AB18))</f>
        <v>xx</v>
      </c>
      <c r="AH18" s="67" t="e">
        <f t="shared" si="0"/>
        <v>#VALUE!</v>
      </c>
      <c r="AI18" s="67">
        <f t="shared" si="1"/>
        <v>0</v>
      </c>
    </row>
    <row r="19" spans="1:35" x14ac:dyDescent="0.25">
      <c r="A19" t="s">
        <v>123</v>
      </c>
      <c r="B19" t="s">
        <v>124</v>
      </c>
      <c r="C19" s="101">
        <v>236</v>
      </c>
      <c r="D19" s="101">
        <v>124</v>
      </c>
      <c r="E19" s="101">
        <v>77</v>
      </c>
      <c r="F19" s="101">
        <v>35</v>
      </c>
      <c r="G19" s="102">
        <v>1.6897151246666908E-2</v>
      </c>
      <c r="H19" s="103" t="s">
        <v>1057</v>
      </c>
      <c r="I19" s="103" t="s">
        <v>1058</v>
      </c>
      <c r="J19" s="103">
        <v>50</v>
      </c>
      <c r="K19" s="104">
        <v>1.9999999552965164E-2</v>
      </c>
      <c r="L19" s="103">
        <v>18</v>
      </c>
      <c r="M19" s="104">
        <v>5.9999998658895493E-2</v>
      </c>
      <c r="N19" s="114">
        <v>22</v>
      </c>
      <c r="O19" s="114" t="s">
        <v>1059</v>
      </c>
      <c r="P19" s="115">
        <v>0.55000001192092896</v>
      </c>
      <c r="Q19" s="114">
        <v>16</v>
      </c>
      <c r="R19" s="103" t="s">
        <v>331</v>
      </c>
      <c r="S19" s="104">
        <v>0.68999999761581421</v>
      </c>
      <c r="T19" s="103">
        <v>77</v>
      </c>
      <c r="U19" s="104">
        <v>0.18000000715255737</v>
      </c>
      <c r="V19" s="103">
        <v>35</v>
      </c>
      <c r="W19" s="104">
        <v>0.20000000298023224</v>
      </c>
      <c r="X19" t="s">
        <v>123</v>
      </c>
      <c r="Y19">
        <v>7</v>
      </c>
      <c r="Z19">
        <v>48</v>
      </c>
      <c r="AA19" s="104">
        <v>0.68999999761581421</v>
      </c>
      <c r="AB19" s="115">
        <v>0.55000001192092896</v>
      </c>
      <c r="AC19" s="104">
        <v>5.9999998658895493E-2</v>
      </c>
      <c r="AD19" s="104">
        <v>1.9999999552965164E-2</v>
      </c>
      <c r="AE19" s="110">
        <f>IF('Angioplasty Summary'!$R$4=2,Z19,IF('Angioplasty Summary'!$R$4=1,Y19))</f>
        <v>7</v>
      </c>
      <c r="AF19" s="52">
        <f>IF('Angioplasty Summary'!$R$4=2,AC19,IF('Angioplasty Summary'!$R$4=1,AA19))</f>
        <v>0.68999999761581421</v>
      </c>
      <c r="AG19" s="52">
        <f>IF('Angioplasty Summary'!$R$4=2,AD19,IF('Angioplasty Summary'!$R$4=1,AB19))</f>
        <v>0.55000001192092896</v>
      </c>
      <c r="AH19" s="67">
        <f t="shared" si="0"/>
        <v>0</v>
      </c>
      <c r="AI19" s="67">
        <f t="shared" si="1"/>
        <v>0.13999998569488525</v>
      </c>
    </row>
    <row r="20" spans="1:35" x14ac:dyDescent="0.25">
      <c r="A20" t="s">
        <v>149</v>
      </c>
      <c r="B20" t="s">
        <v>150</v>
      </c>
      <c r="C20" s="101">
        <v>1003</v>
      </c>
      <c r="D20" s="101">
        <v>377</v>
      </c>
      <c r="E20" s="101">
        <v>335</v>
      </c>
      <c r="F20" s="101">
        <v>291</v>
      </c>
      <c r="G20" s="102">
        <v>1.8515856936573982E-2</v>
      </c>
      <c r="H20" s="103" t="s">
        <v>267</v>
      </c>
      <c r="I20" s="103" t="s">
        <v>262</v>
      </c>
      <c r="J20" s="103">
        <v>264</v>
      </c>
      <c r="K20" s="104">
        <v>0.68999999761581421</v>
      </c>
      <c r="L20" s="103">
        <v>210</v>
      </c>
      <c r="M20" s="104">
        <v>0.80000001192092896</v>
      </c>
      <c r="N20" s="114">
        <v>42</v>
      </c>
      <c r="O20" s="114" t="s">
        <v>222</v>
      </c>
      <c r="P20" s="115">
        <v>0.63999998569488525</v>
      </c>
      <c r="Q20" s="114">
        <v>59</v>
      </c>
      <c r="R20" s="103" t="s">
        <v>299</v>
      </c>
      <c r="S20" s="104">
        <v>0.75</v>
      </c>
      <c r="T20" s="103">
        <v>330</v>
      </c>
      <c r="U20" s="104">
        <v>0.15000000596046448</v>
      </c>
      <c r="V20" s="103">
        <v>289</v>
      </c>
      <c r="W20" s="104">
        <v>0.15999999642372131</v>
      </c>
      <c r="X20" t="s">
        <v>149</v>
      </c>
      <c r="Y20">
        <v>3</v>
      </c>
      <c r="Z20">
        <v>10</v>
      </c>
      <c r="AA20" s="104">
        <v>0.75</v>
      </c>
      <c r="AB20" s="115">
        <v>0.63999998569488525</v>
      </c>
      <c r="AC20" s="104">
        <v>0.80000001192092896</v>
      </c>
      <c r="AD20" s="104">
        <v>0.68999999761581421</v>
      </c>
      <c r="AE20" s="110">
        <f>IF('Angioplasty Summary'!$R$4=2,Z20,IF('Angioplasty Summary'!$R$4=1,Y20))</f>
        <v>3</v>
      </c>
      <c r="AF20" s="52">
        <f>IF('Angioplasty Summary'!$R$4=2,AC20,IF('Angioplasty Summary'!$R$4=1,AA20))</f>
        <v>0.75</v>
      </c>
      <c r="AG20" s="52">
        <f>IF('Angioplasty Summary'!$R$4=2,AD20,IF('Angioplasty Summary'!$R$4=1,AB20))</f>
        <v>0.63999998569488525</v>
      </c>
      <c r="AH20" s="67">
        <f t="shared" si="0"/>
        <v>0</v>
      </c>
      <c r="AI20" s="67">
        <f t="shared" si="1"/>
        <v>0.11000001430511475</v>
      </c>
    </row>
    <row r="21" spans="1:35" x14ac:dyDescent="0.25">
      <c r="A21" t="s">
        <v>37</v>
      </c>
      <c r="B21" t="s">
        <v>198</v>
      </c>
      <c r="C21" s="101">
        <v>280</v>
      </c>
      <c r="D21" s="101">
        <v>110</v>
      </c>
      <c r="E21" s="101">
        <v>118</v>
      </c>
      <c r="F21" s="101">
        <v>52</v>
      </c>
      <c r="G21" s="102">
        <v>0</v>
      </c>
      <c r="H21" s="103" t="s">
        <v>1042</v>
      </c>
      <c r="I21" s="103" t="s">
        <v>671</v>
      </c>
      <c r="J21" s="103">
        <v>87</v>
      </c>
      <c r="K21" s="104">
        <v>0</v>
      </c>
      <c r="L21" s="103">
        <v>34</v>
      </c>
      <c r="M21" s="104">
        <v>2.9999999329447746E-2</v>
      </c>
      <c r="N21" s="114">
        <v>15</v>
      </c>
      <c r="O21" s="114" t="s">
        <v>1043</v>
      </c>
      <c r="P21" s="115">
        <v>0.20000000298023224</v>
      </c>
      <c r="Q21" s="112" t="s">
        <v>433</v>
      </c>
      <c r="R21" s="105" t="s">
        <v>346</v>
      </c>
      <c r="S21" s="106" t="s">
        <v>346</v>
      </c>
      <c r="T21" s="103">
        <v>118</v>
      </c>
      <c r="U21" s="104">
        <v>7.9999998211860657E-2</v>
      </c>
      <c r="V21" s="103">
        <v>52</v>
      </c>
      <c r="W21" s="104">
        <v>0.17000000178813934</v>
      </c>
      <c r="X21" t="s">
        <v>37</v>
      </c>
      <c r="Y21" s="52" t="e">
        <v>#VALUE!</v>
      </c>
      <c r="Z21">
        <v>49</v>
      </c>
      <c r="AA21" s="104" t="s">
        <v>346</v>
      </c>
      <c r="AB21" s="115" t="s">
        <v>346</v>
      </c>
      <c r="AC21" s="104">
        <v>2.9999999329447746E-2</v>
      </c>
      <c r="AD21" s="104">
        <v>0</v>
      </c>
      <c r="AE21" s="110" t="e">
        <f>IF('Angioplasty Summary'!$R$4=2,Z21,IF('Angioplasty Summary'!$R$4=1,Y21))</f>
        <v>#VALUE!</v>
      </c>
      <c r="AF21" s="52" t="str">
        <f>IF('Angioplasty Summary'!$R$4=2,AC21,IF('Angioplasty Summary'!$R$4=1,AA21))</f>
        <v>xx</v>
      </c>
      <c r="AG21" s="52" t="str">
        <f>IF('Angioplasty Summary'!$R$4=2,AD21,IF('Angioplasty Summary'!$R$4=1,AB21))</f>
        <v>xx</v>
      </c>
      <c r="AH21" s="67" t="e">
        <f t="shared" si="0"/>
        <v>#VALUE!</v>
      </c>
      <c r="AI21" s="67">
        <f t="shared" si="1"/>
        <v>0</v>
      </c>
    </row>
    <row r="22" spans="1:35" x14ac:dyDescent="0.25">
      <c r="A22" t="s">
        <v>38</v>
      </c>
      <c r="B22" t="s">
        <v>39</v>
      </c>
      <c r="C22" s="101">
        <v>470</v>
      </c>
      <c r="D22" s="101">
        <v>171</v>
      </c>
      <c r="E22" s="101">
        <v>169</v>
      </c>
      <c r="F22" s="101">
        <v>130</v>
      </c>
      <c r="G22" s="102">
        <v>1.4829393476247787E-2</v>
      </c>
      <c r="H22" s="103" t="s">
        <v>442</v>
      </c>
      <c r="I22" s="103" t="s">
        <v>1034</v>
      </c>
      <c r="J22" s="103">
        <v>113</v>
      </c>
      <c r="K22" s="104">
        <v>0.5</v>
      </c>
      <c r="L22" s="103">
        <v>84</v>
      </c>
      <c r="M22" s="104">
        <v>0.50999999046325684</v>
      </c>
      <c r="N22" s="114">
        <v>46</v>
      </c>
      <c r="O22" s="114" t="s">
        <v>251</v>
      </c>
      <c r="P22" s="115">
        <v>0.5899999737739563</v>
      </c>
      <c r="Q22" s="114">
        <v>44</v>
      </c>
      <c r="R22" s="103" t="s">
        <v>203</v>
      </c>
      <c r="S22" s="104">
        <v>0.61000001430511475</v>
      </c>
      <c r="T22" s="103">
        <v>167</v>
      </c>
      <c r="U22" s="104">
        <v>0.10999999940395355</v>
      </c>
      <c r="V22" s="103">
        <v>128</v>
      </c>
      <c r="W22" s="104">
        <v>0.15999999642372131</v>
      </c>
      <c r="X22" t="s">
        <v>38</v>
      </c>
      <c r="Y22">
        <v>13</v>
      </c>
      <c r="Z22">
        <v>31</v>
      </c>
      <c r="AA22" s="104">
        <v>0.61000001430511475</v>
      </c>
      <c r="AB22" s="115">
        <v>0.5899999737739563</v>
      </c>
      <c r="AC22" s="104">
        <v>0.50999999046325684</v>
      </c>
      <c r="AD22" s="104">
        <v>0.5</v>
      </c>
      <c r="AE22" s="110">
        <f>IF('Angioplasty Summary'!$R$4=2,Z22,IF('Angioplasty Summary'!$R$4=1,Y22))</f>
        <v>13</v>
      </c>
      <c r="AF22" s="52">
        <f>IF('Angioplasty Summary'!$R$4=2,AC22,IF('Angioplasty Summary'!$R$4=1,AA22))</f>
        <v>0.61000001430511475</v>
      </c>
      <c r="AG22" s="52">
        <f>IF('Angioplasty Summary'!$R$4=2,AD22,IF('Angioplasty Summary'!$R$4=1,AB22))</f>
        <v>0.5899999737739563</v>
      </c>
      <c r="AH22" s="67">
        <f t="shared" si="0"/>
        <v>0</v>
      </c>
      <c r="AI22" s="67">
        <f t="shared" si="1"/>
        <v>2.0000040531158447E-2</v>
      </c>
    </row>
    <row r="23" spans="1:35" x14ac:dyDescent="0.25">
      <c r="A23" t="s">
        <v>100</v>
      </c>
      <c r="B23" t="s">
        <v>101</v>
      </c>
      <c r="C23" s="101">
        <v>215</v>
      </c>
      <c r="D23" s="101">
        <v>153</v>
      </c>
      <c r="E23" s="101">
        <v>47</v>
      </c>
      <c r="F23" s="101">
        <v>15</v>
      </c>
      <c r="G23" s="102">
        <v>3.0723534524440765E-2</v>
      </c>
      <c r="H23" s="103" t="s">
        <v>261</v>
      </c>
      <c r="I23" s="103" t="s">
        <v>258</v>
      </c>
      <c r="J23" s="103">
        <v>39</v>
      </c>
      <c r="K23" s="104">
        <v>0.74000000953674316</v>
      </c>
      <c r="L23" s="103">
        <v>15</v>
      </c>
      <c r="M23" s="104">
        <v>1</v>
      </c>
      <c r="N23" s="112" t="s">
        <v>433</v>
      </c>
      <c r="O23" s="112" t="s">
        <v>346</v>
      </c>
      <c r="P23" s="113" t="s">
        <v>346</v>
      </c>
      <c r="Q23" s="112" t="s">
        <v>433</v>
      </c>
      <c r="R23" s="105" t="s">
        <v>346</v>
      </c>
      <c r="S23" s="106" t="s">
        <v>346</v>
      </c>
      <c r="T23" s="103">
        <v>44</v>
      </c>
      <c r="U23" s="104">
        <v>0.15999999642372131</v>
      </c>
      <c r="V23" s="103">
        <v>15</v>
      </c>
      <c r="W23" s="104">
        <v>0</v>
      </c>
      <c r="X23" t="s">
        <v>100</v>
      </c>
      <c r="Y23" s="52" t="e">
        <v>#VALUE!</v>
      </c>
      <c r="Z23">
        <v>1</v>
      </c>
      <c r="AA23" s="106" t="s">
        <v>346</v>
      </c>
      <c r="AB23" s="113" t="s">
        <v>346</v>
      </c>
      <c r="AC23" s="104">
        <v>1</v>
      </c>
      <c r="AD23" s="104">
        <v>0.74000000953674316</v>
      </c>
      <c r="AE23" s="110" t="e">
        <f>IF('Angioplasty Summary'!$R$4=2,Z23,IF('Angioplasty Summary'!$R$4=1,Y23))</f>
        <v>#VALUE!</v>
      </c>
      <c r="AF23" s="52" t="str">
        <f>IF('Angioplasty Summary'!$R$4=2,AC23,IF('Angioplasty Summary'!$R$4=1,AA23))</f>
        <v>xx</v>
      </c>
      <c r="AG23" s="52" t="str">
        <f>IF('Angioplasty Summary'!$R$4=2,AD23,IF('Angioplasty Summary'!$R$4=1,AB23))</f>
        <v>xx</v>
      </c>
      <c r="AH23" s="67" t="e">
        <f t="shared" si="0"/>
        <v>#VALUE!</v>
      </c>
      <c r="AI23" s="67">
        <f t="shared" si="1"/>
        <v>0</v>
      </c>
    </row>
    <row r="24" spans="1:35" x14ac:dyDescent="0.25">
      <c r="A24" t="s">
        <v>112</v>
      </c>
      <c r="B24" t="s">
        <v>113</v>
      </c>
      <c r="C24" s="101">
        <v>140</v>
      </c>
      <c r="D24" s="101">
        <v>40</v>
      </c>
      <c r="E24" s="101">
        <v>44</v>
      </c>
      <c r="F24" s="101">
        <v>56</v>
      </c>
      <c r="G24" s="102">
        <v>1.6528457403182983E-2</v>
      </c>
      <c r="H24" s="103" t="s">
        <v>264</v>
      </c>
      <c r="I24" s="103" t="s">
        <v>437</v>
      </c>
      <c r="J24" s="103">
        <v>31</v>
      </c>
      <c r="K24" s="104">
        <v>0.28999999165534973</v>
      </c>
      <c r="L24" s="103">
        <v>27</v>
      </c>
      <c r="M24" s="104">
        <v>0.33000001311302185</v>
      </c>
      <c r="N24" s="114">
        <v>12</v>
      </c>
      <c r="O24" s="114" t="s">
        <v>212</v>
      </c>
      <c r="P24" s="115">
        <v>0.67000001668930054</v>
      </c>
      <c r="Q24" s="114">
        <v>24</v>
      </c>
      <c r="R24" s="103" t="s">
        <v>450</v>
      </c>
      <c r="S24" s="104">
        <v>0.70999997854232788</v>
      </c>
      <c r="T24" s="103">
        <v>43</v>
      </c>
      <c r="U24" s="104">
        <v>5.000000074505806E-2</v>
      </c>
      <c r="V24" s="103">
        <v>54</v>
      </c>
      <c r="W24" s="104">
        <v>0.12999999523162842</v>
      </c>
      <c r="X24" t="s">
        <v>112</v>
      </c>
      <c r="Y24">
        <v>5</v>
      </c>
      <c r="Z24">
        <v>41</v>
      </c>
      <c r="AA24" s="104">
        <v>0.70999997854232788</v>
      </c>
      <c r="AB24" s="115">
        <v>0.67000001668930054</v>
      </c>
      <c r="AC24" s="104">
        <v>0.33000001311302185</v>
      </c>
      <c r="AD24" s="104">
        <v>0.28999999165534973</v>
      </c>
      <c r="AE24" s="110">
        <f>IF('Angioplasty Summary'!$R$4=2,Z24,IF('Angioplasty Summary'!$R$4=1,Y24))</f>
        <v>5</v>
      </c>
      <c r="AF24" s="52">
        <f>IF('Angioplasty Summary'!$R$4=2,AC24,IF('Angioplasty Summary'!$R$4=1,AA24))</f>
        <v>0.70999997854232788</v>
      </c>
      <c r="AG24" s="52">
        <f>IF('Angioplasty Summary'!$R$4=2,AD24,IF('Angioplasty Summary'!$R$4=1,AB24))</f>
        <v>0.67000001668930054</v>
      </c>
      <c r="AH24" s="67">
        <f t="shared" si="0"/>
        <v>0</v>
      </c>
      <c r="AI24" s="67">
        <f t="shared" si="1"/>
        <v>3.9999961853027344E-2</v>
      </c>
    </row>
    <row r="25" spans="1:35" x14ac:dyDescent="0.25">
      <c r="A25" t="s">
        <v>254</v>
      </c>
      <c r="B25" t="s">
        <v>342</v>
      </c>
      <c r="C25" s="101">
        <v>23</v>
      </c>
      <c r="D25" s="101">
        <v>4</v>
      </c>
      <c r="E25" s="101">
        <v>17</v>
      </c>
      <c r="F25" s="101">
        <v>2</v>
      </c>
      <c r="G25" s="102">
        <v>0</v>
      </c>
      <c r="H25" s="103" t="s">
        <v>258</v>
      </c>
      <c r="I25" s="103" t="s">
        <v>346</v>
      </c>
      <c r="J25" s="103">
        <v>16</v>
      </c>
      <c r="K25" s="104">
        <v>0.87999999523162842</v>
      </c>
      <c r="L25" s="103" t="s">
        <v>433</v>
      </c>
      <c r="M25" s="104" t="s">
        <v>346</v>
      </c>
      <c r="N25" s="112" t="s">
        <v>433</v>
      </c>
      <c r="O25" s="112" t="s">
        <v>346</v>
      </c>
      <c r="P25" s="113" t="s">
        <v>346</v>
      </c>
      <c r="Q25" s="112" t="s">
        <v>433</v>
      </c>
      <c r="R25" s="105" t="s">
        <v>346</v>
      </c>
      <c r="S25" s="106" t="s">
        <v>346</v>
      </c>
      <c r="T25" s="103">
        <v>17</v>
      </c>
      <c r="U25" s="104">
        <v>0</v>
      </c>
      <c r="V25" s="103" t="s">
        <v>345</v>
      </c>
      <c r="W25" s="104" t="s">
        <v>346</v>
      </c>
      <c r="X25" t="s">
        <v>254</v>
      </c>
      <c r="Y25" s="52" t="e">
        <v>#VALUE!</v>
      </c>
      <c r="Z25" s="52" t="e">
        <v>#VALUE!</v>
      </c>
      <c r="AA25" s="106" t="s">
        <v>346</v>
      </c>
      <c r="AB25" s="113" t="s">
        <v>346</v>
      </c>
      <c r="AC25" s="104" t="s">
        <v>346</v>
      </c>
      <c r="AD25" s="104" t="s">
        <v>346</v>
      </c>
      <c r="AE25" s="110" t="e">
        <f>IF('Angioplasty Summary'!$R$4=2,Z25,IF('Angioplasty Summary'!$R$4=1,Y25))</f>
        <v>#VALUE!</v>
      </c>
      <c r="AF25" s="52" t="str">
        <f>IF('Angioplasty Summary'!$R$4=2,AC25,IF('Angioplasty Summary'!$R$4=1,AA25))</f>
        <v>xx</v>
      </c>
      <c r="AG25" s="52" t="str">
        <f>IF('Angioplasty Summary'!$R$4=2,AD25,IF('Angioplasty Summary'!$R$4=1,AB25))</f>
        <v>xx</v>
      </c>
      <c r="AH25" s="67" t="e">
        <f t="shared" si="0"/>
        <v>#VALUE!</v>
      </c>
      <c r="AI25" s="67">
        <f t="shared" si="1"/>
        <v>0</v>
      </c>
    </row>
    <row r="26" spans="1:35" x14ac:dyDescent="0.25">
      <c r="A26" t="s">
        <v>63</v>
      </c>
      <c r="B26" t="s">
        <v>64</v>
      </c>
      <c r="C26" s="101">
        <v>335</v>
      </c>
      <c r="D26" s="101">
        <v>125</v>
      </c>
      <c r="E26" s="101">
        <v>116</v>
      </c>
      <c r="F26" s="101">
        <v>94</v>
      </c>
      <c r="G26" s="102">
        <v>1.0842799209058285E-2</v>
      </c>
      <c r="H26" s="103" t="s">
        <v>726</v>
      </c>
      <c r="I26" s="103" t="s">
        <v>886</v>
      </c>
      <c r="J26" s="103">
        <v>90</v>
      </c>
      <c r="K26" s="104">
        <v>0.12999999523162842</v>
      </c>
      <c r="L26" s="103">
        <v>71</v>
      </c>
      <c r="M26" s="104">
        <v>9.9999997764825821E-3</v>
      </c>
      <c r="N26" s="114">
        <v>23</v>
      </c>
      <c r="O26" s="114" t="s">
        <v>282</v>
      </c>
      <c r="P26" s="115">
        <v>0.51999998092651367</v>
      </c>
      <c r="Q26" s="114">
        <v>20</v>
      </c>
      <c r="R26" s="103" t="s">
        <v>209</v>
      </c>
      <c r="S26" s="104">
        <v>0.60000002384185791</v>
      </c>
      <c r="T26" s="103">
        <v>116</v>
      </c>
      <c r="U26" s="104">
        <v>5.9999998658895493E-2</v>
      </c>
      <c r="V26" s="103">
        <v>93</v>
      </c>
      <c r="W26" s="104">
        <v>0.17000000178813934</v>
      </c>
      <c r="X26" t="s">
        <v>63</v>
      </c>
      <c r="Y26">
        <v>14</v>
      </c>
      <c r="Z26">
        <v>51</v>
      </c>
      <c r="AA26" s="104">
        <v>0.60000002384185791</v>
      </c>
      <c r="AB26" s="115">
        <v>0.51999998092651367</v>
      </c>
      <c r="AC26" s="104">
        <v>9.9999997764825821E-3</v>
      </c>
      <c r="AD26" s="104">
        <v>0.12999999523162842</v>
      </c>
      <c r="AE26" s="110">
        <f>IF('Angioplasty Summary'!$R$4=2,Z26,IF('Angioplasty Summary'!$R$4=1,Y26))</f>
        <v>14</v>
      </c>
      <c r="AF26" s="52">
        <f>IF('Angioplasty Summary'!$R$4=2,AC26,IF('Angioplasty Summary'!$R$4=1,AA26))</f>
        <v>0.60000002384185791</v>
      </c>
      <c r="AG26" s="52">
        <f>IF('Angioplasty Summary'!$R$4=2,AD26,IF('Angioplasty Summary'!$R$4=1,AB26))</f>
        <v>0.51999998092651367</v>
      </c>
      <c r="AH26" s="67">
        <f t="shared" si="0"/>
        <v>0</v>
      </c>
      <c r="AI26" s="67">
        <f t="shared" si="1"/>
        <v>8.0000042915344238E-2</v>
      </c>
    </row>
    <row r="27" spans="1:35" x14ac:dyDescent="0.25">
      <c r="A27" t="s">
        <v>255</v>
      </c>
      <c r="B27" t="s">
        <v>343</v>
      </c>
      <c r="C27" s="101">
        <v>92</v>
      </c>
      <c r="D27" s="101">
        <v>38</v>
      </c>
      <c r="E27" s="101">
        <v>33</v>
      </c>
      <c r="F27" s="101">
        <v>21</v>
      </c>
      <c r="G27" s="102">
        <v>2.9033772647380829E-2</v>
      </c>
      <c r="H27" s="103" t="s">
        <v>258</v>
      </c>
      <c r="I27" s="103" t="s">
        <v>261</v>
      </c>
      <c r="J27" s="103">
        <v>32</v>
      </c>
      <c r="K27" s="104">
        <v>0.8399999737739563</v>
      </c>
      <c r="L27" s="103">
        <v>19</v>
      </c>
      <c r="M27" s="104">
        <v>0.74000000953674316</v>
      </c>
      <c r="N27" s="112" t="s">
        <v>433</v>
      </c>
      <c r="O27" s="112" t="s">
        <v>346</v>
      </c>
      <c r="P27" s="113" t="s">
        <v>346</v>
      </c>
      <c r="Q27" s="112" t="s">
        <v>433</v>
      </c>
      <c r="R27" s="105" t="s">
        <v>346</v>
      </c>
      <c r="S27" s="106" t="s">
        <v>346</v>
      </c>
      <c r="T27" s="103">
        <v>33</v>
      </c>
      <c r="U27" s="104">
        <v>9.0000003576278687E-2</v>
      </c>
      <c r="V27" s="103">
        <v>20</v>
      </c>
      <c r="W27" s="104">
        <v>0.10000000149011612</v>
      </c>
      <c r="X27" t="s">
        <v>255</v>
      </c>
      <c r="Y27" s="52" t="e">
        <v>#VALUE!</v>
      </c>
      <c r="Z27">
        <v>16</v>
      </c>
      <c r="AA27" s="106" t="s">
        <v>346</v>
      </c>
      <c r="AB27" s="113" t="s">
        <v>346</v>
      </c>
      <c r="AC27" s="104">
        <v>0.74000000953674316</v>
      </c>
      <c r="AD27" s="104">
        <v>0.8399999737739563</v>
      </c>
      <c r="AE27" s="110" t="e">
        <f>IF('Angioplasty Summary'!$R$4=2,Z27,IF('Angioplasty Summary'!$R$4=1,Y27))</f>
        <v>#VALUE!</v>
      </c>
      <c r="AF27" s="52" t="str">
        <f>IF('Angioplasty Summary'!$R$4=2,AC27,IF('Angioplasty Summary'!$R$4=1,AA27))</f>
        <v>xx</v>
      </c>
      <c r="AG27" s="52" t="str">
        <f>IF('Angioplasty Summary'!$R$4=2,AD27,IF('Angioplasty Summary'!$R$4=1,AB27))</f>
        <v>xx</v>
      </c>
      <c r="AH27" s="67" t="e">
        <f t="shared" si="0"/>
        <v>#VALUE!</v>
      </c>
      <c r="AI27" s="67">
        <f t="shared" si="1"/>
        <v>0</v>
      </c>
    </row>
    <row r="28" spans="1:35" x14ac:dyDescent="0.25">
      <c r="A28" t="s">
        <v>127</v>
      </c>
      <c r="B28" t="s">
        <v>420</v>
      </c>
      <c r="C28" s="101">
        <v>937</v>
      </c>
      <c r="D28" s="101">
        <v>157</v>
      </c>
      <c r="E28" s="101">
        <v>474</v>
      </c>
      <c r="F28" s="101">
        <v>306</v>
      </c>
      <c r="G28" s="102">
        <v>1.3148590922355652E-2</v>
      </c>
      <c r="H28" s="103" t="s">
        <v>272</v>
      </c>
      <c r="I28" s="103" t="s">
        <v>438</v>
      </c>
      <c r="J28" s="103">
        <v>337</v>
      </c>
      <c r="K28" s="104">
        <v>0.60000002384185791</v>
      </c>
      <c r="L28" s="103">
        <v>208</v>
      </c>
      <c r="M28" s="104">
        <v>0.56000000238418579</v>
      </c>
      <c r="N28" s="114">
        <v>75</v>
      </c>
      <c r="O28" s="114" t="s">
        <v>299</v>
      </c>
      <c r="P28" s="115">
        <v>0.75</v>
      </c>
      <c r="Q28" s="114">
        <v>64</v>
      </c>
      <c r="R28" s="103" t="s">
        <v>222</v>
      </c>
      <c r="S28" s="104">
        <v>0.63999998569488525</v>
      </c>
      <c r="T28" s="103">
        <v>470</v>
      </c>
      <c r="U28" s="104">
        <v>0.10000000149011612</v>
      </c>
      <c r="V28" s="103">
        <v>300</v>
      </c>
      <c r="W28" s="104">
        <v>9.0000003576278687E-2</v>
      </c>
      <c r="X28" t="s">
        <v>127</v>
      </c>
      <c r="Y28">
        <v>10</v>
      </c>
      <c r="Z28">
        <v>28</v>
      </c>
      <c r="AA28" s="104">
        <v>0.63999998569488525</v>
      </c>
      <c r="AB28" s="115">
        <v>0.75</v>
      </c>
      <c r="AC28" s="104">
        <v>0.56000000238418579</v>
      </c>
      <c r="AD28" s="104">
        <v>0.60000002384185791</v>
      </c>
      <c r="AE28" s="110">
        <f>IF('Angioplasty Summary'!$R$4=2,Z28,IF('Angioplasty Summary'!$R$4=1,Y28))</f>
        <v>10</v>
      </c>
      <c r="AF28" s="52">
        <f>IF('Angioplasty Summary'!$R$4=2,AC28,IF('Angioplasty Summary'!$R$4=1,AA28))</f>
        <v>0.63999998569488525</v>
      </c>
      <c r="AG28" s="52">
        <f>IF('Angioplasty Summary'!$R$4=2,AD28,IF('Angioplasty Summary'!$R$4=1,AB28))</f>
        <v>0.75</v>
      </c>
      <c r="AH28" s="67">
        <f t="shared" si="0"/>
        <v>0.11000001430511475</v>
      </c>
      <c r="AI28" s="67">
        <f t="shared" si="1"/>
        <v>0</v>
      </c>
    </row>
    <row r="29" spans="1:35" x14ac:dyDescent="0.25">
      <c r="A29" t="s">
        <v>153</v>
      </c>
      <c r="B29" t="s">
        <v>154</v>
      </c>
      <c r="C29" s="101">
        <v>412</v>
      </c>
      <c r="D29" s="101">
        <v>123</v>
      </c>
      <c r="E29" s="101">
        <v>146</v>
      </c>
      <c r="F29" s="101">
        <v>143</v>
      </c>
      <c r="G29" s="102">
        <v>6.1244084499776363E-3</v>
      </c>
      <c r="H29" s="103" t="s">
        <v>438</v>
      </c>
      <c r="I29" s="103" t="s">
        <v>1034</v>
      </c>
      <c r="J29" s="103">
        <v>78</v>
      </c>
      <c r="K29" s="104">
        <v>0.67000001668930054</v>
      </c>
      <c r="L29" s="103">
        <v>93</v>
      </c>
      <c r="M29" s="104">
        <v>0.5899999737739563</v>
      </c>
      <c r="N29" s="114">
        <v>53</v>
      </c>
      <c r="O29" s="114" t="s">
        <v>331</v>
      </c>
      <c r="P29" s="115">
        <v>0.68000000715255737</v>
      </c>
      <c r="Q29" s="114">
        <v>44</v>
      </c>
      <c r="R29" s="103" t="s">
        <v>331</v>
      </c>
      <c r="S29" s="104">
        <v>0.63999998569488525</v>
      </c>
      <c r="T29" s="103">
        <v>145</v>
      </c>
      <c r="U29" s="104">
        <v>7.9999998211860657E-2</v>
      </c>
      <c r="V29" s="103">
        <v>141</v>
      </c>
      <c r="W29" s="104">
        <v>0.11999999731779099</v>
      </c>
      <c r="X29" t="s">
        <v>153</v>
      </c>
      <c r="Y29">
        <v>11</v>
      </c>
      <c r="Z29">
        <v>25</v>
      </c>
      <c r="AA29" s="104">
        <v>0.63999998569488525</v>
      </c>
      <c r="AB29" s="115">
        <v>0.68000000715255737</v>
      </c>
      <c r="AC29" s="104">
        <v>0.5899999737739563</v>
      </c>
      <c r="AD29" s="104">
        <v>0.67000001668930054</v>
      </c>
      <c r="AE29" s="110">
        <f>IF('Angioplasty Summary'!$R$4=2,Z29,IF('Angioplasty Summary'!$R$4=1,Y29))</f>
        <v>11</v>
      </c>
      <c r="AF29" s="52">
        <f>IF('Angioplasty Summary'!$R$4=2,AC29,IF('Angioplasty Summary'!$R$4=1,AA29))</f>
        <v>0.63999998569488525</v>
      </c>
      <c r="AG29" s="52">
        <f>IF('Angioplasty Summary'!$R$4=2,AD29,IF('Angioplasty Summary'!$R$4=1,AB29))</f>
        <v>0.68000000715255737</v>
      </c>
      <c r="AH29" s="67">
        <f t="shared" si="0"/>
        <v>4.0000021457672119E-2</v>
      </c>
      <c r="AI29" s="67">
        <f t="shared" si="1"/>
        <v>0</v>
      </c>
    </row>
    <row r="30" spans="1:35" x14ac:dyDescent="0.25">
      <c r="A30" t="s">
        <v>71</v>
      </c>
      <c r="B30" t="s">
        <v>72</v>
      </c>
      <c r="C30" s="101">
        <v>223</v>
      </c>
      <c r="D30" s="101">
        <v>17</v>
      </c>
      <c r="E30" s="101">
        <v>164</v>
      </c>
      <c r="F30" s="101">
        <v>42</v>
      </c>
      <c r="G30" s="102">
        <v>1.5775447711348534E-2</v>
      </c>
      <c r="H30" s="103" t="s">
        <v>436</v>
      </c>
      <c r="I30" s="103" t="s">
        <v>1049</v>
      </c>
      <c r="J30" s="103">
        <v>117</v>
      </c>
      <c r="K30" s="104">
        <v>0.43999999761581421</v>
      </c>
      <c r="L30" s="103">
        <v>30</v>
      </c>
      <c r="M30" s="104">
        <v>0.52999997138977051</v>
      </c>
      <c r="N30" s="114">
        <v>27</v>
      </c>
      <c r="O30" s="114" t="s">
        <v>1050</v>
      </c>
      <c r="P30" s="115">
        <v>0.5899999737739563</v>
      </c>
      <c r="Q30" s="112" t="s">
        <v>433</v>
      </c>
      <c r="R30" s="105" t="s">
        <v>346</v>
      </c>
      <c r="S30" s="106" t="s">
        <v>346</v>
      </c>
      <c r="T30" s="103">
        <v>162</v>
      </c>
      <c r="U30" s="104">
        <v>5.000000074505806E-2</v>
      </c>
      <c r="V30" s="103">
        <v>41</v>
      </c>
      <c r="W30" s="104">
        <v>5.000000074505806E-2</v>
      </c>
      <c r="X30" t="s">
        <v>71</v>
      </c>
      <c r="Y30" s="52" t="e">
        <v>#VALUE!</v>
      </c>
      <c r="Z30">
        <v>30</v>
      </c>
      <c r="AA30" s="104" t="s">
        <v>346</v>
      </c>
      <c r="AB30" s="115" t="s">
        <v>346</v>
      </c>
      <c r="AC30" s="104">
        <v>0.52999997138977051</v>
      </c>
      <c r="AD30" s="104">
        <v>0.43999999761581421</v>
      </c>
      <c r="AE30" s="110" t="e">
        <f>IF('Angioplasty Summary'!$R$4=2,Z30,IF('Angioplasty Summary'!$R$4=1,Y30))</f>
        <v>#VALUE!</v>
      </c>
      <c r="AF30" s="52" t="str">
        <f>IF('Angioplasty Summary'!$R$4=2,AC30,IF('Angioplasty Summary'!$R$4=1,AA30))</f>
        <v>xx</v>
      </c>
      <c r="AG30" s="52" t="str">
        <f>IF('Angioplasty Summary'!$R$4=2,AD30,IF('Angioplasty Summary'!$R$4=1,AB30))</f>
        <v>xx</v>
      </c>
      <c r="AH30" s="67" t="e">
        <f t="shared" si="0"/>
        <v>#VALUE!</v>
      </c>
      <c r="AI30" s="67">
        <f t="shared" si="1"/>
        <v>0</v>
      </c>
    </row>
    <row r="31" spans="1:35" x14ac:dyDescent="0.25">
      <c r="A31" t="s">
        <v>147</v>
      </c>
      <c r="B31" t="s">
        <v>148</v>
      </c>
      <c r="C31" s="101">
        <v>1103</v>
      </c>
      <c r="D31" s="101">
        <v>402</v>
      </c>
      <c r="E31" s="101">
        <v>412</v>
      </c>
      <c r="F31" s="101">
        <v>289</v>
      </c>
      <c r="G31" s="102">
        <v>2.117362804710865E-2</v>
      </c>
      <c r="H31" s="103" t="s">
        <v>1046</v>
      </c>
      <c r="I31" s="103" t="s">
        <v>1063</v>
      </c>
      <c r="J31" s="103">
        <v>245</v>
      </c>
      <c r="K31" s="104">
        <v>0.67000001668930054</v>
      </c>
      <c r="L31" s="103">
        <v>162</v>
      </c>
      <c r="M31" s="104">
        <v>0.63999998569488525</v>
      </c>
      <c r="N31" s="114">
        <v>154</v>
      </c>
      <c r="O31" s="114" t="s">
        <v>205</v>
      </c>
      <c r="P31" s="115">
        <v>0.55000001192092896</v>
      </c>
      <c r="Q31" s="114">
        <v>120</v>
      </c>
      <c r="R31" s="103" t="s">
        <v>282</v>
      </c>
      <c r="S31" s="104">
        <v>0.56999999284744263</v>
      </c>
      <c r="T31" s="103">
        <v>401</v>
      </c>
      <c r="U31" s="104">
        <v>7.0000000298023224E-2</v>
      </c>
      <c r="V31" s="103">
        <v>276</v>
      </c>
      <c r="W31" s="104">
        <v>5.9999998658895493E-2</v>
      </c>
      <c r="X31" t="s">
        <v>147</v>
      </c>
      <c r="Y31">
        <v>23</v>
      </c>
      <c r="Z31">
        <v>23</v>
      </c>
      <c r="AA31" s="104">
        <v>0.56999999284744263</v>
      </c>
      <c r="AB31" s="115">
        <v>0.55000001192092896</v>
      </c>
      <c r="AC31" s="104">
        <v>0.63999998569488525</v>
      </c>
      <c r="AD31" s="104">
        <v>0.67000001668930054</v>
      </c>
      <c r="AE31" s="110">
        <f>IF('Angioplasty Summary'!$R$4=2,Z31,IF('Angioplasty Summary'!$R$4=1,Y31))</f>
        <v>23</v>
      </c>
      <c r="AF31" s="52">
        <f>IF('Angioplasty Summary'!$R$4=2,AC31,IF('Angioplasty Summary'!$R$4=1,AA31))</f>
        <v>0.56999999284744263</v>
      </c>
      <c r="AG31" s="52">
        <f>IF('Angioplasty Summary'!$R$4=2,AD31,IF('Angioplasty Summary'!$R$4=1,AB31))</f>
        <v>0.55000001192092896</v>
      </c>
      <c r="AH31" s="67">
        <f t="shared" si="0"/>
        <v>0</v>
      </c>
      <c r="AI31" s="67">
        <f t="shared" si="1"/>
        <v>1.9999980926513672E-2</v>
      </c>
    </row>
    <row r="32" spans="1:35" x14ac:dyDescent="0.25">
      <c r="A32" t="s">
        <v>102</v>
      </c>
      <c r="B32" t="s">
        <v>103</v>
      </c>
      <c r="C32" s="101">
        <v>78</v>
      </c>
      <c r="D32" s="101">
        <v>40</v>
      </c>
      <c r="E32" s="101">
        <v>34</v>
      </c>
      <c r="F32" s="101">
        <v>4</v>
      </c>
      <c r="G32" s="102">
        <v>0</v>
      </c>
      <c r="H32" s="103" t="s">
        <v>434</v>
      </c>
      <c r="I32" s="103" t="s">
        <v>346</v>
      </c>
      <c r="J32" s="103">
        <v>21</v>
      </c>
      <c r="K32" s="104">
        <v>0.56999999284744263</v>
      </c>
      <c r="L32" s="103" t="s">
        <v>433</v>
      </c>
      <c r="M32" s="104" t="s">
        <v>346</v>
      </c>
      <c r="N32" s="114">
        <v>13</v>
      </c>
      <c r="O32" s="114" t="s">
        <v>444</v>
      </c>
      <c r="P32" s="115">
        <v>0.31000000238418579</v>
      </c>
      <c r="Q32" s="112" t="s">
        <v>433</v>
      </c>
      <c r="R32" s="105" t="s">
        <v>346</v>
      </c>
      <c r="S32" s="106" t="s">
        <v>346</v>
      </c>
      <c r="T32" s="103">
        <v>34</v>
      </c>
      <c r="U32" s="104">
        <v>9.0000003576278687E-2</v>
      </c>
      <c r="V32" s="103" t="s">
        <v>345</v>
      </c>
      <c r="W32" s="104" t="s">
        <v>346</v>
      </c>
      <c r="X32" t="s">
        <v>102</v>
      </c>
      <c r="Y32" s="52" t="e">
        <v>#VALUE!</v>
      </c>
      <c r="Z32" s="52" t="e">
        <v>#VALUE!</v>
      </c>
      <c r="AA32" s="104" t="s">
        <v>346</v>
      </c>
      <c r="AB32" s="115" t="s">
        <v>346</v>
      </c>
      <c r="AC32" s="104" t="s">
        <v>346</v>
      </c>
      <c r="AD32" s="104" t="s">
        <v>346</v>
      </c>
      <c r="AE32" s="110" t="e">
        <f>IF('Angioplasty Summary'!$R$4=2,Z32,IF('Angioplasty Summary'!$R$4=1,Y32))</f>
        <v>#VALUE!</v>
      </c>
      <c r="AF32" s="52" t="str">
        <f>IF('Angioplasty Summary'!$R$4=2,AC32,IF('Angioplasty Summary'!$R$4=1,AA32))</f>
        <v>xx</v>
      </c>
      <c r="AG32" s="52" t="str">
        <f>IF('Angioplasty Summary'!$R$4=2,AD32,IF('Angioplasty Summary'!$R$4=1,AB32))</f>
        <v>xx</v>
      </c>
      <c r="AH32" s="67" t="e">
        <f t="shared" si="0"/>
        <v>#VALUE!</v>
      </c>
      <c r="AI32" s="67">
        <f t="shared" si="1"/>
        <v>0</v>
      </c>
    </row>
    <row r="33" spans="1:35" x14ac:dyDescent="0.25">
      <c r="A33" t="s">
        <v>44</v>
      </c>
      <c r="B33" t="s">
        <v>421</v>
      </c>
      <c r="C33" s="101">
        <v>243</v>
      </c>
      <c r="D33" s="101">
        <v>37</v>
      </c>
      <c r="E33" s="101">
        <v>57</v>
      </c>
      <c r="F33" s="101">
        <v>149</v>
      </c>
      <c r="G33" s="102">
        <v>7.3775132186710835E-3</v>
      </c>
      <c r="H33" s="103" t="s">
        <v>434</v>
      </c>
      <c r="I33" s="103" t="s">
        <v>1044</v>
      </c>
      <c r="J33" s="103">
        <v>38</v>
      </c>
      <c r="K33" s="104">
        <v>0.61000001430511475</v>
      </c>
      <c r="L33" s="103">
        <v>96</v>
      </c>
      <c r="M33" s="104">
        <v>0.23999999463558197</v>
      </c>
      <c r="N33" s="114">
        <v>16</v>
      </c>
      <c r="O33" s="114" t="s">
        <v>441</v>
      </c>
      <c r="P33" s="115">
        <v>5.9999998658895493E-2</v>
      </c>
      <c r="Q33" s="114">
        <v>43</v>
      </c>
      <c r="R33" s="103" t="s">
        <v>457</v>
      </c>
      <c r="S33" s="104">
        <v>0.33000001311302185</v>
      </c>
      <c r="T33" s="103">
        <v>55</v>
      </c>
      <c r="U33" s="104">
        <v>0.12999999523162842</v>
      </c>
      <c r="V33" s="103">
        <v>149</v>
      </c>
      <c r="W33" s="104">
        <v>0.15000000596046448</v>
      </c>
      <c r="X33" t="s">
        <v>44</v>
      </c>
      <c r="Y33">
        <v>29</v>
      </c>
      <c r="Z33">
        <v>44</v>
      </c>
      <c r="AA33" s="104">
        <v>0.33000001311302185</v>
      </c>
      <c r="AB33" s="115">
        <v>5.9999998658895493E-2</v>
      </c>
      <c r="AC33" s="104">
        <v>0.23999999463558197</v>
      </c>
      <c r="AD33" s="104">
        <v>0.61000001430511475</v>
      </c>
      <c r="AE33" s="110">
        <f>IF('Angioplasty Summary'!$R$4=2,Z33,IF('Angioplasty Summary'!$R$4=1,Y33))</f>
        <v>29</v>
      </c>
      <c r="AF33" s="52">
        <f>IF('Angioplasty Summary'!$R$4=2,AC33,IF('Angioplasty Summary'!$R$4=1,AA33))</f>
        <v>0.33000001311302185</v>
      </c>
      <c r="AG33" s="52">
        <f>IF('Angioplasty Summary'!$R$4=2,AD33,IF('Angioplasty Summary'!$R$4=1,AB33))</f>
        <v>5.9999998658895493E-2</v>
      </c>
      <c r="AH33" s="67">
        <f t="shared" si="0"/>
        <v>0</v>
      </c>
      <c r="AI33" s="67">
        <f t="shared" si="1"/>
        <v>0.27000001445412636</v>
      </c>
    </row>
    <row r="34" spans="1:35" x14ac:dyDescent="0.25">
      <c r="A34" t="s">
        <v>13</v>
      </c>
      <c r="B34" t="s">
        <v>422</v>
      </c>
      <c r="C34" s="101">
        <v>478</v>
      </c>
      <c r="D34" s="101">
        <v>186</v>
      </c>
      <c r="E34" s="101">
        <v>169</v>
      </c>
      <c r="F34" s="101">
        <v>123</v>
      </c>
      <c r="G34" s="102">
        <v>2.6443244889378548E-2</v>
      </c>
      <c r="H34" s="103" t="s">
        <v>438</v>
      </c>
      <c r="I34" s="103" t="s">
        <v>823</v>
      </c>
      <c r="J34" s="103">
        <v>109</v>
      </c>
      <c r="K34" s="104">
        <v>0.57999998331069946</v>
      </c>
      <c r="L34" s="103">
        <v>66</v>
      </c>
      <c r="M34" s="104">
        <v>0.34999999403953552</v>
      </c>
      <c r="N34" s="114">
        <v>48</v>
      </c>
      <c r="O34" s="114" t="s">
        <v>323</v>
      </c>
      <c r="P34" s="115">
        <v>0.46000000834465027</v>
      </c>
      <c r="Q34" s="114">
        <v>45</v>
      </c>
      <c r="R34" s="103" t="s">
        <v>212</v>
      </c>
      <c r="S34" s="104">
        <v>0.57999998331069946</v>
      </c>
      <c r="T34" s="103">
        <v>166</v>
      </c>
      <c r="U34" s="104">
        <v>7.0000000298023224E-2</v>
      </c>
      <c r="V34" s="103">
        <v>116</v>
      </c>
      <c r="W34" s="104">
        <v>9.0000003576278687E-2</v>
      </c>
      <c r="X34" t="s">
        <v>13</v>
      </c>
      <c r="Y34">
        <v>21</v>
      </c>
      <c r="Z34">
        <v>40</v>
      </c>
      <c r="AA34" s="104">
        <v>0.57999998331069946</v>
      </c>
      <c r="AB34" s="115">
        <v>0.46000000834465027</v>
      </c>
      <c r="AC34" s="104">
        <v>0.34999999403953552</v>
      </c>
      <c r="AD34" s="104">
        <v>0.57999998331069946</v>
      </c>
      <c r="AE34" s="110">
        <f>IF('Angioplasty Summary'!$R$4=2,Z34,IF('Angioplasty Summary'!$R$4=1,Y34))</f>
        <v>21</v>
      </c>
      <c r="AF34" s="52">
        <f>IF('Angioplasty Summary'!$R$4=2,AC34,IF('Angioplasty Summary'!$R$4=1,AA34))</f>
        <v>0.57999998331069946</v>
      </c>
      <c r="AG34" s="52">
        <f>IF('Angioplasty Summary'!$R$4=2,AD34,IF('Angioplasty Summary'!$R$4=1,AB34))</f>
        <v>0.46000000834465027</v>
      </c>
      <c r="AH34" s="67">
        <f t="shared" si="0"/>
        <v>0</v>
      </c>
      <c r="AI34" s="67">
        <f t="shared" si="1"/>
        <v>0.11999997496604919</v>
      </c>
    </row>
    <row r="35" spans="1:35" x14ac:dyDescent="0.25">
      <c r="A35" t="s">
        <v>9</v>
      </c>
      <c r="B35" t="s">
        <v>10</v>
      </c>
      <c r="C35" s="101">
        <v>638</v>
      </c>
      <c r="D35" s="101">
        <v>193</v>
      </c>
      <c r="E35" s="101">
        <v>243</v>
      </c>
      <c r="F35" s="101">
        <v>202</v>
      </c>
      <c r="G35" s="102">
        <v>2.8506731614470482E-2</v>
      </c>
      <c r="H35" s="103" t="s">
        <v>438</v>
      </c>
      <c r="I35" s="103" t="s">
        <v>440</v>
      </c>
      <c r="J35" s="103">
        <v>160</v>
      </c>
      <c r="K35" s="104">
        <v>0.50999999046325684</v>
      </c>
      <c r="L35" s="103">
        <v>123</v>
      </c>
      <c r="M35" s="104">
        <v>0.61000001430511475</v>
      </c>
      <c r="N35" s="114">
        <v>74</v>
      </c>
      <c r="O35" s="114" t="s">
        <v>223</v>
      </c>
      <c r="P35" s="115">
        <v>0.54000002145767212</v>
      </c>
      <c r="Q35" s="114">
        <v>68</v>
      </c>
      <c r="R35" s="103" t="s">
        <v>212</v>
      </c>
      <c r="S35" s="104">
        <v>0.60000002384185791</v>
      </c>
      <c r="T35" s="103">
        <v>241</v>
      </c>
      <c r="U35" s="104">
        <v>7.0000000298023224E-2</v>
      </c>
      <c r="V35" s="103">
        <v>194</v>
      </c>
      <c r="W35" s="104">
        <v>9.0000003576278687E-2</v>
      </c>
      <c r="X35" t="s">
        <v>9</v>
      </c>
      <c r="Y35">
        <v>15</v>
      </c>
      <c r="Z35">
        <v>24</v>
      </c>
      <c r="AA35" s="104">
        <v>0.60000002384185791</v>
      </c>
      <c r="AB35" s="115">
        <v>0.54000002145767212</v>
      </c>
      <c r="AC35" s="104">
        <v>0.61000001430511475</v>
      </c>
      <c r="AD35" s="104">
        <v>0.50999999046325684</v>
      </c>
      <c r="AE35" s="110">
        <f>IF('Angioplasty Summary'!$R$4=2,Z35,IF('Angioplasty Summary'!$R$4=1,Y35))</f>
        <v>15</v>
      </c>
      <c r="AF35" s="52">
        <f>IF('Angioplasty Summary'!$R$4=2,AC35,IF('Angioplasty Summary'!$R$4=1,AA35))</f>
        <v>0.60000002384185791</v>
      </c>
      <c r="AG35" s="52">
        <f>IF('Angioplasty Summary'!$R$4=2,AD35,IF('Angioplasty Summary'!$R$4=1,AB35))</f>
        <v>0.54000002145767212</v>
      </c>
      <c r="AH35" s="67">
        <f t="shared" si="0"/>
        <v>0</v>
      </c>
      <c r="AI35" s="67">
        <f t="shared" si="1"/>
        <v>6.0000002384185791E-2</v>
      </c>
    </row>
    <row r="36" spans="1:35" x14ac:dyDescent="0.25">
      <c r="A36" t="s">
        <v>92</v>
      </c>
      <c r="B36" t="s">
        <v>93</v>
      </c>
      <c r="C36" s="101">
        <v>16</v>
      </c>
      <c r="D36" s="101">
        <v>8</v>
      </c>
      <c r="E36" s="101">
        <v>7</v>
      </c>
      <c r="F36" s="101">
        <v>1</v>
      </c>
      <c r="G36" s="102">
        <v>3.7106428295373917E-2</v>
      </c>
      <c r="H36" s="103" t="s">
        <v>346</v>
      </c>
      <c r="I36" s="103" t="s">
        <v>346</v>
      </c>
      <c r="J36" s="103" t="s">
        <v>433</v>
      </c>
      <c r="K36" s="104" t="s">
        <v>346</v>
      </c>
      <c r="L36" s="103" t="s">
        <v>433</v>
      </c>
      <c r="M36" s="104" t="s">
        <v>346</v>
      </c>
      <c r="N36" s="112" t="s">
        <v>433</v>
      </c>
      <c r="O36" s="112" t="s">
        <v>346</v>
      </c>
      <c r="P36" s="113" t="s">
        <v>346</v>
      </c>
      <c r="Q36" s="112" t="s">
        <v>433</v>
      </c>
      <c r="R36" s="105" t="s">
        <v>346</v>
      </c>
      <c r="S36" s="106" t="s">
        <v>346</v>
      </c>
      <c r="T36" s="103">
        <v>7</v>
      </c>
      <c r="U36" s="104">
        <v>0.14000000059604645</v>
      </c>
      <c r="V36" s="103" t="s">
        <v>345</v>
      </c>
      <c r="W36" s="104" t="s">
        <v>346</v>
      </c>
      <c r="X36" t="s">
        <v>92</v>
      </c>
      <c r="Y36" s="52" t="e">
        <v>#VALUE!</v>
      </c>
      <c r="Z36" s="52" t="e">
        <v>#VALUE!</v>
      </c>
      <c r="AA36" s="106" t="s">
        <v>346</v>
      </c>
      <c r="AB36" s="113" t="s">
        <v>346</v>
      </c>
      <c r="AC36" s="104" t="s">
        <v>346</v>
      </c>
      <c r="AD36" s="104" t="s">
        <v>346</v>
      </c>
      <c r="AE36" s="110" t="e">
        <f>IF('Angioplasty Summary'!$R$4=2,Z36,IF('Angioplasty Summary'!$R$4=1,Y36))</f>
        <v>#VALUE!</v>
      </c>
      <c r="AF36" s="52" t="str">
        <f>IF('Angioplasty Summary'!$R$4=2,AC36,IF('Angioplasty Summary'!$R$4=1,AA36))</f>
        <v>xx</v>
      </c>
      <c r="AG36" s="52" t="str">
        <f>IF('Angioplasty Summary'!$R$4=2,AD36,IF('Angioplasty Summary'!$R$4=1,AB36))</f>
        <v>xx</v>
      </c>
      <c r="AH36" s="67" t="e">
        <f t="shared" si="0"/>
        <v>#VALUE!</v>
      </c>
      <c r="AI36" s="67">
        <f t="shared" si="1"/>
        <v>0</v>
      </c>
    </row>
    <row r="37" spans="1:35" x14ac:dyDescent="0.25">
      <c r="A37" t="s">
        <v>19</v>
      </c>
      <c r="B37" t="s">
        <v>680</v>
      </c>
      <c r="C37" s="101">
        <v>328</v>
      </c>
      <c r="D37" s="101">
        <v>166</v>
      </c>
      <c r="E37" s="101">
        <v>113</v>
      </c>
      <c r="F37" s="101">
        <v>49</v>
      </c>
      <c r="G37" s="102">
        <v>0</v>
      </c>
      <c r="H37" s="103" t="s">
        <v>696</v>
      </c>
      <c r="I37" s="103" t="s">
        <v>270</v>
      </c>
      <c r="J37" s="103">
        <v>93</v>
      </c>
      <c r="K37" s="104">
        <v>0.44999998807907104</v>
      </c>
      <c r="L37" s="103">
        <v>39</v>
      </c>
      <c r="M37" s="104">
        <v>0.31000000238418579</v>
      </c>
      <c r="N37" s="114">
        <v>14</v>
      </c>
      <c r="O37" s="114" t="s">
        <v>672</v>
      </c>
      <c r="P37" s="115">
        <v>0.43000000715255737</v>
      </c>
      <c r="Q37" s="112" t="s">
        <v>433</v>
      </c>
      <c r="R37" s="105" t="s">
        <v>346</v>
      </c>
      <c r="S37" s="106" t="s">
        <v>346</v>
      </c>
      <c r="T37" s="103">
        <v>113</v>
      </c>
      <c r="U37" s="104">
        <v>0.11999999731779099</v>
      </c>
      <c r="V37" s="103">
        <v>49</v>
      </c>
      <c r="W37" s="104">
        <v>0.14000000059604645</v>
      </c>
      <c r="X37" t="s">
        <v>19</v>
      </c>
      <c r="Y37" s="52" t="e">
        <v>#VALUE!</v>
      </c>
      <c r="Z37">
        <v>43</v>
      </c>
      <c r="AA37" s="104" t="s">
        <v>346</v>
      </c>
      <c r="AB37" s="115" t="s">
        <v>346</v>
      </c>
      <c r="AC37" s="104">
        <v>0.31000000238418579</v>
      </c>
      <c r="AD37" s="104">
        <v>0.44999998807907104</v>
      </c>
      <c r="AE37" s="110" t="e">
        <f>IF('Angioplasty Summary'!$R$4=2,Z37,IF('Angioplasty Summary'!$R$4=1,Y37))</f>
        <v>#VALUE!</v>
      </c>
      <c r="AF37" s="52" t="str">
        <f>IF('Angioplasty Summary'!$R$4=2,AC37,IF('Angioplasty Summary'!$R$4=1,AA37))</f>
        <v>xx</v>
      </c>
      <c r="AG37" s="52" t="str">
        <f>IF('Angioplasty Summary'!$R$4=2,AD37,IF('Angioplasty Summary'!$R$4=1,AB37))</f>
        <v>xx</v>
      </c>
      <c r="AH37" s="67" t="e">
        <f t="shared" si="0"/>
        <v>#VALUE!</v>
      </c>
      <c r="AI37" s="67">
        <f t="shared" si="1"/>
        <v>0</v>
      </c>
    </row>
    <row r="38" spans="1:35" x14ac:dyDescent="0.25">
      <c r="A38" t="s">
        <v>143</v>
      </c>
      <c r="B38" t="s">
        <v>144</v>
      </c>
      <c r="C38" s="101">
        <v>153</v>
      </c>
      <c r="D38" s="101">
        <v>65</v>
      </c>
      <c r="E38" s="101">
        <v>62</v>
      </c>
      <c r="F38" s="101">
        <v>26</v>
      </c>
      <c r="G38" s="102">
        <v>0</v>
      </c>
      <c r="H38" s="103" t="s">
        <v>258</v>
      </c>
      <c r="I38" s="103" t="s">
        <v>261</v>
      </c>
      <c r="J38" s="103">
        <v>59</v>
      </c>
      <c r="K38" s="104">
        <v>0.82999998331069946</v>
      </c>
      <c r="L38" s="103">
        <v>23</v>
      </c>
      <c r="M38" s="104">
        <v>0.64999997615814209</v>
      </c>
      <c r="N38" s="112" t="s">
        <v>433</v>
      </c>
      <c r="O38" s="112" t="s">
        <v>346</v>
      </c>
      <c r="P38" s="113" t="s">
        <v>346</v>
      </c>
      <c r="Q38" s="112" t="s">
        <v>433</v>
      </c>
      <c r="R38" s="105" t="s">
        <v>346</v>
      </c>
      <c r="S38" s="106" t="s">
        <v>346</v>
      </c>
      <c r="T38" s="103">
        <v>60</v>
      </c>
      <c r="U38" s="104">
        <v>2.9999999329447746E-2</v>
      </c>
      <c r="V38" s="103">
        <v>26</v>
      </c>
      <c r="W38" s="104">
        <v>0.11999999731779099</v>
      </c>
      <c r="X38" t="s">
        <v>143</v>
      </c>
      <c r="Y38" s="52" t="e">
        <v>#VALUE!</v>
      </c>
      <c r="Z38">
        <v>20</v>
      </c>
      <c r="AA38" s="106" t="s">
        <v>346</v>
      </c>
      <c r="AB38" s="113" t="s">
        <v>346</v>
      </c>
      <c r="AC38" s="104">
        <v>0.64999997615814209</v>
      </c>
      <c r="AD38" s="104">
        <v>0.82999998331069946</v>
      </c>
      <c r="AE38" s="110" t="e">
        <f>IF('Angioplasty Summary'!$R$4=2,Z38,IF('Angioplasty Summary'!$R$4=1,Y38))</f>
        <v>#VALUE!</v>
      </c>
      <c r="AF38" s="52" t="str">
        <f>IF('Angioplasty Summary'!$R$4=2,AC38,IF('Angioplasty Summary'!$R$4=1,AA38))</f>
        <v>xx</v>
      </c>
      <c r="AG38" s="52" t="str">
        <f>IF('Angioplasty Summary'!$R$4=2,AD38,IF('Angioplasty Summary'!$R$4=1,AB38))</f>
        <v>xx</v>
      </c>
      <c r="AH38" s="67" t="e">
        <f t="shared" si="0"/>
        <v>#VALUE!</v>
      </c>
      <c r="AI38" s="67">
        <f t="shared" si="1"/>
        <v>0</v>
      </c>
    </row>
    <row r="39" spans="1:35" x14ac:dyDescent="0.25">
      <c r="A39" t="s">
        <v>253</v>
      </c>
      <c r="B39" t="s">
        <v>423</v>
      </c>
      <c r="C39" s="101">
        <v>62</v>
      </c>
      <c r="D39" s="101">
        <v>33</v>
      </c>
      <c r="E39" s="101">
        <v>22</v>
      </c>
      <c r="F39" s="101">
        <v>7</v>
      </c>
      <c r="G39" s="102">
        <v>0</v>
      </c>
      <c r="H39" s="103" t="s">
        <v>327</v>
      </c>
      <c r="I39" s="103" t="s">
        <v>346</v>
      </c>
      <c r="J39" s="103">
        <v>21</v>
      </c>
      <c r="K39" s="104">
        <v>0.47999998927116394</v>
      </c>
      <c r="L39" s="103" t="s">
        <v>433</v>
      </c>
      <c r="M39" s="104" t="s">
        <v>346</v>
      </c>
      <c r="N39" s="112" t="s">
        <v>433</v>
      </c>
      <c r="O39" s="112" t="s">
        <v>346</v>
      </c>
      <c r="P39" s="113" t="s">
        <v>346</v>
      </c>
      <c r="Q39" s="112" t="s">
        <v>433</v>
      </c>
      <c r="R39" s="105" t="s">
        <v>346</v>
      </c>
      <c r="S39" s="106" t="s">
        <v>346</v>
      </c>
      <c r="T39" s="103">
        <v>22</v>
      </c>
      <c r="U39" s="104">
        <v>5.000000074505806E-2</v>
      </c>
      <c r="V39" s="103">
        <v>7</v>
      </c>
      <c r="W39" s="104">
        <v>0</v>
      </c>
      <c r="X39" t="s">
        <v>253</v>
      </c>
      <c r="Y39" s="52" t="e">
        <v>#VALUE!</v>
      </c>
      <c r="Z39" s="52" t="e">
        <v>#VALUE!</v>
      </c>
      <c r="AA39" s="106" t="s">
        <v>346</v>
      </c>
      <c r="AB39" s="113" t="s">
        <v>346</v>
      </c>
      <c r="AC39" s="104" t="s">
        <v>346</v>
      </c>
      <c r="AD39" s="104" t="s">
        <v>346</v>
      </c>
      <c r="AE39" s="110" t="e">
        <f>IF('Angioplasty Summary'!$R$4=2,Z39,IF('Angioplasty Summary'!$R$4=1,Y39))</f>
        <v>#VALUE!</v>
      </c>
      <c r="AF39" s="52" t="str">
        <f>IF('Angioplasty Summary'!$R$4=2,AC39,IF('Angioplasty Summary'!$R$4=1,AA39))</f>
        <v>xx</v>
      </c>
      <c r="AG39" s="52" t="str">
        <f>IF('Angioplasty Summary'!$R$4=2,AD39,IF('Angioplasty Summary'!$R$4=1,AB39))</f>
        <v>xx</v>
      </c>
      <c r="AH39" s="67" t="e">
        <f t="shared" si="0"/>
        <v>#VALUE!</v>
      </c>
      <c r="AI39" s="67">
        <f t="shared" si="1"/>
        <v>0</v>
      </c>
    </row>
    <row r="40" spans="1:35" x14ac:dyDescent="0.25">
      <c r="A40" t="s">
        <v>110</v>
      </c>
      <c r="B40" t="s">
        <v>111</v>
      </c>
      <c r="C40" s="101">
        <v>615</v>
      </c>
      <c r="D40" s="101">
        <v>220</v>
      </c>
      <c r="E40" s="101">
        <v>177</v>
      </c>
      <c r="F40" s="101">
        <v>218</v>
      </c>
      <c r="G40" s="102">
        <v>2.4160344153642654E-2</v>
      </c>
      <c r="H40" s="103" t="s">
        <v>1055</v>
      </c>
      <c r="I40" s="103" t="s">
        <v>267</v>
      </c>
      <c r="J40" s="103">
        <v>124</v>
      </c>
      <c r="K40" s="104">
        <v>0.81000000238418579</v>
      </c>
      <c r="L40" s="103">
        <v>169</v>
      </c>
      <c r="M40" s="104">
        <v>0.75999999046325684</v>
      </c>
      <c r="N40" s="114">
        <v>44</v>
      </c>
      <c r="O40" s="114" t="s">
        <v>292</v>
      </c>
      <c r="P40" s="115">
        <v>0.56999999284744263</v>
      </c>
      <c r="Q40" s="114">
        <v>44</v>
      </c>
      <c r="R40" s="103" t="s">
        <v>741</v>
      </c>
      <c r="S40" s="104">
        <v>0.5899999737739563</v>
      </c>
      <c r="T40" s="103">
        <v>173</v>
      </c>
      <c r="U40" s="104">
        <v>0.10000000149011612</v>
      </c>
      <c r="V40" s="103">
        <v>212</v>
      </c>
      <c r="W40" s="104">
        <v>7.9999998211860657E-2</v>
      </c>
      <c r="X40" t="s">
        <v>110</v>
      </c>
      <c r="Y40">
        <v>17</v>
      </c>
      <c r="Z40">
        <v>12</v>
      </c>
      <c r="AA40" s="104">
        <v>0.5899999737739563</v>
      </c>
      <c r="AB40" s="115">
        <v>0.56999999284744263</v>
      </c>
      <c r="AC40" s="104">
        <v>0.75999999046325684</v>
      </c>
      <c r="AD40" s="104">
        <v>0.81000000238418579</v>
      </c>
      <c r="AE40" s="110">
        <f>IF('Angioplasty Summary'!$R$4=2,Z40,IF('Angioplasty Summary'!$R$4=1,Y40))</f>
        <v>17</v>
      </c>
      <c r="AF40" s="52">
        <f>IF('Angioplasty Summary'!$R$4=2,AC40,IF('Angioplasty Summary'!$R$4=1,AA40))</f>
        <v>0.5899999737739563</v>
      </c>
      <c r="AG40" s="52">
        <f>IF('Angioplasty Summary'!$R$4=2,AD40,IF('Angioplasty Summary'!$R$4=1,AB40))</f>
        <v>0.56999999284744263</v>
      </c>
      <c r="AH40" s="67">
        <f t="shared" si="0"/>
        <v>0</v>
      </c>
      <c r="AI40" s="67">
        <f t="shared" si="1"/>
        <v>1.9999980926513672E-2</v>
      </c>
    </row>
    <row r="41" spans="1:35" x14ac:dyDescent="0.25">
      <c r="A41" t="s">
        <v>155</v>
      </c>
      <c r="B41" t="s">
        <v>156</v>
      </c>
      <c r="C41" s="101">
        <v>0</v>
      </c>
      <c r="D41" s="101"/>
      <c r="E41" s="101"/>
      <c r="F41" s="101"/>
      <c r="G41" s="102"/>
      <c r="H41" s="103"/>
      <c r="I41" s="103"/>
      <c r="J41" s="103"/>
      <c r="K41" s="104"/>
      <c r="L41" s="103"/>
      <c r="M41" s="104"/>
      <c r="N41" s="114"/>
      <c r="O41" s="114"/>
      <c r="P41" s="115"/>
      <c r="Q41" s="114"/>
      <c r="R41" s="103"/>
      <c r="S41" s="104"/>
      <c r="T41" s="103"/>
      <c r="U41" s="104"/>
      <c r="V41" s="103"/>
      <c r="W41" s="104"/>
      <c r="X41" t="s">
        <v>155</v>
      </c>
      <c r="Y41" s="52" t="e">
        <v>#VALUE!</v>
      </c>
      <c r="Z41" s="52" t="e">
        <v>#VALUE!</v>
      </c>
      <c r="AA41" s="104" t="s">
        <v>346</v>
      </c>
      <c r="AB41" s="115" t="s">
        <v>346</v>
      </c>
      <c r="AC41" s="104" t="s">
        <v>346</v>
      </c>
      <c r="AD41" s="104" t="s">
        <v>346</v>
      </c>
      <c r="AE41" s="110" t="e">
        <f>IF('Angioplasty Summary'!$R$4=2,Z41,IF('Angioplasty Summary'!$R$4=1,Y41))</f>
        <v>#VALUE!</v>
      </c>
      <c r="AF41" s="52" t="str">
        <f>IF('Angioplasty Summary'!$R$4=2,AC41,IF('Angioplasty Summary'!$R$4=1,AA41))</f>
        <v>xx</v>
      </c>
      <c r="AG41" s="52" t="str">
        <f>IF('Angioplasty Summary'!$R$4=2,AD41,IF('Angioplasty Summary'!$R$4=1,AB41))</f>
        <v>xx</v>
      </c>
      <c r="AH41" s="67" t="e">
        <f t="shared" si="0"/>
        <v>#VALUE!</v>
      </c>
      <c r="AI41" s="67">
        <f t="shared" si="1"/>
        <v>0</v>
      </c>
    </row>
    <row r="42" spans="1:35" x14ac:dyDescent="0.25">
      <c r="A42" t="s">
        <v>157</v>
      </c>
      <c r="B42" t="s">
        <v>158</v>
      </c>
      <c r="C42" s="101">
        <v>0</v>
      </c>
      <c r="D42" s="101"/>
      <c r="E42" s="101"/>
      <c r="F42" s="101"/>
      <c r="G42" s="102"/>
      <c r="H42" s="103"/>
      <c r="I42" s="103"/>
      <c r="J42" s="103"/>
      <c r="K42" s="104"/>
      <c r="L42" s="103"/>
      <c r="M42" s="104"/>
      <c r="N42" s="114"/>
      <c r="O42" s="114"/>
      <c r="P42" s="115"/>
      <c r="Q42" s="114"/>
      <c r="R42" s="103"/>
      <c r="S42" s="104"/>
      <c r="T42" s="103"/>
      <c r="U42" s="104"/>
      <c r="V42" s="103"/>
      <c r="W42" s="104"/>
      <c r="X42" t="s">
        <v>157</v>
      </c>
      <c r="Y42" s="52" t="e">
        <v>#VALUE!</v>
      </c>
      <c r="Z42" s="52" t="e">
        <v>#VALUE!</v>
      </c>
      <c r="AA42" s="104" t="s">
        <v>346</v>
      </c>
      <c r="AB42" s="115" t="s">
        <v>346</v>
      </c>
      <c r="AC42" s="104" t="s">
        <v>346</v>
      </c>
      <c r="AD42" s="104" t="s">
        <v>346</v>
      </c>
      <c r="AE42" s="110" t="e">
        <f>IF('Angioplasty Summary'!$R$4=2,Z42,IF('Angioplasty Summary'!$R$4=1,Y42))</f>
        <v>#VALUE!</v>
      </c>
      <c r="AF42" s="52" t="str">
        <f>IF('Angioplasty Summary'!$R$4=2,AC42,IF('Angioplasty Summary'!$R$4=1,AA42))</f>
        <v>xx</v>
      </c>
      <c r="AG42" s="52" t="str">
        <f>IF('Angioplasty Summary'!$R$4=2,AD42,IF('Angioplasty Summary'!$R$4=1,AB42))</f>
        <v>xx</v>
      </c>
      <c r="AH42" s="67" t="e">
        <f t="shared" si="0"/>
        <v>#VALUE!</v>
      </c>
      <c r="AI42" s="67">
        <f t="shared" si="1"/>
        <v>0</v>
      </c>
    </row>
    <row r="43" spans="1:35" x14ac:dyDescent="0.25">
      <c r="A43" t="s">
        <v>171</v>
      </c>
      <c r="B43" t="s">
        <v>172</v>
      </c>
      <c r="C43" s="101">
        <v>108</v>
      </c>
      <c r="D43" s="101">
        <v>37</v>
      </c>
      <c r="E43" s="101">
        <v>37</v>
      </c>
      <c r="F43" s="101">
        <v>34</v>
      </c>
      <c r="G43" s="102">
        <v>1.7913196235895157E-2</v>
      </c>
      <c r="H43" s="103" t="s">
        <v>261</v>
      </c>
      <c r="I43" s="103" t="s">
        <v>258</v>
      </c>
      <c r="J43" s="103">
        <v>33</v>
      </c>
      <c r="K43" s="104">
        <v>0.67000001668930054</v>
      </c>
      <c r="L43" s="103">
        <v>33</v>
      </c>
      <c r="M43" s="104">
        <v>0.87999999523162842</v>
      </c>
      <c r="N43" s="112" t="s">
        <v>433</v>
      </c>
      <c r="O43" s="112" t="s">
        <v>346</v>
      </c>
      <c r="P43" s="113" t="s">
        <v>346</v>
      </c>
      <c r="Q43" s="112" t="s">
        <v>433</v>
      </c>
      <c r="R43" s="105" t="s">
        <v>346</v>
      </c>
      <c r="S43" s="106" t="s">
        <v>346</v>
      </c>
      <c r="T43" s="103">
        <v>37</v>
      </c>
      <c r="U43" s="104">
        <v>0.14000000059604645</v>
      </c>
      <c r="V43" s="103">
        <v>34</v>
      </c>
      <c r="W43" s="104">
        <v>0.11999999731779099</v>
      </c>
      <c r="X43" t="s">
        <v>171</v>
      </c>
      <c r="Y43" s="52" t="e">
        <v>#VALUE!</v>
      </c>
      <c r="Z43">
        <v>7</v>
      </c>
      <c r="AA43" s="106" t="s">
        <v>346</v>
      </c>
      <c r="AB43" s="113" t="s">
        <v>346</v>
      </c>
      <c r="AC43" s="104">
        <v>0.87999999523162842</v>
      </c>
      <c r="AD43" s="104">
        <v>0.67000001668930054</v>
      </c>
      <c r="AE43" s="110" t="e">
        <f>IF('Angioplasty Summary'!$R$4=2,Z43,IF('Angioplasty Summary'!$R$4=1,Y43))</f>
        <v>#VALUE!</v>
      </c>
      <c r="AF43" s="52" t="str">
        <f>IF('Angioplasty Summary'!$R$4=2,AC43,IF('Angioplasty Summary'!$R$4=1,AA43))</f>
        <v>xx</v>
      </c>
      <c r="AG43" s="52" t="str">
        <f>IF('Angioplasty Summary'!$R$4=2,AD43,IF('Angioplasty Summary'!$R$4=1,AB43))</f>
        <v>xx</v>
      </c>
      <c r="AH43" s="67" t="e">
        <f t="shared" si="0"/>
        <v>#VALUE!</v>
      </c>
      <c r="AI43" s="67">
        <f t="shared" si="1"/>
        <v>0</v>
      </c>
    </row>
    <row r="44" spans="1:35" x14ac:dyDescent="0.25">
      <c r="A44" t="s">
        <v>165</v>
      </c>
      <c r="B44" t="s">
        <v>166</v>
      </c>
      <c r="C44" s="101">
        <v>60</v>
      </c>
      <c r="D44" s="101">
        <v>16</v>
      </c>
      <c r="E44" s="101">
        <v>27</v>
      </c>
      <c r="F44" s="101">
        <v>17</v>
      </c>
      <c r="G44" s="102">
        <v>1.7712939530611038E-2</v>
      </c>
      <c r="H44" s="103" t="s">
        <v>261</v>
      </c>
      <c r="I44" s="103" t="s">
        <v>259</v>
      </c>
      <c r="J44" s="103">
        <v>17</v>
      </c>
      <c r="K44" s="104">
        <v>1</v>
      </c>
      <c r="L44" s="103" t="s">
        <v>433</v>
      </c>
      <c r="M44" s="104" t="s">
        <v>346</v>
      </c>
      <c r="N44" s="114">
        <v>10</v>
      </c>
      <c r="O44" s="114" t="s">
        <v>258</v>
      </c>
      <c r="P44" s="115">
        <v>0.89999997615814209</v>
      </c>
      <c r="Q44" s="112" t="s">
        <v>433</v>
      </c>
      <c r="R44" s="105" t="s">
        <v>346</v>
      </c>
      <c r="S44" s="106" t="s">
        <v>346</v>
      </c>
      <c r="T44" s="103">
        <v>26</v>
      </c>
      <c r="U44" s="104">
        <v>3.9999999105930328E-2</v>
      </c>
      <c r="V44" s="103">
        <v>17</v>
      </c>
      <c r="W44" s="104">
        <v>5.9999998658895493E-2</v>
      </c>
      <c r="X44" t="s">
        <v>165</v>
      </c>
      <c r="Y44" s="52" t="e">
        <v>#VALUE!</v>
      </c>
      <c r="Z44" s="52" t="e">
        <v>#VALUE!</v>
      </c>
      <c r="AA44" s="104" t="s">
        <v>346</v>
      </c>
      <c r="AB44" s="115" t="s">
        <v>346</v>
      </c>
      <c r="AC44" s="104" t="s">
        <v>346</v>
      </c>
      <c r="AD44" s="104" t="s">
        <v>346</v>
      </c>
      <c r="AE44" s="110" t="e">
        <f>IF('Angioplasty Summary'!$R$4=2,Z44,IF('Angioplasty Summary'!$R$4=1,Y44))</f>
        <v>#VALUE!</v>
      </c>
      <c r="AF44" s="52" t="str">
        <f>IF('Angioplasty Summary'!$R$4=2,AC44,IF('Angioplasty Summary'!$R$4=1,AA44))</f>
        <v>xx</v>
      </c>
      <c r="AG44" s="52" t="str">
        <f>IF('Angioplasty Summary'!$R$4=2,AD44,IF('Angioplasty Summary'!$R$4=1,AB44))</f>
        <v>xx</v>
      </c>
      <c r="AH44" s="67" t="e">
        <f t="shared" si="0"/>
        <v>#VALUE!</v>
      </c>
      <c r="AI44" s="67">
        <f t="shared" si="1"/>
        <v>0</v>
      </c>
    </row>
    <row r="45" spans="1:35" x14ac:dyDescent="0.25">
      <c r="A45" t="s">
        <v>159</v>
      </c>
      <c r="B45" t="s">
        <v>160</v>
      </c>
      <c r="C45" s="101">
        <v>30</v>
      </c>
      <c r="D45" s="101">
        <v>28</v>
      </c>
      <c r="E45" s="101">
        <v>0</v>
      </c>
      <c r="F45" s="101">
        <v>2</v>
      </c>
      <c r="G45" s="102">
        <v>0</v>
      </c>
      <c r="H45" s="103" t="s">
        <v>346</v>
      </c>
      <c r="I45" s="103" t="s">
        <v>346</v>
      </c>
      <c r="J45" s="103" t="s">
        <v>433</v>
      </c>
      <c r="K45" s="104" t="s">
        <v>346</v>
      </c>
      <c r="L45" s="103" t="s">
        <v>433</v>
      </c>
      <c r="M45" s="104" t="s">
        <v>346</v>
      </c>
      <c r="N45" s="112" t="s">
        <v>433</v>
      </c>
      <c r="O45" s="112" t="s">
        <v>346</v>
      </c>
      <c r="P45" s="113" t="s">
        <v>346</v>
      </c>
      <c r="Q45" s="112" t="s">
        <v>433</v>
      </c>
      <c r="R45" s="105" t="s">
        <v>346</v>
      </c>
      <c r="S45" s="106" t="s">
        <v>346</v>
      </c>
      <c r="T45" s="103" t="s">
        <v>345</v>
      </c>
      <c r="U45" s="104" t="s">
        <v>346</v>
      </c>
      <c r="V45" s="103" t="s">
        <v>345</v>
      </c>
      <c r="W45" s="104" t="s">
        <v>346</v>
      </c>
      <c r="X45" t="s">
        <v>159</v>
      </c>
      <c r="Y45" s="52" t="e">
        <v>#VALUE!</v>
      </c>
      <c r="Z45" s="52" t="e">
        <v>#VALUE!</v>
      </c>
      <c r="AA45" s="106" t="s">
        <v>346</v>
      </c>
      <c r="AB45" s="113" t="s">
        <v>346</v>
      </c>
      <c r="AC45" s="104" t="s">
        <v>346</v>
      </c>
      <c r="AD45" s="104" t="s">
        <v>346</v>
      </c>
      <c r="AE45" s="110" t="e">
        <f>IF('Angioplasty Summary'!$R$4=2,Z45,IF('Angioplasty Summary'!$R$4=1,Y45))</f>
        <v>#VALUE!</v>
      </c>
      <c r="AF45" s="52" t="str">
        <f>IF('Angioplasty Summary'!$R$4=2,AC45,IF('Angioplasty Summary'!$R$4=1,AA45))</f>
        <v>xx</v>
      </c>
      <c r="AG45" s="52" t="str">
        <f>IF('Angioplasty Summary'!$R$4=2,AD45,IF('Angioplasty Summary'!$R$4=1,AB45))</f>
        <v>xx</v>
      </c>
      <c r="AH45" s="67" t="e">
        <f t="shared" si="0"/>
        <v>#VALUE!</v>
      </c>
      <c r="AI45" s="67">
        <f t="shared" si="1"/>
        <v>0</v>
      </c>
    </row>
    <row r="46" spans="1:35" x14ac:dyDescent="0.25">
      <c r="A46" t="s">
        <v>167</v>
      </c>
      <c r="B46" t="s">
        <v>168</v>
      </c>
      <c r="C46" s="101">
        <v>0</v>
      </c>
      <c r="D46" s="101"/>
      <c r="E46" s="101"/>
      <c r="F46" s="101"/>
      <c r="G46" s="102"/>
      <c r="H46" s="103"/>
      <c r="I46" s="103"/>
      <c r="J46" s="103"/>
      <c r="K46" s="104"/>
      <c r="L46" s="103"/>
      <c r="M46" s="104"/>
      <c r="N46" s="114"/>
      <c r="O46" s="114"/>
      <c r="P46" s="115"/>
      <c r="Q46" s="112"/>
      <c r="R46" s="105"/>
      <c r="S46" s="106"/>
      <c r="T46" s="103"/>
      <c r="U46" s="104"/>
      <c r="V46" s="103"/>
      <c r="W46" s="104"/>
      <c r="X46" t="s">
        <v>167</v>
      </c>
      <c r="Y46" s="52" t="e">
        <v>#VALUE!</v>
      </c>
      <c r="Z46" s="52" t="e">
        <v>#VALUE!</v>
      </c>
      <c r="AA46" s="104" t="s">
        <v>346</v>
      </c>
      <c r="AB46" s="115" t="s">
        <v>346</v>
      </c>
      <c r="AC46" s="104" t="s">
        <v>346</v>
      </c>
      <c r="AD46" s="104" t="s">
        <v>346</v>
      </c>
      <c r="AE46" s="110" t="e">
        <f>IF('Angioplasty Summary'!$R$4=2,Z46,IF('Angioplasty Summary'!$R$4=1,Y46))</f>
        <v>#VALUE!</v>
      </c>
      <c r="AF46" s="52" t="str">
        <f>IF('Angioplasty Summary'!$R$4=2,AC46,IF('Angioplasty Summary'!$R$4=1,AA46))</f>
        <v>xx</v>
      </c>
      <c r="AG46" s="52" t="str">
        <f>IF('Angioplasty Summary'!$R$4=2,AD46,IF('Angioplasty Summary'!$R$4=1,AB46))</f>
        <v>xx</v>
      </c>
      <c r="AH46" s="67" t="e">
        <f t="shared" si="0"/>
        <v>#VALUE!</v>
      </c>
      <c r="AI46" s="67">
        <f t="shared" si="1"/>
        <v>0</v>
      </c>
    </row>
    <row r="47" spans="1:35" x14ac:dyDescent="0.25">
      <c r="A47" t="s">
        <v>169</v>
      </c>
      <c r="B47" t="s">
        <v>170</v>
      </c>
      <c r="C47" s="101">
        <v>1</v>
      </c>
      <c r="D47" s="101">
        <v>0</v>
      </c>
      <c r="E47" s="101">
        <v>1</v>
      </c>
      <c r="F47" s="101">
        <v>0</v>
      </c>
      <c r="G47" s="102" t="s">
        <v>346</v>
      </c>
      <c r="H47" s="103" t="s">
        <v>346</v>
      </c>
      <c r="I47" s="103" t="s">
        <v>346</v>
      </c>
      <c r="J47" s="103" t="s">
        <v>433</v>
      </c>
      <c r="K47" s="104" t="s">
        <v>346</v>
      </c>
      <c r="L47" s="103" t="s">
        <v>433</v>
      </c>
      <c r="M47" s="104" t="s">
        <v>346</v>
      </c>
      <c r="N47" s="112" t="s">
        <v>433</v>
      </c>
      <c r="O47" s="112" t="s">
        <v>346</v>
      </c>
      <c r="P47" s="113" t="s">
        <v>346</v>
      </c>
      <c r="Q47" s="112" t="s">
        <v>433</v>
      </c>
      <c r="R47" s="105" t="s">
        <v>346</v>
      </c>
      <c r="S47" s="106" t="s">
        <v>346</v>
      </c>
      <c r="T47" s="103" t="s">
        <v>345</v>
      </c>
      <c r="U47" s="104" t="s">
        <v>346</v>
      </c>
      <c r="V47" s="103" t="s">
        <v>345</v>
      </c>
      <c r="W47" s="104" t="s">
        <v>346</v>
      </c>
      <c r="X47" t="s">
        <v>169</v>
      </c>
      <c r="Y47" s="52" t="e">
        <v>#VALUE!</v>
      </c>
      <c r="Z47" s="52" t="e">
        <v>#VALUE!</v>
      </c>
      <c r="AA47" s="106" t="s">
        <v>346</v>
      </c>
      <c r="AB47" s="113" t="s">
        <v>346</v>
      </c>
      <c r="AC47" s="104" t="s">
        <v>346</v>
      </c>
      <c r="AD47" s="104" t="s">
        <v>346</v>
      </c>
      <c r="AE47" s="110" t="e">
        <f>IF('Angioplasty Summary'!$R$4=2,Z47,IF('Angioplasty Summary'!$R$4=1,Y47))</f>
        <v>#VALUE!</v>
      </c>
      <c r="AF47" s="52" t="str">
        <f>IF('Angioplasty Summary'!$R$4=2,AC47,IF('Angioplasty Summary'!$R$4=1,AA47))</f>
        <v>xx</v>
      </c>
      <c r="AG47" s="52" t="str">
        <f>IF('Angioplasty Summary'!$R$4=2,AD47,IF('Angioplasty Summary'!$R$4=1,AB47))</f>
        <v>xx</v>
      </c>
      <c r="AH47" s="67" t="e">
        <f t="shared" si="0"/>
        <v>#VALUE!</v>
      </c>
      <c r="AI47" s="67">
        <f t="shared" si="1"/>
        <v>0</v>
      </c>
    </row>
    <row r="48" spans="1:35" x14ac:dyDescent="0.25">
      <c r="A48" t="s">
        <v>80</v>
      </c>
      <c r="B48" t="s">
        <v>81</v>
      </c>
      <c r="C48" s="101">
        <v>8</v>
      </c>
      <c r="D48" s="101">
        <v>3</v>
      </c>
      <c r="E48" s="101">
        <v>3</v>
      </c>
      <c r="F48" s="101">
        <v>2</v>
      </c>
      <c r="G48" s="102" t="s">
        <v>346</v>
      </c>
      <c r="H48" s="103" t="s">
        <v>346</v>
      </c>
      <c r="I48" s="103" t="s">
        <v>346</v>
      </c>
      <c r="J48" s="103" t="s">
        <v>433</v>
      </c>
      <c r="K48" s="104" t="s">
        <v>346</v>
      </c>
      <c r="L48" s="103" t="s">
        <v>433</v>
      </c>
      <c r="M48" s="104" t="s">
        <v>346</v>
      </c>
      <c r="N48" s="112" t="s">
        <v>433</v>
      </c>
      <c r="O48" s="112" t="s">
        <v>346</v>
      </c>
      <c r="P48" s="113" t="s">
        <v>346</v>
      </c>
      <c r="Q48" s="112" t="s">
        <v>433</v>
      </c>
      <c r="R48" s="105" t="s">
        <v>346</v>
      </c>
      <c r="S48" s="106" t="s">
        <v>346</v>
      </c>
      <c r="T48" s="103" t="s">
        <v>345</v>
      </c>
      <c r="U48" s="104" t="s">
        <v>346</v>
      </c>
      <c r="V48" s="103" t="s">
        <v>345</v>
      </c>
      <c r="W48" s="104" t="s">
        <v>346</v>
      </c>
      <c r="X48" t="s">
        <v>80</v>
      </c>
      <c r="Y48" s="52" t="e">
        <v>#VALUE!</v>
      </c>
      <c r="Z48" s="52" t="e">
        <v>#VALUE!</v>
      </c>
      <c r="AA48" s="106" t="s">
        <v>346</v>
      </c>
      <c r="AB48" s="113" t="s">
        <v>346</v>
      </c>
      <c r="AC48" s="104" t="s">
        <v>346</v>
      </c>
      <c r="AD48" s="104" t="s">
        <v>346</v>
      </c>
      <c r="AE48" s="110" t="e">
        <f>IF('Angioplasty Summary'!$R$4=2,Z48,IF('Angioplasty Summary'!$R$4=1,Y48))</f>
        <v>#VALUE!</v>
      </c>
      <c r="AF48" s="52" t="str">
        <f>IF('Angioplasty Summary'!$R$4=2,AC48,IF('Angioplasty Summary'!$R$4=1,AA48))</f>
        <v>xx</v>
      </c>
      <c r="AG48" s="52" t="str">
        <f>IF('Angioplasty Summary'!$R$4=2,AD48,IF('Angioplasty Summary'!$R$4=1,AB48))</f>
        <v>xx</v>
      </c>
      <c r="AH48" s="67" t="e">
        <f t="shared" si="0"/>
        <v>#VALUE!</v>
      </c>
      <c r="AI48" s="67">
        <f t="shared" si="1"/>
        <v>0</v>
      </c>
    </row>
    <row r="49" spans="1:35" x14ac:dyDescent="0.25">
      <c r="A49" t="s">
        <v>121</v>
      </c>
      <c r="B49" t="s">
        <v>122</v>
      </c>
      <c r="C49" s="101">
        <v>537</v>
      </c>
      <c r="D49" s="101">
        <v>101</v>
      </c>
      <c r="E49" s="101">
        <v>230</v>
      </c>
      <c r="F49" s="101">
        <v>206</v>
      </c>
      <c r="G49" s="102">
        <v>8.3117838948965073E-3</v>
      </c>
      <c r="H49" s="103" t="s">
        <v>266</v>
      </c>
      <c r="I49" s="103" t="s">
        <v>275</v>
      </c>
      <c r="J49" s="103">
        <v>142</v>
      </c>
      <c r="K49" s="104">
        <v>0.62999999523162842</v>
      </c>
      <c r="L49" s="103">
        <v>120</v>
      </c>
      <c r="M49" s="104">
        <v>0.72000002861022949</v>
      </c>
      <c r="N49" s="114">
        <v>82</v>
      </c>
      <c r="O49" s="114" t="s">
        <v>282</v>
      </c>
      <c r="P49" s="115">
        <v>0.5899999737739563</v>
      </c>
      <c r="Q49" s="114">
        <v>81</v>
      </c>
      <c r="R49" s="103" t="s">
        <v>211</v>
      </c>
      <c r="S49" s="104">
        <v>0.72000002861022949</v>
      </c>
      <c r="T49" s="103">
        <v>227</v>
      </c>
      <c r="U49" s="104">
        <v>7.9999998211860657E-2</v>
      </c>
      <c r="V49" s="103">
        <v>204</v>
      </c>
      <c r="W49" s="104">
        <v>9.0000003576278687E-2</v>
      </c>
      <c r="X49" t="s">
        <v>121</v>
      </c>
      <c r="Y49">
        <v>4</v>
      </c>
      <c r="Z49">
        <v>17</v>
      </c>
      <c r="AA49" s="104">
        <v>0.72000002861022949</v>
      </c>
      <c r="AB49" s="115">
        <v>0.5899999737739563</v>
      </c>
      <c r="AC49" s="104">
        <v>0.72000002861022949</v>
      </c>
      <c r="AD49" s="104">
        <v>0.62999999523162842</v>
      </c>
      <c r="AE49" s="110">
        <f>IF('Angioplasty Summary'!$R$4=2,Z49,IF('Angioplasty Summary'!$R$4=1,Y49))</f>
        <v>4</v>
      </c>
      <c r="AF49" s="52">
        <f>IF('Angioplasty Summary'!$R$4=2,AC49,IF('Angioplasty Summary'!$R$4=1,AA49))</f>
        <v>0.72000002861022949</v>
      </c>
      <c r="AG49" s="52">
        <f>IF('Angioplasty Summary'!$R$4=2,AD49,IF('Angioplasty Summary'!$R$4=1,AB49))</f>
        <v>0.5899999737739563</v>
      </c>
      <c r="AH49" s="67">
        <f t="shared" si="0"/>
        <v>0</v>
      </c>
      <c r="AI49" s="67">
        <f t="shared" si="1"/>
        <v>0.13000005483627319</v>
      </c>
    </row>
    <row r="50" spans="1:35" x14ac:dyDescent="0.25">
      <c r="A50" t="s">
        <v>86</v>
      </c>
      <c r="B50" t="s">
        <v>694</v>
      </c>
      <c r="C50" s="101">
        <v>589</v>
      </c>
      <c r="D50" s="101">
        <v>199</v>
      </c>
      <c r="E50" s="101">
        <v>205</v>
      </c>
      <c r="F50" s="101">
        <v>185</v>
      </c>
      <c r="G50" s="102">
        <v>1.8135169520974159E-2</v>
      </c>
      <c r="H50" s="103" t="s">
        <v>259</v>
      </c>
      <c r="I50" s="103" t="s">
        <v>262</v>
      </c>
      <c r="J50" s="103">
        <v>152</v>
      </c>
      <c r="K50" s="104">
        <v>0.8399999737739563</v>
      </c>
      <c r="L50" s="103">
        <v>133</v>
      </c>
      <c r="M50" s="104">
        <v>0.87999999523162842</v>
      </c>
      <c r="N50" s="114">
        <v>29</v>
      </c>
      <c r="O50" s="114" t="s">
        <v>290</v>
      </c>
      <c r="P50" s="115">
        <v>0.55000001192092896</v>
      </c>
      <c r="Q50" s="114">
        <v>32</v>
      </c>
      <c r="R50" s="103" t="s">
        <v>277</v>
      </c>
      <c r="S50" s="104">
        <v>0.5899999737739563</v>
      </c>
      <c r="T50" s="103">
        <v>199</v>
      </c>
      <c r="U50" s="104">
        <v>0.15000000596046448</v>
      </c>
      <c r="V50" s="103">
        <v>183</v>
      </c>
      <c r="W50" s="104">
        <v>0.15000000596046448</v>
      </c>
      <c r="X50" t="s">
        <v>86</v>
      </c>
      <c r="Y50">
        <v>18</v>
      </c>
      <c r="Z50">
        <v>8</v>
      </c>
      <c r="AA50" s="104">
        <v>0.5899999737739563</v>
      </c>
      <c r="AB50" s="115">
        <v>0.55000001192092896</v>
      </c>
      <c r="AC50" s="104">
        <v>0.87999999523162842</v>
      </c>
      <c r="AD50" s="104">
        <v>0.8399999737739563</v>
      </c>
      <c r="AE50" s="110">
        <f>IF('Angioplasty Summary'!$R$4=2,Z50,IF('Angioplasty Summary'!$R$4=1,Y50))</f>
        <v>18</v>
      </c>
      <c r="AF50" s="52">
        <f>IF('Angioplasty Summary'!$R$4=2,AC50,IF('Angioplasty Summary'!$R$4=1,AA50))</f>
        <v>0.5899999737739563</v>
      </c>
      <c r="AG50" s="52">
        <f>IF('Angioplasty Summary'!$R$4=2,AD50,IF('Angioplasty Summary'!$R$4=1,AB50))</f>
        <v>0.55000001192092896</v>
      </c>
      <c r="AH50" s="67">
        <f t="shared" si="0"/>
        <v>0</v>
      </c>
      <c r="AI50" s="67">
        <f t="shared" si="1"/>
        <v>3.9999961853027344E-2</v>
      </c>
    </row>
    <row r="51" spans="1:35" x14ac:dyDescent="0.25">
      <c r="A51" t="s">
        <v>47</v>
      </c>
      <c r="B51" t="s">
        <v>48</v>
      </c>
      <c r="C51" s="101">
        <v>1</v>
      </c>
      <c r="D51" s="101">
        <v>0</v>
      </c>
      <c r="E51" s="101">
        <v>0</v>
      </c>
      <c r="F51" s="101">
        <v>1</v>
      </c>
      <c r="G51" s="102" t="s">
        <v>346</v>
      </c>
      <c r="H51" s="103" t="s">
        <v>346</v>
      </c>
      <c r="I51" s="103" t="s">
        <v>346</v>
      </c>
      <c r="J51" s="103" t="s">
        <v>433</v>
      </c>
      <c r="K51" s="104" t="s">
        <v>346</v>
      </c>
      <c r="L51" s="103" t="s">
        <v>433</v>
      </c>
      <c r="M51" s="104" t="s">
        <v>346</v>
      </c>
      <c r="N51" s="112" t="s">
        <v>433</v>
      </c>
      <c r="O51" s="112" t="s">
        <v>346</v>
      </c>
      <c r="P51" s="113" t="s">
        <v>346</v>
      </c>
      <c r="Q51" s="112" t="s">
        <v>433</v>
      </c>
      <c r="R51" s="105" t="s">
        <v>346</v>
      </c>
      <c r="S51" s="106" t="s">
        <v>346</v>
      </c>
      <c r="T51" s="103" t="s">
        <v>345</v>
      </c>
      <c r="U51" s="104" t="s">
        <v>346</v>
      </c>
      <c r="V51" s="103" t="s">
        <v>345</v>
      </c>
      <c r="W51" s="104" t="s">
        <v>346</v>
      </c>
      <c r="X51" t="s">
        <v>47</v>
      </c>
      <c r="Y51" s="52" t="e">
        <v>#VALUE!</v>
      </c>
      <c r="Z51" s="52" t="e">
        <v>#VALUE!</v>
      </c>
      <c r="AA51" s="106" t="s">
        <v>346</v>
      </c>
      <c r="AB51" s="113" t="s">
        <v>346</v>
      </c>
      <c r="AC51" s="104" t="s">
        <v>346</v>
      </c>
      <c r="AD51" s="104" t="s">
        <v>346</v>
      </c>
      <c r="AE51" s="110" t="e">
        <f>IF('Angioplasty Summary'!$R$4=2,Z51,IF('Angioplasty Summary'!$R$4=1,Y51))</f>
        <v>#VALUE!</v>
      </c>
      <c r="AF51" s="52" t="str">
        <f>IF('Angioplasty Summary'!$R$4=2,AC51,IF('Angioplasty Summary'!$R$4=1,AA51))</f>
        <v>xx</v>
      </c>
      <c r="AG51" s="52" t="str">
        <f>IF('Angioplasty Summary'!$R$4=2,AD51,IF('Angioplasty Summary'!$R$4=1,AB51))</f>
        <v>xx</v>
      </c>
      <c r="AH51" s="67" t="e">
        <f t="shared" si="0"/>
        <v>#VALUE!</v>
      </c>
      <c r="AI51" s="67">
        <f t="shared" si="1"/>
        <v>0</v>
      </c>
    </row>
    <row r="52" spans="1:35" x14ac:dyDescent="0.25">
      <c r="A52" t="s">
        <v>88</v>
      </c>
      <c r="B52" t="s">
        <v>89</v>
      </c>
      <c r="C52" s="101">
        <v>12</v>
      </c>
      <c r="D52" s="101">
        <v>0</v>
      </c>
      <c r="E52" s="101">
        <v>0</v>
      </c>
      <c r="F52" s="101">
        <v>12</v>
      </c>
      <c r="G52" s="102">
        <v>0</v>
      </c>
      <c r="H52" s="103" t="s">
        <v>346</v>
      </c>
      <c r="I52" s="103" t="s">
        <v>267</v>
      </c>
      <c r="J52" s="103" t="s">
        <v>433</v>
      </c>
      <c r="K52" s="104" t="s">
        <v>346</v>
      </c>
      <c r="L52" s="103">
        <v>10</v>
      </c>
      <c r="M52" s="104">
        <v>0.80000001192092896</v>
      </c>
      <c r="N52" s="112" t="s">
        <v>433</v>
      </c>
      <c r="O52" s="112" t="s">
        <v>346</v>
      </c>
      <c r="P52" s="113" t="s">
        <v>346</v>
      </c>
      <c r="Q52" s="112" t="s">
        <v>433</v>
      </c>
      <c r="R52" s="105" t="s">
        <v>346</v>
      </c>
      <c r="S52" s="106" t="s">
        <v>346</v>
      </c>
      <c r="T52" s="103" t="s">
        <v>345</v>
      </c>
      <c r="U52" s="104" t="s">
        <v>346</v>
      </c>
      <c r="V52" s="103">
        <v>12</v>
      </c>
      <c r="W52" s="104">
        <v>0</v>
      </c>
      <c r="X52" t="s">
        <v>88</v>
      </c>
      <c r="Y52" s="52" t="e">
        <v>#VALUE!</v>
      </c>
      <c r="Z52" s="52" t="e">
        <v>#VALUE!</v>
      </c>
      <c r="AA52" s="106" t="s">
        <v>346</v>
      </c>
      <c r="AB52" s="113" t="s">
        <v>346</v>
      </c>
      <c r="AC52" s="104" t="s">
        <v>346</v>
      </c>
      <c r="AD52" s="104" t="s">
        <v>346</v>
      </c>
      <c r="AE52" s="110" t="e">
        <f>IF('Angioplasty Summary'!$R$4=2,Z52,IF('Angioplasty Summary'!$R$4=1,Y52))</f>
        <v>#VALUE!</v>
      </c>
      <c r="AF52" s="52" t="str">
        <f>IF('Angioplasty Summary'!$R$4=2,AC52,IF('Angioplasty Summary'!$R$4=1,AA52))</f>
        <v>xx</v>
      </c>
      <c r="AG52" s="52" t="str">
        <f>IF('Angioplasty Summary'!$R$4=2,AD52,IF('Angioplasty Summary'!$R$4=1,AB52))</f>
        <v>xx</v>
      </c>
      <c r="AH52" s="67" t="e">
        <f t="shared" si="0"/>
        <v>#VALUE!</v>
      </c>
      <c r="AI52" s="67">
        <f t="shared" si="1"/>
        <v>0</v>
      </c>
    </row>
    <row r="53" spans="1:35" x14ac:dyDescent="0.25">
      <c r="A53" t="s">
        <v>29</v>
      </c>
      <c r="B53" t="s">
        <v>30</v>
      </c>
      <c r="C53" s="101">
        <v>0</v>
      </c>
      <c r="D53" s="101"/>
      <c r="E53" s="101"/>
      <c r="F53" s="101"/>
      <c r="G53" s="102"/>
      <c r="H53" s="103"/>
      <c r="I53" s="103"/>
      <c r="J53" s="103"/>
      <c r="K53" s="104"/>
      <c r="L53" s="103"/>
      <c r="M53" s="104"/>
      <c r="N53" s="112"/>
      <c r="O53" s="112"/>
      <c r="P53" s="113"/>
      <c r="Q53" s="112"/>
      <c r="R53" s="105"/>
      <c r="S53" s="106"/>
      <c r="T53" s="103"/>
      <c r="U53" s="104"/>
      <c r="V53" s="103"/>
      <c r="W53" s="104"/>
      <c r="X53" t="s">
        <v>29</v>
      </c>
      <c r="Y53" s="52" t="e">
        <v>#VALUE!</v>
      </c>
      <c r="Z53" s="52" t="e">
        <v>#VALUE!</v>
      </c>
      <c r="AA53" s="104" t="s">
        <v>346</v>
      </c>
      <c r="AB53" s="115" t="s">
        <v>346</v>
      </c>
      <c r="AC53" s="104" t="s">
        <v>346</v>
      </c>
      <c r="AD53" s="104" t="s">
        <v>346</v>
      </c>
      <c r="AE53" s="110" t="e">
        <f>IF('Angioplasty Summary'!$R$4=2,Z53,IF('Angioplasty Summary'!$R$4=1,Y53))</f>
        <v>#VALUE!</v>
      </c>
      <c r="AF53" s="52" t="str">
        <f>IF('Angioplasty Summary'!$R$4=2,AC53,IF('Angioplasty Summary'!$R$4=1,AA53))</f>
        <v>xx</v>
      </c>
      <c r="AG53" s="52" t="str">
        <f>IF('Angioplasty Summary'!$R$4=2,AD53,IF('Angioplasty Summary'!$R$4=1,AB53))</f>
        <v>xx</v>
      </c>
      <c r="AH53" s="67" t="e">
        <f t="shared" si="0"/>
        <v>#VALUE!</v>
      </c>
      <c r="AI53" s="67">
        <f t="shared" si="1"/>
        <v>0</v>
      </c>
    </row>
    <row r="54" spans="1:35" x14ac:dyDescent="0.25">
      <c r="A54" t="s">
        <v>115</v>
      </c>
      <c r="B54" t="s">
        <v>424</v>
      </c>
      <c r="C54" s="101">
        <v>197</v>
      </c>
      <c r="D54" s="101">
        <v>55</v>
      </c>
      <c r="E54" s="101">
        <v>124</v>
      </c>
      <c r="F54" s="101">
        <v>18</v>
      </c>
      <c r="G54" s="102">
        <v>1.4422264881432056E-2</v>
      </c>
      <c r="H54" s="103" t="s">
        <v>260</v>
      </c>
      <c r="I54" s="103" t="s">
        <v>265</v>
      </c>
      <c r="J54" s="103">
        <v>102</v>
      </c>
      <c r="K54" s="104">
        <v>0.60000002384185791</v>
      </c>
      <c r="L54" s="103">
        <v>15</v>
      </c>
      <c r="M54" s="104">
        <v>0.33000001311302185</v>
      </c>
      <c r="N54" s="114">
        <v>19</v>
      </c>
      <c r="O54" s="114" t="s">
        <v>299</v>
      </c>
      <c r="P54" s="115">
        <v>0.68000000715255737</v>
      </c>
      <c r="Q54" s="112" t="s">
        <v>433</v>
      </c>
      <c r="R54" s="105" t="s">
        <v>346</v>
      </c>
      <c r="S54" s="106" t="s">
        <v>346</v>
      </c>
      <c r="T54" s="103">
        <v>124</v>
      </c>
      <c r="U54" s="104">
        <v>0.15000000596046448</v>
      </c>
      <c r="V54" s="103">
        <v>18</v>
      </c>
      <c r="W54" s="104">
        <v>0.17000000178813934</v>
      </c>
      <c r="X54" t="s">
        <v>115</v>
      </c>
      <c r="Y54" s="52" t="e">
        <v>#VALUE!</v>
      </c>
      <c r="Z54">
        <v>42</v>
      </c>
      <c r="AA54" s="104" t="s">
        <v>346</v>
      </c>
      <c r="AB54" s="115" t="s">
        <v>346</v>
      </c>
      <c r="AC54" s="104">
        <v>0.33000001311302185</v>
      </c>
      <c r="AD54" s="104">
        <v>0.60000002384185791</v>
      </c>
      <c r="AE54" s="110" t="e">
        <f>IF('Angioplasty Summary'!$R$4=2,Z54,IF('Angioplasty Summary'!$R$4=1,Y54))</f>
        <v>#VALUE!</v>
      </c>
      <c r="AF54" s="52" t="str">
        <f>IF('Angioplasty Summary'!$R$4=2,AC54,IF('Angioplasty Summary'!$R$4=1,AA54))</f>
        <v>xx</v>
      </c>
      <c r="AG54" s="52" t="str">
        <f>IF('Angioplasty Summary'!$R$4=2,AD54,IF('Angioplasty Summary'!$R$4=1,AB54))</f>
        <v>xx</v>
      </c>
      <c r="AH54" s="67" t="e">
        <f t="shared" si="0"/>
        <v>#VALUE!</v>
      </c>
      <c r="AI54" s="67">
        <f t="shared" si="1"/>
        <v>0</v>
      </c>
    </row>
    <row r="55" spans="1:35" x14ac:dyDescent="0.25">
      <c r="A55" t="s">
        <v>125</v>
      </c>
      <c r="B55" t="s">
        <v>126</v>
      </c>
      <c r="C55" s="101">
        <v>338</v>
      </c>
      <c r="D55" s="101">
        <v>43</v>
      </c>
      <c r="E55" s="101">
        <v>195</v>
      </c>
      <c r="F55" s="101">
        <v>100</v>
      </c>
      <c r="G55" s="106">
        <v>2.5999999999999999E-2</v>
      </c>
      <c r="H55" s="103" t="s">
        <v>273</v>
      </c>
      <c r="I55" s="103" t="s">
        <v>266</v>
      </c>
      <c r="J55" s="103">
        <v>169</v>
      </c>
      <c r="K55" s="104">
        <v>0.72000002861022949</v>
      </c>
      <c r="L55" s="103">
        <v>80</v>
      </c>
      <c r="M55" s="104">
        <v>0.49000000953674316</v>
      </c>
      <c r="N55" s="114">
        <v>11</v>
      </c>
      <c r="O55" s="114" t="s">
        <v>1060</v>
      </c>
      <c r="P55" s="115">
        <v>0.63999998569488525</v>
      </c>
      <c r="Q55" s="112" t="s">
        <v>433</v>
      </c>
      <c r="R55" s="105" t="s">
        <v>346</v>
      </c>
      <c r="S55" s="106" t="s">
        <v>346</v>
      </c>
      <c r="T55" s="103">
        <v>189</v>
      </c>
      <c r="U55" s="104">
        <v>2.9999999329447746E-2</v>
      </c>
      <c r="V55" s="103">
        <v>94</v>
      </c>
      <c r="W55" s="104">
        <v>9.9999997764825821E-3</v>
      </c>
      <c r="X55" t="s">
        <v>125</v>
      </c>
      <c r="Y55" s="52" t="e">
        <v>#VALUE!</v>
      </c>
      <c r="Z55">
        <v>33</v>
      </c>
      <c r="AA55" s="104" t="s">
        <v>346</v>
      </c>
      <c r="AB55" s="115" t="s">
        <v>346</v>
      </c>
      <c r="AC55" s="104">
        <v>0.49000000953674316</v>
      </c>
      <c r="AD55" s="104">
        <v>0.72000002861022949</v>
      </c>
      <c r="AE55" s="110" t="e">
        <f>IF('Angioplasty Summary'!$R$4=2,Z55,IF('Angioplasty Summary'!$R$4=1,Y55))</f>
        <v>#VALUE!</v>
      </c>
      <c r="AF55" s="52" t="str">
        <f>IF('Angioplasty Summary'!$R$4=2,AC55,IF('Angioplasty Summary'!$R$4=1,AA55))</f>
        <v>xx</v>
      </c>
      <c r="AG55" s="52" t="str">
        <f>IF('Angioplasty Summary'!$R$4=2,AD55,IF('Angioplasty Summary'!$R$4=1,AB55))</f>
        <v>xx</v>
      </c>
      <c r="AH55" s="67" t="e">
        <f t="shared" si="0"/>
        <v>#VALUE!</v>
      </c>
      <c r="AI55" s="67">
        <f t="shared" si="1"/>
        <v>0</v>
      </c>
    </row>
    <row r="56" spans="1:35" x14ac:dyDescent="0.25">
      <c r="A56" t="s">
        <v>59</v>
      </c>
      <c r="B56" t="s">
        <v>60</v>
      </c>
      <c r="C56" s="101">
        <v>0</v>
      </c>
      <c r="D56" s="101"/>
      <c r="E56" s="101"/>
      <c r="F56" s="101"/>
      <c r="G56" s="102"/>
      <c r="H56" s="103"/>
      <c r="I56" s="103"/>
      <c r="J56" s="103"/>
      <c r="K56" s="104"/>
      <c r="L56" s="103"/>
      <c r="M56" s="104"/>
      <c r="N56" s="114"/>
      <c r="O56" s="114"/>
      <c r="P56" s="115"/>
      <c r="Q56" s="112"/>
      <c r="R56" s="105"/>
      <c r="S56" s="106"/>
      <c r="T56" s="103"/>
      <c r="U56" s="104"/>
      <c r="V56" s="103"/>
      <c r="W56" s="104"/>
      <c r="X56" t="s">
        <v>59</v>
      </c>
      <c r="Y56" s="52" t="e">
        <v>#VALUE!</v>
      </c>
      <c r="Z56" s="52" t="e">
        <v>#VALUE!</v>
      </c>
      <c r="AA56" s="104" t="s">
        <v>346</v>
      </c>
      <c r="AB56" s="115" t="s">
        <v>346</v>
      </c>
      <c r="AC56" s="104" t="s">
        <v>346</v>
      </c>
      <c r="AD56" s="104" t="s">
        <v>346</v>
      </c>
      <c r="AE56" s="110" t="e">
        <f>IF('Angioplasty Summary'!$R$4=2,Z56,IF('Angioplasty Summary'!$R$4=1,Y56))</f>
        <v>#VALUE!</v>
      </c>
      <c r="AF56" s="52" t="str">
        <f>IF('Angioplasty Summary'!$R$4=2,AC56,IF('Angioplasty Summary'!$R$4=1,AA56))</f>
        <v>xx</v>
      </c>
      <c r="AG56" s="52" t="str">
        <f>IF('Angioplasty Summary'!$R$4=2,AD56,IF('Angioplasty Summary'!$R$4=1,AB56))</f>
        <v>xx</v>
      </c>
      <c r="AH56" s="67" t="e">
        <f t="shared" si="0"/>
        <v>#VALUE!</v>
      </c>
      <c r="AI56" s="67">
        <f t="shared" si="1"/>
        <v>0</v>
      </c>
    </row>
    <row r="57" spans="1:35" x14ac:dyDescent="0.25">
      <c r="A57" t="s">
        <v>98</v>
      </c>
      <c r="B57" t="s">
        <v>99</v>
      </c>
      <c r="C57" s="101">
        <v>0</v>
      </c>
      <c r="D57" s="101"/>
      <c r="E57" s="101"/>
      <c r="F57" s="101"/>
      <c r="G57" s="102"/>
      <c r="H57" s="103"/>
      <c r="I57" s="103"/>
      <c r="J57" s="103"/>
      <c r="K57" s="104"/>
      <c r="L57" s="103"/>
      <c r="M57" s="104"/>
      <c r="N57" s="112"/>
      <c r="O57" s="112"/>
      <c r="P57" s="113"/>
      <c r="Q57" s="112"/>
      <c r="R57" s="105"/>
      <c r="S57" s="106"/>
      <c r="T57" s="103"/>
      <c r="U57" s="104"/>
      <c r="V57" s="103"/>
      <c r="W57" s="104"/>
      <c r="X57" t="s">
        <v>98</v>
      </c>
      <c r="Y57" s="52" t="e">
        <v>#VALUE!</v>
      </c>
      <c r="Z57" s="52" t="e">
        <v>#VALUE!</v>
      </c>
      <c r="AA57" s="104" t="s">
        <v>346</v>
      </c>
      <c r="AB57" s="115" t="s">
        <v>346</v>
      </c>
      <c r="AC57" s="104" t="s">
        <v>346</v>
      </c>
      <c r="AD57" s="104" t="s">
        <v>346</v>
      </c>
      <c r="AE57" s="110" t="e">
        <f>IF('Angioplasty Summary'!$R$4=2,Z57,IF('Angioplasty Summary'!$R$4=1,Y57))</f>
        <v>#VALUE!</v>
      </c>
      <c r="AF57" s="52" t="str">
        <f>IF('Angioplasty Summary'!$R$4=2,AC57,IF('Angioplasty Summary'!$R$4=1,AA57))</f>
        <v>xx</v>
      </c>
      <c r="AG57" s="52" t="str">
        <f>IF('Angioplasty Summary'!$R$4=2,AD57,IF('Angioplasty Summary'!$R$4=1,AB57))</f>
        <v>xx</v>
      </c>
      <c r="AH57" s="67" t="e">
        <f t="shared" si="0"/>
        <v>#VALUE!</v>
      </c>
      <c r="AI57" s="67">
        <f t="shared" si="1"/>
        <v>0</v>
      </c>
    </row>
    <row r="58" spans="1:35" x14ac:dyDescent="0.25">
      <c r="A58" t="s">
        <v>61</v>
      </c>
      <c r="B58" t="s">
        <v>62</v>
      </c>
      <c r="C58" s="101">
        <v>351</v>
      </c>
      <c r="D58" s="101">
        <v>178</v>
      </c>
      <c r="E58" s="101">
        <v>130</v>
      </c>
      <c r="F58" s="101">
        <v>43</v>
      </c>
      <c r="G58" s="102">
        <v>2.3911261931061745E-2</v>
      </c>
      <c r="H58" s="103" t="s">
        <v>261</v>
      </c>
      <c r="I58" s="103" t="s">
        <v>261</v>
      </c>
      <c r="J58" s="103">
        <v>122</v>
      </c>
      <c r="K58" s="104">
        <v>0.75</v>
      </c>
      <c r="L58" s="103">
        <v>41</v>
      </c>
      <c r="M58" s="104">
        <v>0.75999999046325684</v>
      </c>
      <c r="N58" s="112" t="s">
        <v>433</v>
      </c>
      <c r="O58" s="112" t="s">
        <v>346</v>
      </c>
      <c r="P58" s="113" t="s">
        <v>346</v>
      </c>
      <c r="Q58" s="112" t="s">
        <v>433</v>
      </c>
      <c r="R58" s="105" t="s">
        <v>346</v>
      </c>
      <c r="S58" s="106" t="s">
        <v>346</v>
      </c>
      <c r="T58" s="103">
        <v>127</v>
      </c>
      <c r="U58" s="104">
        <v>0.12999999523162842</v>
      </c>
      <c r="V58" s="103">
        <v>43</v>
      </c>
      <c r="W58" s="104">
        <v>0.11999999731779099</v>
      </c>
      <c r="X58" t="s">
        <v>61</v>
      </c>
      <c r="Y58" s="52" t="e">
        <v>#VALUE!</v>
      </c>
      <c r="Z58">
        <v>13</v>
      </c>
      <c r="AA58" s="106" t="s">
        <v>346</v>
      </c>
      <c r="AB58" s="113" t="s">
        <v>346</v>
      </c>
      <c r="AC58" s="104">
        <v>0.75999999046325684</v>
      </c>
      <c r="AD58" s="104">
        <v>0.75</v>
      </c>
      <c r="AE58" s="110" t="e">
        <f>IF('Angioplasty Summary'!$R$4=2,Z58,IF('Angioplasty Summary'!$R$4=1,Y58))</f>
        <v>#VALUE!</v>
      </c>
      <c r="AF58" s="52" t="str">
        <f>IF('Angioplasty Summary'!$R$4=2,AC58,IF('Angioplasty Summary'!$R$4=1,AA58))</f>
        <v>xx</v>
      </c>
      <c r="AG58" s="52" t="str">
        <f>IF('Angioplasty Summary'!$R$4=2,AD58,IF('Angioplasty Summary'!$R$4=1,AB58))</f>
        <v>xx</v>
      </c>
      <c r="AH58" s="67" t="e">
        <f t="shared" si="0"/>
        <v>#VALUE!</v>
      </c>
      <c r="AI58" s="67">
        <f t="shared" si="1"/>
        <v>0</v>
      </c>
    </row>
    <row r="59" spans="1:35" x14ac:dyDescent="0.25">
      <c r="A59" t="s">
        <v>108</v>
      </c>
      <c r="B59" t="s">
        <v>109</v>
      </c>
      <c r="C59" s="101">
        <v>23</v>
      </c>
      <c r="D59" s="101">
        <v>11</v>
      </c>
      <c r="E59" s="101">
        <v>12</v>
      </c>
      <c r="F59" s="101">
        <v>0</v>
      </c>
      <c r="G59" s="102">
        <v>0.11575838923454285</v>
      </c>
      <c r="H59" s="103" t="s">
        <v>1054</v>
      </c>
      <c r="I59" s="103" t="s">
        <v>346</v>
      </c>
      <c r="J59" s="103">
        <v>10</v>
      </c>
      <c r="K59" s="104">
        <v>0.10000000149011612</v>
      </c>
      <c r="L59" s="103" t="s">
        <v>433</v>
      </c>
      <c r="M59" s="104" t="s">
        <v>346</v>
      </c>
      <c r="N59" s="112" t="s">
        <v>433</v>
      </c>
      <c r="O59" s="112" t="s">
        <v>346</v>
      </c>
      <c r="P59" s="113" t="s">
        <v>346</v>
      </c>
      <c r="Q59" s="112" t="s">
        <v>433</v>
      </c>
      <c r="R59" s="105" t="s">
        <v>346</v>
      </c>
      <c r="S59" s="106" t="s">
        <v>346</v>
      </c>
      <c r="T59" s="103" t="s">
        <v>345</v>
      </c>
      <c r="U59" s="104" t="s">
        <v>346</v>
      </c>
      <c r="V59" s="103" t="s">
        <v>345</v>
      </c>
      <c r="W59" s="104" t="s">
        <v>346</v>
      </c>
      <c r="X59" t="s">
        <v>108</v>
      </c>
      <c r="Y59" s="52" t="e">
        <v>#VALUE!</v>
      </c>
      <c r="Z59" s="52" t="e">
        <v>#VALUE!</v>
      </c>
      <c r="AA59" s="106" t="s">
        <v>346</v>
      </c>
      <c r="AB59" s="113" t="s">
        <v>346</v>
      </c>
      <c r="AC59" s="104" t="s">
        <v>346</v>
      </c>
      <c r="AD59" s="104" t="s">
        <v>346</v>
      </c>
      <c r="AE59" s="110" t="e">
        <f>IF('Angioplasty Summary'!$R$4=2,Z59,IF('Angioplasty Summary'!$R$4=1,Y59))</f>
        <v>#VALUE!</v>
      </c>
      <c r="AF59" s="52" t="str">
        <f>IF('Angioplasty Summary'!$R$4=2,AC59,IF('Angioplasty Summary'!$R$4=1,AA59))</f>
        <v>xx</v>
      </c>
      <c r="AG59" s="52" t="str">
        <f>IF('Angioplasty Summary'!$R$4=2,AD59,IF('Angioplasty Summary'!$R$4=1,AB59))</f>
        <v>xx</v>
      </c>
      <c r="AH59" s="67" t="e">
        <f t="shared" si="0"/>
        <v>#VALUE!</v>
      </c>
      <c r="AI59" s="67">
        <f t="shared" si="1"/>
        <v>0</v>
      </c>
    </row>
    <row r="60" spans="1:35" x14ac:dyDescent="0.25">
      <c r="A60" t="s">
        <v>42</v>
      </c>
      <c r="B60" t="s">
        <v>43</v>
      </c>
      <c r="C60" s="101">
        <v>2</v>
      </c>
      <c r="D60" s="101">
        <v>0</v>
      </c>
      <c r="E60" s="101">
        <v>2</v>
      </c>
      <c r="F60" s="101">
        <v>0</v>
      </c>
      <c r="G60" s="102" t="s">
        <v>346</v>
      </c>
      <c r="H60" s="103" t="s">
        <v>346</v>
      </c>
      <c r="I60" s="103" t="s">
        <v>346</v>
      </c>
      <c r="J60" s="103" t="s">
        <v>433</v>
      </c>
      <c r="K60" s="104" t="s">
        <v>346</v>
      </c>
      <c r="L60" s="103" t="s">
        <v>433</v>
      </c>
      <c r="M60" s="104" t="s">
        <v>346</v>
      </c>
      <c r="N60" s="112" t="s">
        <v>433</v>
      </c>
      <c r="O60" s="112" t="s">
        <v>346</v>
      </c>
      <c r="P60" s="113" t="s">
        <v>346</v>
      </c>
      <c r="Q60" s="112" t="s">
        <v>433</v>
      </c>
      <c r="R60" s="105" t="s">
        <v>346</v>
      </c>
      <c r="S60" s="106" t="s">
        <v>346</v>
      </c>
      <c r="T60" s="103" t="s">
        <v>345</v>
      </c>
      <c r="U60" s="104" t="s">
        <v>346</v>
      </c>
      <c r="V60" s="103" t="s">
        <v>345</v>
      </c>
      <c r="W60" s="104" t="s">
        <v>346</v>
      </c>
      <c r="X60" t="s">
        <v>42</v>
      </c>
      <c r="Y60" s="52" t="e">
        <v>#VALUE!</v>
      </c>
      <c r="Z60" s="52" t="e">
        <v>#VALUE!</v>
      </c>
      <c r="AA60" s="106" t="s">
        <v>346</v>
      </c>
      <c r="AB60" s="113" t="s">
        <v>346</v>
      </c>
      <c r="AC60" s="104" t="s">
        <v>346</v>
      </c>
      <c r="AD60" s="104" t="s">
        <v>346</v>
      </c>
      <c r="AE60" s="110" t="e">
        <f>IF('Angioplasty Summary'!$R$4=2,Z60,IF('Angioplasty Summary'!$R$4=1,Y60))</f>
        <v>#VALUE!</v>
      </c>
      <c r="AF60" s="52" t="str">
        <f>IF('Angioplasty Summary'!$R$4=2,AC60,IF('Angioplasty Summary'!$R$4=1,AA60))</f>
        <v>xx</v>
      </c>
      <c r="AG60" s="52" t="str">
        <f>IF('Angioplasty Summary'!$R$4=2,AD60,IF('Angioplasty Summary'!$R$4=1,AB60))</f>
        <v>xx</v>
      </c>
      <c r="AH60" s="67" t="e">
        <f t="shared" si="0"/>
        <v>#VALUE!</v>
      </c>
      <c r="AI60" s="67">
        <f t="shared" si="1"/>
        <v>0</v>
      </c>
    </row>
    <row r="61" spans="1:35" x14ac:dyDescent="0.25">
      <c r="A61" t="s">
        <v>53</v>
      </c>
      <c r="B61" t="s">
        <v>54</v>
      </c>
      <c r="C61" s="101">
        <v>176</v>
      </c>
      <c r="D61" s="101">
        <v>62</v>
      </c>
      <c r="E61" s="101">
        <v>12</v>
      </c>
      <c r="F61" s="101">
        <v>102</v>
      </c>
      <c r="G61" s="102">
        <v>3.5491030663251877E-2</v>
      </c>
      <c r="H61" s="103" t="s">
        <v>1045</v>
      </c>
      <c r="I61" s="103" t="s">
        <v>1046</v>
      </c>
      <c r="J61" s="103" t="s">
        <v>433</v>
      </c>
      <c r="K61" s="104" t="s">
        <v>346</v>
      </c>
      <c r="L61" s="103">
        <v>91</v>
      </c>
      <c r="M61" s="104">
        <v>0.44999998807907104</v>
      </c>
      <c r="N61" s="112" t="s">
        <v>433</v>
      </c>
      <c r="O61" s="112" t="s">
        <v>346</v>
      </c>
      <c r="P61" s="113" t="s">
        <v>346</v>
      </c>
      <c r="Q61" s="112" t="s">
        <v>433</v>
      </c>
      <c r="R61" s="105" t="s">
        <v>346</v>
      </c>
      <c r="S61" s="106" t="s">
        <v>346</v>
      </c>
      <c r="T61" s="103">
        <v>12</v>
      </c>
      <c r="U61" s="104">
        <v>0.17000000178813934</v>
      </c>
      <c r="V61" s="103">
        <v>97</v>
      </c>
      <c r="W61" s="104">
        <v>0.18000000715255737</v>
      </c>
      <c r="X61" t="s">
        <v>53</v>
      </c>
      <c r="Y61" s="52" t="e">
        <v>#VALUE!</v>
      </c>
      <c r="Z61" s="52" t="e">
        <v>#VALUE!</v>
      </c>
      <c r="AA61" s="106" t="s">
        <v>346</v>
      </c>
      <c r="AB61" s="113" t="s">
        <v>346</v>
      </c>
      <c r="AC61" s="104" t="s">
        <v>346</v>
      </c>
      <c r="AD61" s="104" t="s">
        <v>346</v>
      </c>
      <c r="AE61" s="110" t="e">
        <f>IF('Angioplasty Summary'!$R$4=2,Z61,IF('Angioplasty Summary'!$R$4=1,Y61))</f>
        <v>#VALUE!</v>
      </c>
      <c r="AF61" s="52" t="str">
        <f>IF('Angioplasty Summary'!$R$4=2,AC61,IF('Angioplasty Summary'!$R$4=1,AA61))</f>
        <v>xx</v>
      </c>
      <c r="AG61" s="52" t="str">
        <f>IF('Angioplasty Summary'!$R$4=2,AD61,IF('Angioplasty Summary'!$R$4=1,AB61))</f>
        <v>xx</v>
      </c>
      <c r="AH61" s="67" t="e">
        <f t="shared" si="0"/>
        <v>#VALUE!</v>
      </c>
      <c r="AI61" s="67">
        <f t="shared" si="1"/>
        <v>0</v>
      </c>
    </row>
    <row r="62" spans="1:35" x14ac:dyDescent="0.25">
      <c r="A62" t="s">
        <v>21</v>
      </c>
      <c r="B62" t="s">
        <v>22</v>
      </c>
      <c r="C62" s="101">
        <v>299</v>
      </c>
      <c r="D62" s="101">
        <v>98</v>
      </c>
      <c r="E62" s="101">
        <v>97</v>
      </c>
      <c r="F62" s="101">
        <v>104</v>
      </c>
      <c r="G62" s="102">
        <v>1.5508508309721947E-2</v>
      </c>
      <c r="H62" s="103" t="s">
        <v>1039</v>
      </c>
      <c r="I62" s="103" t="s">
        <v>620</v>
      </c>
      <c r="J62" s="103">
        <v>64</v>
      </c>
      <c r="K62" s="104">
        <v>9.0000003576278687E-2</v>
      </c>
      <c r="L62" s="103">
        <v>69</v>
      </c>
      <c r="M62" s="104">
        <v>2.9999999329447746E-2</v>
      </c>
      <c r="N62" s="114">
        <v>27</v>
      </c>
      <c r="O62" s="114" t="s">
        <v>448</v>
      </c>
      <c r="P62" s="115">
        <v>0.25999999046325684</v>
      </c>
      <c r="Q62" s="114">
        <v>32</v>
      </c>
      <c r="R62" s="103" t="s">
        <v>269</v>
      </c>
      <c r="S62" s="104">
        <v>0.6600000262260437</v>
      </c>
      <c r="T62" s="103">
        <v>95</v>
      </c>
      <c r="U62" s="104">
        <v>5.000000074505806E-2</v>
      </c>
      <c r="V62" s="103">
        <v>102</v>
      </c>
      <c r="W62" s="104">
        <v>0.15999999642372131</v>
      </c>
      <c r="X62" t="s">
        <v>21</v>
      </c>
      <c r="Y62">
        <v>9</v>
      </c>
      <c r="Z62">
        <v>50</v>
      </c>
      <c r="AA62" s="104">
        <v>0.6600000262260437</v>
      </c>
      <c r="AB62" s="115">
        <v>0.25999999046325684</v>
      </c>
      <c r="AC62" s="104">
        <v>2.9999999329447746E-2</v>
      </c>
      <c r="AD62" s="104">
        <v>9.0000003576278687E-2</v>
      </c>
      <c r="AE62" s="110">
        <f>IF('Angioplasty Summary'!$R$4=2,Z62,IF('Angioplasty Summary'!$R$4=1,Y62))</f>
        <v>9</v>
      </c>
      <c r="AF62" s="52">
        <f>IF('Angioplasty Summary'!$R$4=2,AC62,IF('Angioplasty Summary'!$R$4=1,AA62))</f>
        <v>0.6600000262260437</v>
      </c>
      <c r="AG62" s="52">
        <f>IF('Angioplasty Summary'!$R$4=2,AD62,IF('Angioplasty Summary'!$R$4=1,AB62))</f>
        <v>0.25999999046325684</v>
      </c>
      <c r="AH62" s="67">
        <f t="shared" si="0"/>
        <v>0</v>
      </c>
      <c r="AI62" s="67">
        <f t="shared" si="1"/>
        <v>0.40000003576278687</v>
      </c>
    </row>
    <row r="63" spans="1:35" x14ac:dyDescent="0.25">
      <c r="A63" t="s">
        <v>425</v>
      </c>
      <c r="B63" t="s">
        <v>426</v>
      </c>
      <c r="C63" s="101">
        <v>7</v>
      </c>
      <c r="D63" s="101">
        <v>0</v>
      </c>
      <c r="E63" s="101">
        <v>7</v>
      </c>
      <c r="F63" s="101">
        <v>0</v>
      </c>
      <c r="G63" s="102" t="s">
        <v>346</v>
      </c>
      <c r="H63" s="103" t="s">
        <v>346</v>
      </c>
      <c r="I63" s="103" t="s">
        <v>346</v>
      </c>
      <c r="J63" s="103" t="s">
        <v>433</v>
      </c>
      <c r="K63" s="104" t="s">
        <v>346</v>
      </c>
      <c r="L63" s="103" t="s">
        <v>433</v>
      </c>
      <c r="M63" s="104" t="s">
        <v>346</v>
      </c>
      <c r="N63" s="112" t="s">
        <v>433</v>
      </c>
      <c r="O63" s="112" t="s">
        <v>346</v>
      </c>
      <c r="P63" s="113" t="s">
        <v>346</v>
      </c>
      <c r="Q63" s="112" t="s">
        <v>433</v>
      </c>
      <c r="R63" s="105" t="s">
        <v>346</v>
      </c>
      <c r="S63" s="106" t="s">
        <v>346</v>
      </c>
      <c r="T63" s="103">
        <v>7</v>
      </c>
      <c r="U63" s="104">
        <v>0</v>
      </c>
      <c r="V63" s="103" t="s">
        <v>345</v>
      </c>
      <c r="W63" s="104" t="s">
        <v>346</v>
      </c>
      <c r="X63" t="s">
        <v>425</v>
      </c>
      <c r="Y63" s="52" t="e">
        <v>#VALUE!</v>
      </c>
      <c r="Z63" s="52" t="e">
        <v>#VALUE!</v>
      </c>
      <c r="AA63" s="106" t="s">
        <v>346</v>
      </c>
      <c r="AB63" s="113" t="s">
        <v>346</v>
      </c>
      <c r="AC63" s="104" t="s">
        <v>346</v>
      </c>
      <c r="AD63" s="104" t="s">
        <v>346</v>
      </c>
      <c r="AE63" s="110" t="e">
        <f>IF('Angioplasty Summary'!$R$4=2,Z63,IF('Angioplasty Summary'!$R$4=1,Y63))</f>
        <v>#VALUE!</v>
      </c>
      <c r="AF63" s="52" t="str">
        <f>IF('Angioplasty Summary'!$R$4=2,AC63,IF('Angioplasty Summary'!$R$4=1,AA63))</f>
        <v>xx</v>
      </c>
      <c r="AG63" s="52" t="str">
        <f>IF('Angioplasty Summary'!$R$4=2,AD63,IF('Angioplasty Summary'!$R$4=1,AB63))</f>
        <v>xx</v>
      </c>
      <c r="AH63" s="67" t="e">
        <f t="shared" si="0"/>
        <v>#VALUE!</v>
      </c>
      <c r="AI63" s="67">
        <f t="shared" si="1"/>
        <v>0</v>
      </c>
    </row>
    <row r="64" spans="1:35" x14ac:dyDescent="0.25">
      <c r="A64" t="s">
        <v>76</v>
      </c>
      <c r="B64" t="s">
        <v>77</v>
      </c>
      <c r="C64" s="101">
        <v>114</v>
      </c>
      <c r="D64" s="101">
        <v>63</v>
      </c>
      <c r="E64" s="101">
        <v>32</v>
      </c>
      <c r="F64" s="101">
        <v>19</v>
      </c>
      <c r="G64" s="102">
        <v>1.6796715557575226E-2</v>
      </c>
      <c r="H64" s="103" t="s">
        <v>258</v>
      </c>
      <c r="I64" s="103" t="s">
        <v>258</v>
      </c>
      <c r="J64" s="103">
        <v>31</v>
      </c>
      <c r="K64" s="104">
        <v>0.97000002861022949</v>
      </c>
      <c r="L64" s="103">
        <v>17</v>
      </c>
      <c r="M64" s="104">
        <v>1</v>
      </c>
      <c r="N64" s="112" t="s">
        <v>433</v>
      </c>
      <c r="O64" s="112" t="s">
        <v>346</v>
      </c>
      <c r="P64" s="113" t="s">
        <v>346</v>
      </c>
      <c r="Q64" s="112" t="s">
        <v>433</v>
      </c>
      <c r="R64" s="105" t="s">
        <v>346</v>
      </c>
      <c r="S64" s="106" t="s">
        <v>346</v>
      </c>
      <c r="T64" s="103">
        <v>30</v>
      </c>
      <c r="U64" s="104">
        <v>2.9999999329447746E-2</v>
      </c>
      <c r="V64" s="103">
        <v>19</v>
      </c>
      <c r="W64" s="104">
        <v>5.000000074505806E-2</v>
      </c>
      <c r="X64" t="s">
        <v>76</v>
      </c>
      <c r="Y64" s="52" t="e">
        <v>#VALUE!</v>
      </c>
      <c r="Z64">
        <v>2</v>
      </c>
      <c r="AA64" s="106" t="s">
        <v>346</v>
      </c>
      <c r="AB64" s="113" t="s">
        <v>346</v>
      </c>
      <c r="AC64" s="104">
        <v>1</v>
      </c>
      <c r="AD64" s="104">
        <v>0.97000002861022949</v>
      </c>
      <c r="AE64" s="110" t="e">
        <f>IF('Angioplasty Summary'!$R$4=2,Z64,IF('Angioplasty Summary'!$R$4=1,Y64))</f>
        <v>#VALUE!</v>
      </c>
      <c r="AF64" s="52" t="str">
        <f>IF('Angioplasty Summary'!$R$4=2,AC64,IF('Angioplasty Summary'!$R$4=1,AA64))</f>
        <v>xx</v>
      </c>
      <c r="AG64" s="52" t="str">
        <f>IF('Angioplasty Summary'!$R$4=2,AD64,IF('Angioplasty Summary'!$R$4=1,AB64))</f>
        <v>xx</v>
      </c>
      <c r="AH64" s="67" t="e">
        <f t="shared" si="0"/>
        <v>#VALUE!</v>
      </c>
      <c r="AI64" s="67">
        <f t="shared" si="1"/>
        <v>0</v>
      </c>
    </row>
    <row r="65" spans="1:35" x14ac:dyDescent="0.25">
      <c r="A65" t="s">
        <v>57</v>
      </c>
      <c r="B65" t="s">
        <v>58</v>
      </c>
      <c r="C65" s="101">
        <v>72</v>
      </c>
      <c r="D65" s="101">
        <v>23</v>
      </c>
      <c r="E65" s="101">
        <v>31</v>
      </c>
      <c r="F65" s="101">
        <v>18</v>
      </c>
      <c r="G65" s="102">
        <v>1.5565472654998302E-2</v>
      </c>
      <c r="H65" s="103" t="s">
        <v>442</v>
      </c>
      <c r="I65" s="103" t="s">
        <v>1036</v>
      </c>
      <c r="J65" s="103">
        <v>20</v>
      </c>
      <c r="K65" s="104">
        <v>0.64999997615814209</v>
      </c>
      <c r="L65" s="103">
        <v>13</v>
      </c>
      <c r="M65" s="104">
        <v>0.37999999523162842</v>
      </c>
      <c r="N65" s="114">
        <v>11</v>
      </c>
      <c r="O65" s="114" t="s">
        <v>331</v>
      </c>
      <c r="P65" s="115">
        <v>0.73000001907348633</v>
      </c>
      <c r="Q65" s="112" t="s">
        <v>433</v>
      </c>
      <c r="R65" s="105" t="s">
        <v>346</v>
      </c>
      <c r="S65" s="106" t="s">
        <v>346</v>
      </c>
      <c r="T65" s="103">
        <v>31</v>
      </c>
      <c r="U65" s="104">
        <v>0</v>
      </c>
      <c r="V65" s="103">
        <v>17</v>
      </c>
      <c r="W65" s="104">
        <v>0</v>
      </c>
      <c r="X65" t="s">
        <v>57</v>
      </c>
      <c r="Y65" s="52" t="e">
        <v>#VALUE!</v>
      </c>
      <c r="Z65">
        <v>36</v>
      </c>
      <c r="AA65" s="104" t="s">
        <v>346</v>
      </c>
      <c r="AB65" s="115" t="s">
        <v>346</v>
      </c>
      <c r="AC65" s="104">
        <v>0.37999999523162842</v>
      </c>
      <c r="AD65" s="104">
        <v>0.64999997615814209</v>
      </c>
      <c r="AE65" s="110" t="e">
        <f>IF('Angioplasty Summary'!$R$4=2,Z65,IF('Angioplasty Summary'!$R$4=1,Y65))</f>
        <v>#VALUE!</v>
      </c>
      <c r="AF65" s="52" t="str">
        <f>IF('Angioplasty Summary'!$R$4=2,AC65,IF('Angioplasty Summary'!$R$4=1,AA65))</f>
        <v>xx</v>
      </c>
      <c r="AG65" s="52" t="str">
        <f>IF('Angioplasty Summary'!$R$4=2,AD65,IF('Angioplasty Summary'!$R$4=1,AB65))</f>
        <v>xx</v>
      </c>
      <c r="AH65" s="67" t="e">
        <f t="shared" si="0"/>
        <v>#VALUE!</v>
      </c>
      <c r="AI65" s="67">
        <f t="shared" si="1"/>
        <v>0</v>
      </c>
    </row>
    <row r="66" spans="1:35" x14ac:dyDescent="0.25">
      <c r="A66" t="s">
        <v>151</v>
      </c>
      <c r="B66" t="s">
        <v>152</v>
      </c>
      <c r="C66" s="101">
        <v>496</v>
      </c>
      <c r="D66" s="101">
        <v>182</v>
      </c>
      <c r="E66" s="101">
        <v>186</v>
      </c>
      <c r="F66" s="101">
        <v>128</v>
      </c>
      <c r="G66" s="102">
        <v>2.0175890997052193E-2</v>
      </c>
      <c r="H66" s="103" t="s">
        <v>261</v>
      </c>
      <c r="I66" s="103" t="s">
        <v>279</v>
      </c>
      <c r="J66" s="103">
        <v>152</v>
      </c>
      <c r="K66" s="104">
        <v>0.69999998807907104</v>
      </c>
      <c r="L66" s="103">
        <v>90</v>
      </c>
      <c r="M66" s="104">
        <v>0.75999999046325684</v>
      </c>
      <c r="N66" s="114">
        <v>33</v>
      </c>
      <c r="O66" s="114" t="s">
        <v>277</v>
      </c>
      <c r="P66" s="115">
        <v>0.61000001430511475</v>
      </c>
      <c r="Q66" s="114">
        <v>34</v>
      </c>
      <c r="R66" s="103" t="s">
        <v>225</v>
      </c>
      <c r="S66" s="104">
        <v>0.5899999737739563</v>
      </c>
      <c r="T66" s="103">
        <v>93</v>
      </c>
      <c r="U66" s="104">
        <v>3.9999999105930328E-2</v>
      </c>
      <c r="V66" s="103">
        <v>126</v>
      </c>
      <c r="W66" s="104">
        <v>0.2199999988079071</v>
      </c>
      <c r="X66" t="s">
        <v>151</v>
      </c>
      <c r="Y66">
        <v>19</v>
      </c>
      <c r="Z66">
        <v>14</v>
      </c>
      <c r="AA66" s="104">
        <v>0.5899999737739563</v>
      </c>
      <c r="AB66" s="115">
        <v>0.61000001430511475</v>
      </c>
      <c r="AC66" s="104">
        <v>0.75999999046325684</v>
      </c>
      <c r="AD66" s="104">
        <v>0.69999998807907104</v>
      </c>
      <c r="AE66" s="110">
        <f>IF('Angioplasty Summary'!$R$4=2,Z66,IF('Angioplasty Summary'!$R$4=1,Y66))</f>
        <v>19</v>
      </c>
      <c r="AF66" s="52">
        <f>IF('Angioplasty Summary'!$R$4=2,AC66,IF('Angioplasty Summary'!$R$4=1,AA66))</f>
        <v>0.5899999737739563</v>
      </c>
      <c r="AG66" s="52">
        <f>IF('Angioplasty Summary'!$R$4=2,AD66,IF('Angioplasty Summary'!$R$4=1,AB66))</f>
        <v>0.61000001430511475</v>
      </c>
      <c r="AH66" s="67">
        <f t="shared" si="0"/>
        <v>2.0000040531158447E-2</v>
      </c>
      <c r="AI66" s="67">
        <f t="shared" si="1"/>
        <v>0</v>
      </c>
    </row>
    <row r="67" spans="1:35" x14ac:dyDescent="0.25">
      <c r="A67" t="s">
        <v>689</v>
      </c>
      <c r="B67" t="s">
        <v>690</v>
      </c>
      <c r="C67" s="101">
        <v>680</v>
      </c>
      <c r="D67" s="101">
        <v>287</v>
      </c>
      <c r="E67" s="101">
        <v>294</v>
      </c>
      <c r="F67" s="101">
        <v>99</v>
      </c>
      <c r="G67" s="102">
        <v>2.5021977722644806E-2</v>
      </c>
      <c r="H67" s="103" t="s">
        <v>265</v>
      </c>
      <c r="I67" s="103" t="s">
        <v>261</v>
      </c>
      <c r="J67" s="103">
        <v>246</v>
      </c>
      <c r="K67" s="104">
        <v>0.56999999284744263</v>
      </c>
      <c r="L67" s="103">
        <v>92</v>
      </c>
      <c r="M67" s="104">
        <v>0.72000002861022949</v>
      </c>
      <c r="N67" s="114">
        <v>32</v>
      </c>
      <c r="O67" s="114" t="s">
        <v>207</v>
      </c>
      <c r="P67" s="115">
        <v>0.68999999761581421</v>
      </c>
      <c r="Q67" s="112" t="s">
        <v>433</v>
      </c>
      <c r="R67" s="105" t="s">
        <v>346</v>
      </c>
      <c r="S67" s="106" t="s">
        <v>346</v>
      </c>
      <c r="T67" s="103">
        <v>290</v>
      </c>
      <c r="U67" s="104">
        <v>7.9999998211860657E-2</v>
      </c>
      <c r="V67" s="103">
        <v>97</v>
      </c>
      <c r="W67" s="104">
        <v>3.9999999105930328E-2</v>
      </c>
      <c r="X67" t="s">
        <v>689</v>
      </c>
      <c r="Y67" s="52" t="e">
        <v>#VALUE!</v>
      </c>
      <c r="Z67">
        <v>18</v>
      </c>
      <c r="AA67" s="104" t="s">
        <v>346</v>
      </c>
      <c r="AB67" s="115" t="s">
        <v>346</v>
      </c>
      <c r="AC67" s="104">
        <v>0.72000002861022949</v>
      </c>
      <c r="AD67" s="104">
        <v>0.56999999284744263</v>
      </c>
      <c r="AE67" s="110" t="e">
        <f>IF('Angioplasty Summary'!$R$4=2,Z67,IF('Angioplasty Summary'!$R$4=1,Y67))</f>
        <v>#VALUE!</v>
      </c>
      <c r="AF67" s="52" t="str">
        <f>IF('Angioplasty Summary'!$R$4=2,AC67,IF('Angioplasty Summary'!$R$4=1,AA67))</f>
        <v>xx</v>
      </c>
      <c r="AG67" s="52" t="str">
        <f>IF('Angioplasty Summary'!$R$4=2,AD67,IF('Angioplasty Summary'!$R$4=1,AB67))</f>
        <v>xx</v>
      </c>
      <c r="AH67" s="67" t="e">
        <f t="shared" ref="AH67:AH91" si="2">IF(AF67&gt;AG67,0,AG67-AF67)</f>
        <v>#VALUE!</v>
      </c>
      <c r="AI67" s="67">
        <f t="shared" ref="AI67:AI91" si="3">IF(AF67&gt;AG67,AF67-AG67,0)</f>
        <v>0</v>
      </c>
    </row>
    <row r="68" spans="1:35" x14ac:dyDescent="0.25">
      <c r="A68" t="s">
        <v>119</v>
      </c>
      <c r="B68" t="s">
        <v>120</v>
      </c>
      <c r="C68" s="101">
        <v>0</v>
      </c>
      <c r="D68" s="101"/>
      <c r="E68" s="101"/>
      <c r="F68" s="101"/>
      <c r="G68" s="102"/>
      <c r="H68" s="103"/>
      <c r="I68" s="103"/>
      <c r="J68" s="103"/>
      <c r="K68" s="104"/>
      <c r="L68" s="103"/>
      <c r="M68" s="104"/>
      <c r="N68" s="112"/>
      <c r="O68" s="112"/>
      <c r="P68" s="113"/>
      <c r="Q68" s="112"/>
      <c r="R68" s="105"/>
      <c r="S68" s="106"/>
      <c r="T68" s="103"/>
      <c r="U68" s="104"/>
      <c r="V68" s="103"/>
      <c r="W68" s="104"/>
      <c r="X68" t="s">
        <v>119</v>
      </c>
      <c r="Y68" s="52" t="e">
        <v>#VALUE!</v>
      </c>
      <c r="Z68" s="52" t="e">
        <v>#VALUE!</v>
      </c>
      <c r="AA68" s="104" t="s">
        <v>346</v>
      </c>
      <c r="AB68" s="115" t="s">
        <v>346</v>
      </c>
      <c r="AC68" s="104" t="s">
        <v>346</v>
      </c>
      <c r="AD68" s="104" t="s">
        <v>346</v>
      </c>
      <c r="AE68" s="110" t="e">
        <f>IF('Angioplasty Summary'!$R$4=2,Z68,IF('Angioplasty Summary'!$R$4=1,Y68))</f>
        <v>#VALUE!</v>
      </c>
      <c r="AF68" s="52" t="str">
        <f>IF('Angioplasty Summary'!$R$4=2,AC68,IF('Angioplasty Summary'!$R$4=1,AA68))</f>
        <v>xx</v>
      </c>
      <c r="AG68" s="52" t="str">
        <f>IF('Angioplasty Summary'!$R$4=2,AD68,IF('Angioplasty Summary'!$R$4=1,AB68))</f>
        <v>xx</v>
      </c>
      <c r="AH68" s="67" t="e">
        <f t="shared" si="2"/>
        <v>#VALUE!</v>
      </c>
      <c r="AI68" s="67">
        <f t="shared" si="3"/>
        <v>0</v>
      </c>
    </row>
    <row r="69" spans="1:35" x14ac:dyDescent="0.25">
      <c r="A69" t="s">
        <v>674</v>
      </c>
      <c r="B69" t="s">
        <v>675</v>
      </c>
      <c r="C69" s="101">
        <v>73</v>
      </c>
      <c r="D69" s="101">
        <v>2</v>
      </c>
      <c r="E69" s="101">
        <v>32</v>
      </c>
      <c r="F69" s="101">
        <v>39</v>
      </c>
      <c r="G69" s="102">
        <v>1.2268244288861752E-2</v>
      </c>
      <c r="H69" s="103" t="s">
        <v>1035</v>
      </c>
      <c r="I69" s="103" t="s">
        <v>275</v>
      </c>
      <c r="J69" s="103">
        <v>21</v>
      </c>
      <c r="K69" s="104">
        <v>0.14000000059604645</v>
      </c>
      <c r="L69" s="103">
        <v>21</v>
      </c>
      <c r="M69" s="104">
        <v>0.37999999523162842</v>
      </c>
      <c r="N69" s="112" t="s">
        <v>433</v>
      </c>
      <c r="O69" s="112" t="s">
        <v>346</v>
      </c>
      <c r="P69" s="113" t="s">
        <v>346</v>
      </c>
      <c r="Q69" s="114">
        <v>14</v>
      </c>
      <c r="R69" s="103" t="s">
        <v>1036</v>
      </c>
      <c r="S69" s="104">
        <v>0.70999997854232788</v>
      </c>
      <c r="T69" s="103">
        <v>31</v>
      </c>
      <c r="U69" s="104">
        <v>2.9999999329447746E-2</v>
      </c>
      <c r="V69" s="103">
        <v>39</v>
      </c>
      <c r="W69" s="104">
        <v>0.10000000149011612</v>
      </c>
      <c r="X69" t="s">
        <v>674</v>
      </c>
      <c r="Y69" s="52" t="e">
        <v>#VALUE!</v>
      </c>
      <c r="Z69">
        <v>37</v>
      </c>
      <c r="AA69" s="104" t="s">
        <v>346</v>
      </c>
      <c r="AB69" s="115" t="s">
        <v>346</v>
      </c>
      <c r="AC69" s="104">
        <v>0.37999999523162842</v>
      </c>
      <c r="AD69" s="104">
        <v>0.14000000059604645</v>
      </c>
      <c r="AE69" s="110" t="e">
        <f>IF('Angioplasty Summary'!$R$4=2,Z69,IF('Angioplasty Summary'!$R$4=1,Y69))</f>
        <v>#VALUE!</v>
      </c>
      <c r="AF69" s="52" t="str">
        <f>IF('Angioplasty Summary'!$R$4=2,AC69,IF('Angioplasty Summary'!$R$4=1,AA69))</f>
        <v>xx</v>
      </c>
      <c r="AG69" s="52" t="str">
        <f>IF('Angioplasty Summary'!$R$4=2,AD69,IF('Angioplasty Summary'!$R$4=1,AB69))</f>
        <v>xx</v>
      </c>
      <c r="AH69" s="67" t="e">
        <f t="shared" si="2"/>
        <v>#VALUE!</v>
      </c>
      <c r="AI69" s="67">
        <f t="shared" si="3"/>
        <v>0</v>
      </c>
    </row>
    <row r="70" spans="1:35" x14ac:dyDescent="0.25">
      <c r="A70" t="s">
        <v>427</v>
      </c>
      <c r="B70" t="s">
        <v>428</v>
      </c>
      <c r="C70" s="101">
        <v>34</v>
      </c>
      <c r="D70" s="101">
        <v>0</v>
      </c>
      <c r="E70" s="101">
        <v>13</v>
      </c>
      <c r="F70" s="101">
        <v>21</v>
      </c>
      <c r="G70" s="102">
        <v>0</v>
      </c>
      <c r="H70" s="103" t="s">
        <v>327</v>
      </c>
      <c r="I70" s="103" t="s">
        <v>327</v>
      </c>
      <c r="J70" s="103">
        <v>12</v>
      </c>
      <c r="K70" s="104">
        <v>0.41999998688697815</v>
      </c>
      <c r="L70" s="103">
        <v>18</v>
      </c>
      <c r="M70" s="104">
        <v>0.56000000238418579</v>
      </c>
      <c r="N70" s="112" t="s">
        <v>433</v>
      </c>
      <c r="O70" s="112" t="s">
        <v>346</v>
      </c>
      <c r="P70" s="113" t="s">
        <v>346</v>
      </c>
      <c r="Q70" s="112" t="s">
        <v>433</v>
      </c>
      <c r="R70" s="105" t="s">
        <v>346</v>
      </c>
      <c r="S70" s="106" t="s">
        <v>346</v>
      </c>
      <c r="T70" s="103">
        <v>13</v>
      </c>
      <c r="U70" s="104">
        <v>0</v>
      </c>
      <c r="V70" s="103">
        <v>21</v>
      </c>
      <c r="W70" s="104">
        <v>0.10000000149011612</v>
      </c>
      <c r="X70" t="s">
        <v>427</v>
      </c>
      <c r="Y70" s="52" t="e">
        <v>#VALUE!</v>
      </c>
      <c r="Z70">
        <v>29</v>
      </c>
      <c r="AA70" s="106" t="s">
        <v>346</v>
      </c>
      <c r="AB70" s="113" t="s">
        <v>346</v>
      </c>
      <c r="AC70" s="104">
        <v>0.56000000238418579</v>
      </c>
      <c r="AD70" s="104">
        <v>0.41999998688697815</v>
      </c>
      <c r="AE70" s="110" t="e">
        <f>IF('Angioplasty Summary'!$R$4=2,Z70,IF('Angioplasty Summary'!$R$4=1,Y70))</f>
        <v>#VALUE!</v>
      </c>
      <c r="AF70" s="52" t="str">
        <f>IF('Angioplasty Summary'!$R$4=2,AC70,IF('Angioplasty Summary'!$R$4=1,AA70))</f>
        <v>xx</v>
      </c>
      <c r="AG70" s="52" t="str">
        <f>IF('Angioplasty Summary'!$R$4=2,AD70,IF('Angioplasty Summary'!$R$4=1,AB70))</f>
        <v>xx</v>
      </c>
      <c r="AH70" s="67" t="e">
        <f t="shared" si="2"/>
        <v>#VALUE!</v>
      </c>
      <c r="AI70" s="67">
        <f t="shared" si="3"/>
        <v>0</v>
      </c>
    </row>
    <row r="71" spans="1:35" x14ac:dyDescent="0.25">
      <c r="A71" t="s">
        <v>65</v>
      </c>
      <c r="B71" t="s">
        <v>66</v>
      </c>
      <c r="C71" s="101">
        <v>562</v>
      </c>
      <c r="D71" s="101">
        <v>193</v>
      </c>
      <c r="E71" s="101">
        <v>222</v>
      </c>
      <c r="F71" s="101">
        <v>147</v>
      </c>
      <c r="G71" s="102">
        <v>1.0388175025582314E-2</v>
      </c>
      <c r="H71" s="103" t="s">
        <v>268</v>
      </c>
      <c r="I71" s="103" t="s">
        <v>671</v>
      </c>
      <c r="J71" s="103">
        <v>157</v>
      </c>
      <c r="K71" s="104">
        <v>0.15000000596046448</v>
      </c>
      <c r="L71" s="103">
        <v>92</v>
      </c>
      <c r="M71" s="104">
        <v>0.14000000059604645</v>
      </c>
      <c r="N71" s="114">
        <v>50</v>
      </c>
      <c r="O71" s="114" t="s">
        <v>269</v>
      </c>
      <c r="P71" s="115">
        <v>0.60000002384185791</v>
      </c>
      <c r="Q71" s="114">
        <v>42</v>
      </c>
      <c r="R71" s="103" t="s">
        <v>271</v>
      </c>
      <c r="S71" s="104">
        <v>0.67000001668930054</v>
      </c>
      <c r="T71" s="103">
        <v>221</v>
      </c>
      <c r="U71" s="104">
        <v>7.9999998211860657E-2</v>
      </c>
      <c r="V71" s="103">
        <v>144</v>
      </c>
      <c r="W71" s="104">
        <v>0.10000000149011612</v>
      </c>
      <c r="X71" t="s">
        <v>65</v>
      </c>
      <c r="Y71">
        <v>8</v>
      </c>
      <c r="Z71">
        <v>47</v>
      </c>
      <c r="AA71" s="104">
        <v>0.67000001668930054</v>
      </c>
      <c r="AB71" s="115">
        <v>0.60000002384185791</v>
      </c>
      <c r="AC71" s="104">
        <v>0.14000000059604645</v>
      </c>
      <c r="AD71" s="104">
        <v>0.15000000596046448</v>
      </c>
      <c r="AE71" s="110">
        <f>IF('Angioplasty Summary'!$R$4=2,Z71,IF('Angioplasty Summary'!$R$4=1,Y71))</f>
        <v>8</v>
      </c>
      <c r="AF71" s="52">
        <f>IF('Angioplasty Summary'!$R$4=2,AC71,IF('Angioplasty Summary'!$R$4=1,AA71))</f>
        <v>0.67000001668930054</v>
      </c>
      <c r="AG71" s="52">
        <f>IF('Angioplasty Summary'!$R$4=2,AD71,IF('Angioplasty Summary'!$R$4=1,AB71))</f>
        <v>0.60000002384185791</v>
      </c>
      <c r="AH71" s="67">
        <f t="shared" si="2"/>
        <v>0</v>
      </c>
      <c r="AI71" s="67">
        <f t="shared" si="3"/>
        <v>6.9999992847442627E-2</v>
      </c>
    </row>
    <row r="72" spans="1:35" x14ac:dyDescent="0.25">
      <c r="A72" t="s">
        <v>27</v>
      </c>
      <c r="B72" t="s">
        <v>28</v>
      </c>
      <c r="C72" s="101">
        <v>23</v>
      </c>
      <c r="D72" s="101">
        <v>11</v>
      </c>
      <c r="E72" s="101">
        <v>5</v>
      </c>
      <c r="F72" s="101">
        <v>7</v>
      </c>
      <c r="G72" s="102">
        <v>0</v>
      </c>
      <c r="H72" s="103" t="s">
        <v>346</v>
      </c>
      <c r="I72" s="103" t="s">
        <v>346</v>
      </c>
      <c r="J72" s="103" t="s">
        <v>433</v>
      </c>
      <c r="K72" s="104" t="s">
        <v>346</v>
      </c>
      <c r="L72" s="103" t="s">
        <v>433</v>
      </c>
      <c r="M72" s="104" t="s">
        <v>346</v>
      </c>
      <c r="N72" s="112" t="s">
        <v>433</v>
      </c>
      <c r="O72" s="112" t="s">
        <v>346</v>
      </c>
      <c r="P72" s="113" t="s">
        <v>346</v>
      </c>
      <c r="Q72" s="112" t="s">
        <v>433</v>
      </c>
      <c r="R72" s="105" t="s">
        <v>346</v>
      </c>
      <c r="S72" s="106" t="s">
        <v>346</v>
      </c>
      <c r="T72" s="103">
        <v>5</v>
      </c>
      <c r="U72" s="104">
        <v>0</v>
      </c>
      <c r="V72" s="103">
        <v>7</v>
      </c>
      <c r="W72" s="104">
        <v>0.14000000059604645</v>
      </c>
      <c r="X72" t="s">
        <v>27</v>
      </c>
      <c r="Y72" s="52" t="e">
        <v>#VALUE!</v>
      </c>
      <c r="Z72" s="52" t="e">
        <v>#VALUE!</v>
      </c>
      <c r="AA72" s="106" t="s">
        <v>346</v>
      </c>
      <c r="AB72" s="113" t="s">
        <v>346</v>
      </c>
      <c r="AC72" s="104" t="s">
        <v>346</v>
      </c>
      <c r="AD72" s="104" t="s">
        <v>346</v>
      </c>
      <c r="AE72" s="110" t="e">
        <f>IF('Angioplasty Summary'!$R$4=2,Z72,IF('Angioplasty Summary'!$R$4=1,Y72))</f>
        <v>#VALUE!</v>
      </c>
      <c r="AF72" s="52" t="str">
        <f>IF('Angioplasty Summary'!$R$4=2,AC72,IF('Angioplasty Summary'!$R$4=1,AA72))</f>
        <v>xx</v>
      </c>
      <c r="AG72" s="52" t="str">
        <f>IF('Angioplasty Summary'!$R$4=2,AD72,IF('Angioplasty Summary'!$R$4=1,AB72))</f>
        <v>xx</v>
      </c>
      <c r="AH72" s="67" t="e">
        <f t="shared" si="2"/>
        <v>#VALUE!</v>
      </c>
      <c r="AI72" s="67">
        <f t="shared" si="3"/>
        <v>0</v>
      </c>
    </row>
    <row r="73" spans="1:35" x14ac:dyDescent="0.25">
      <c r="A73" t="s">
        <v>429</v>
      </c>
      <c r="B73" t="s">
        <v>430</v>
      </c>
      <c r="C73" s="101">
        <v>104</v>
      </c>
      <c r="D73" s="101">
        <v>10</v>
      </c>
      <c r="E73" s="101">
        <v>43</v>
      </c>
      <c r="F73" s="101">
        <v>51</v>
      </c>
      <c r="G73" s="102">
        <v>3.3686000853776932E-2</v>
      </c>
      <c r="H73" s="103" t="s">
        <v>261</v>
      </c>
      <c r="I73" s="103" t="s">
        <v>258</v>
      </c>
      <c r="J73" s="103">
        <v>35</v>
      </c>
      <c r="K73" s="104">
        <v>0.80000001192092896</v>
      </c>
      <c r="L73" s="103">
        <v>43</v>
      </c>
      <c r="M73" s="104">
        <v>0.9100000262260437</v>
      </c>
      <c r="N73" s="112" t="s">
        <v>433</v>
      </c>
      <c r="O73" s="112" t="s">
        <v>346</v>
      </c>
      <c r="P73" s="113" t="s">
        <v>346</v>
      </c>
      <c r="Q73" s="112" t="s">
        <v>433</v>
      </c>
      <c r="R73" s="105" t="s">
        <v>346</v>
      </c>
      <c r="S73" s="106" t="s">
        <v>346</v>
      </c>
      <c r="T73" s="103">
        <v>42</v>
      </c>
      <c r="U73" s="104">
        <v>0.11999999731779099</v>
      </c>
      <c r="V73" s="103">
        <v>48</v>
      </c>
      <c r="W73" s="104">
        <v>3.9999999105930328E-2</v>
      </c>
      <c r="X73" t="s">
        <v>429</v>
      </c>
      <c r="Y73" s="52" t="e">
        <v>#VALUE!</v>
      </c>
      <c r="Z73">
        <v>6</v>
      </c>
      <c r="AA73" s="106" t="s">
        <v>346</v>
      </c>
      <c r="AB73" s="113" t="s">
        <v>346</v>
      </c>
      <c r="AC73" s="104">
        <v>0.9100000262260437</v>
      </c>
      <c r="AD73" s="104">
        <v>0.80000001192092896</v>
      </c>
      <c r="AE73" s="110" t="e">
        <f>IF('Angioplasty Summary'!$R$4=2,Z73,IF('Angioplasty Summary'!$R$4=1,Y73))</f>
        <v>#VALUE!</v>
      </c>
      <c r="AF73" s="52" t="str">
        <f>IF('Angioplasty Summary'!$R$4=2,AC73,IF('Angioplasty Summary'!$R$4=1,AA73))</f>
        <v>xx</v>
      </c>
      <c r="AG73" s="52" t="str">
        <f>IF('Angioplasty Summary'!$R$4=2,AD73,IF('Angioplasty Summary'!$R$4=1,AB73))</f>
        <v>xx</v>
      </c>
      <c r="AH73" s="67" t="e">
        <f t="shared" si="2"/>
        <v>#VALUE!</v>
      </c>
      <c r="AI73" s="67">
        <f t="shared" si="3"/>
        <v>0</v>
      </c>
    </row>
    <row r="74" spans="1:35" x14ac:dyDescent="0.25">
      <c r="A74" t="s">
        <v>2</v>
      </c>
      <c r="B74" t="s">
        <v>196</v>
      </c>
      <c r="C74" s="101">
        <v>348</v>
      </c>
      <c r="D74" s="101">
        <v>147</v>
      </c>
      <c r="E74" s="101">
        <v>115</v>
      </c>
      <c r="F74" s="101">
        <v>86</v>
      </c>
      <c r="G74" s="102">
        <v>2.2154530510306358E-2</v>
      </c>
      <c r="H74" s="103" t="s">
        <v>1027</v>
      </c>
      <c r="I74" s="103" t="s">
        <v>1028</v>
      </c>
      <c r="J74" s="103">
        <v>43</v>
      </c>
      <c r="K74" s="104">
        <v>0.52999997138977051</v>
      </c>
      <c r="L74" s="103">
        <v>36</v>
      </c>
      <c r="M74" s="104">
        <v>0.41999998688697815</v>
      </c>
      <c r="N74" s="114">
        <v>67</v>
      </c>
      <c r="O74" s="114" t="s">
        <v>1029</v>
      </c>
      <c r="P74" s="115">
        <v>0.23999999463558197</v>
      </c>
      <c r="Q74" s="114">
        <v>46</v>
      </c>
      <c r="R74" s="103" t="s">
        <v>1030</v>
      </c>
      <c r="S74" s="104">
        <v>0.23999999463558197</v>
      </c>
      <c r="T74" s="103">
        <v>109</v>
      </c>
      <c r="U74" s="104">
        <v>0.17000000178813934</v>
      </c>
      <c r="V74" s="103">
        <v>84</v>
      </c>
      <c r="W74" s="104">
        <v>0.23999999463558197</v>
      </c>
      <c r="X74" t="s">
        <v>2</v>
      </c>
      <c r="Y74">
        <v>30</v>
      </c>
      <c r="Z74">
        <v>34</v>
      </c>
      <c r="AA74" s="104">
        <v>0.23999999463558197</v>
      </c>
      <c r="AB74" s="115">
        <v>0.23999999463558197</v>
      </c>
      <c r="AC74" s="104">
        <v>0.41999998688697815</v>
      </c>
      <c r="AD74" s="104">
        <v>0.52999997138977051</v>
      </c>
      <c r="AE74" s="110">
        <f>IF('Angioplasty Summary'!$R$4=2,Z74,IF('Angioplasty Summary'!$R$4=1,Y74))</f>
        <v>30</v>
      </c>
      <c r="AF74" s="52">
        <f>IF('Angioplasty Summary'!$R$4=2,AC74,IF('Angioplasty Summary'!$R$4=1,AA74))</f>
        <v>0.23999999463558197</v>
      </c>
      <c r="AG74" s="52">
        <f>IF('Angioplasty Summary'!$R$4=2,AD74,IF('Angioplasty Summary'!$R$4=1,AB74))</f>
        <v>0.23999999463558197</v>
      </c>
      <c r="AH74" s="67">
        <f t="shared" si="2"/>
        <v>0</v>
      </c>
      <c r="AI74" s="67">
        <f t="shared" si="3"/>
        <v>0</v>
      </c>
    </row>
    <row r="75" spans="1:35" x14ac:dyDescent="0.25">
      <c r="A75" t="s">
        <v>84</v>
      </c>
      <c r="B75" t="s">
        <v>85</v>
      </c>
      <c r="C75" s="101">
        <v>629</v>
      </c>
      <c r="D75" s="101">
        <v>295</v>
      </c>
      <c r="E75" s="101">
        <v>219</v>
      </c>
      <c r="F75" s="101">
        <v>115</v>
      </c>
      <c r="G75" s="102">
        <v>3.2351456582546234E-2</v>
      </c>
      <c r="H75" s="103" t="s">
        <v>256</v>
      </c>
      <c r="I75" s="103" t="s">
        <v>442</v>
      </c>
      <c r="J75" s="103">
        <v>107</v>
      </c>
      <c r="K75" s="104">
        <v>0.75</v>
      </c>
      <c r="L75" s="103">
        <v>50</v>
      </c>
      <c r="M75" s="104">
        <v>0.77999997138977051</v>
      </c>
      <c r="N75" s="114">
        <v>102</v>
      </c>
      <c r="O75" s="114" t="s">
        <v>211</v>
      </c>
      <c r="P75" s="115">
        <v>0.75</v>
      </c>
      <c r="Q75" s="114">
        <v>60</v>
      </c>
      <c r="R75" s="103" t="s">
        <v>1052</v>
      </c>
      <c r="S75" s="104">
        <v>0.80000001192092896</v>
      </c>
      <c r="T75" s="103">
        <v>209</v>
      </c>
      <c r="U75" s="104">
        <v>0.18000000715255737</v>
      </c>
      <c r="V75" s="103">
        <v>107</v>
      </c>
      <c r="W75" s="104">
        <v>5.9999998658895493E-2</v>
      </c>
      <c r="X75" t="s">
        <v>84</v>
      </c>
      <c r="Y75">
        <v>1</v>
      </c>
      <c r="Z75">
        <v>11</v>
      </c>
      <c r="AA75" s="104">
        <v>0.80000001192092896</v>
      </c>
      <c r="AB75" s="115">
        <v>0.75</v>
      </c>
      <c r="AC75" s="104">
        <v>0.77999997138977051</v>
      </c>
      <c r="AD75" s="104">
        <v>0.75</v>
      </c>
      <c r="AE75" s="110">
        <f>IF('Angioplasty Summary'!$R$4=2,Z75,IF('Angioplasty Summary'!$R$4=1,Y75))</f>
        <v>1</v>
      </c>
      <c r="AF75" s="52">
        <f>IF('Angioplasty Summary'!$R$4=2,AC75,IF('Angioplasty Summary'!$R$4=1,AA75))</f>
        <v>0.80000001192092896</v>
      </c>
      <c r="AG75" s="52">
        <f>IF('Angioplasty Summary'!$R$4=2,AD75,IF('Angioplasty Summary'!$R$4=1,AB75))</f>
        <v>0.75</v>
      </c>
      <c r="AH75" s="67">
        <f t="shared" si="2"/>
        <v>0</v>
      </c>
      <c r="AI75" s="67">
        <f t="shared" si="3"/>
        <v>5.0000011920928955E-2</v>
      </c>
    </row>
    <row r="76" spans="1:35" x14ac:dyDescent="0.25">
      <c r="A76" t="s">
        <v>129</v>
      </c>
      <c r="B76" t="s">
        <v>130</v>
      </c>
      <c r="C76" s="101">
        <v>312</v>
      </c>
      <c r="D76" s="101">
        <v>4</v>
      </c>
      <c r="E76" s="101">
        <v>171</v>
      </c>
      <c r="F76" s="101">
        <v>137</v>
      </c>
      <c r="G76" s="102">
        <v>7.6896287500858307E-3</v>
      </c>
      <c r="H76" s="103" t="s">
        <v>257</v>
      </c>
      <c r="I76" s="103" t="s">
        <v>442</v>
      </c>
      <c r="J76" s="103">
        <v>132</v>
      </c>
      <c r="K76" s="104">
        <v>0.70999997854232788</v>
      </c>
      <c r="L76" s="103">
        <v>93</v>
      </c>
      <c r="M76" s="104">
        <v>0.64999997615814209</v>
      </c>
      <c r="N76" s="114">
        <v>38</v>
      </c>
      <c r="O76" s="114" t="s">
        <v>443</v>
      </c>
      <c r="P76" s="115">
        <v>0.28999999165534973</v>
      </c>
      <c r="Q76" s="114">
        <v>37</v>
      </c>
      <c r="R76" s="103" t="s">
        <v>323</v>
      </c>
      <c r="S76" s="104">
        <v>0.43000000715255737</v>
      </c>
      <c r="T76" s="103">
        <v>170</v>
      </c>
      <c r="U76" s="104">
        <v>3.9999999105930328E-2</v>
      </c>
      <c r="V76" s="103">
        <v>135</v>
      </c>
      <c r="W76" s="104">
        <v>2.9999999329447746E-2</v>
      </c>
      <c r="X76" t="s">
        <v>129</v>
      </c>
      <c r="Y76">
        <v>25</v>
      </c>
      <c r="Z76">
        <v>21</v>
      </c>
      <c r="AA76" s="104">
        <v>0.43000000715255737</v>
      </c>
      <c r="AB76" s="115">
        <v>0.28999999165534973</v>
      </c>
      <c r="AC76" s="104">
        <v>0.64999997615814209</v>
      </c>
      <c r="AD76" s="104">
        <v>0.70999997854232788</v>
      </c>
      <c r="AE76" s="110">
        <f>IF('Angioplasty Summary'!$R$4=2,Z76,IF('Angioplasty Summary'!$R$4=1,Y76))</f>
        <v>25</v>
      </c>
      <c r="AF76" s="52">
        <f>IF('Angioplasty Summary'!$R$4=2,AC76,IF('Angioplasty Summary'!$R$4=1,AA76))</f>
        <v>0.43000000715255737</v>
      </c>
      <c r="AG76" s="52">
        <f>IF('Angioplasty Summary'!$R$4=2,AD76,IF('Angioplasty Summary'!$R$4=1,AB76))</f>
        <v>0.28999999165534973</v>
      </c>
      <c r="AH76" s="67">
        <f t="shared" si="2"/>
        <v>0</v>
      </c>
      <c r="AI76" s="67">
        <f t="shared" si="3"/>
        <v>0.14000001549720764</v>
      </c>
    </row>
    <row r="77" spans="1:35" x14ac:dyDescent="0.25">
      <c r="A77" t="s">
        <v>106</v>
      </c>
      <c r="B77" t="s">
        <v>107</v>
      </c>
      <c r="C77" s="101">
        <v>34</v>
      </c>
      <c r="D77" s="101">
        <v>3</v>
      </c>
      <c r="E77" s="101">
        <v>5</v>
      </c>
      <c r="F77" s="101">
        <v>26</v>
      </c>
      <c r="G77" s="102">
        <v>0</v>
      </c>
      <c r="H77" s="103" t="s">
        <v>346</v>
      </c>
      <c r="I77" s="103" t="s">
        <v>1053</v>
      </c>
      <c r="J77" s="103" t="s">
        <v>433</v>
      </c>
      <c r="K77" s="104" t="s">
        <v>346</v>
      </c>
      <c r="L77" s="103">
        <v>19</v>
      </c>
      <c r="M77" s="104">
        <v>0.15999999642372131</v>
      </c>
      <c r="N77" s="112" t="s">
        <v>433</v>
      </c>
      <c r="O77" s="112" t="s">
        <v>346</v>
      </c>
      <c r="P77" s="113" t="s">
        <v>346</v>
      </c>
      <c r="Q77" s="112" t="s">
        <v>433</v>
      </c>
      <c r="R77" s="105" t="s">
        <v>346</v>
      </c>
      <c r="S77" s="106" t="s">
        <v>346</v>
      </c>
      <c r="T77" s="103">
        <v>5</v>
      </c>
      <c r="U77" s="104">
        <v>0</v>
      </c>
      <c r="V77" s="103">
        <v>26</v>
      </c>
      <c r="W77" s="104">
        <v>0.18999999761581421</v>
      </c>
      <c r="X77" t="s">
        <v>106</v>
      </c>
      <c r="Y77" s="52" t="e">
        <v>#VALUE!</v>
      </c>
      <c r="Z77" s="52" t="e">
        <v>#VALUE!</v>
      </c>
      <c r="AA77" s="106" t="s">
        <v>346</v>
      </c>
      <c r="AB77" s="113" t="s">
        <v>346</v>
      </c>
      <c r="AC77" s="104" t="s">
        <v>346</v>
      </c>
      <c r="AD77" s="104" t="s">
        <v>346</v>
      </c>
      <c r="AE77" s="110" t="e">
        <f>IF('Angioplasty Summary'!$R$4=2,Z77,IF('Angioplasty Summary'!$R$4=1,Y77))</f>
        <v>#VALUE!</v>
      </c>
      <c r="AF77" s="52" t="str">
        <f>IF('Angioplasty Summary'!$R$4=2,AC77,IF('Angioplasty Summary'!$R$4=1,AA77))</f>
        <v>xx</v>
      </c>
      <c r="AG77" s="52" t="str">
        <f>IF('Angioplasty Summary'!$R$4=2,AD77,IF('Angioplasty Summary'!$R$4=1,AB77))</f>
        <v>xx</v>
      </c>
      <c r="AH77" s="67" t="e">
        <f t="shared" si="2"/>
        <v>#VALUE!</v>
      </c>
      <c r="AI77" s="67">
        <f t="shared" si="3"/>
        <v>0</v>
      </c>
    </row>
    <row r="78" spans="1:35" x14ac:dyDescent="0.25">
      <c r="A78" t="s">
        <v>67</v>
      </c>
      <c r="B78" t="s">
        <v>68</v>
      </c>
      <c r="C78" s="101">
        <v>767</v>
      </c>
      <c r="D78" s="101">
        <v>266</v>
      </c>
      <c r="E78" s="101">
        <v>271</v>
      </c>
      <c r="F78" s="101">
        <v>230</v>
      </c>
      <c r="G78" s="102">
        <v>2.1768487989902496E-2</v>
      </c>
      <c r="H78" s="103" t="s">
        <v>278</v>
      </c>
      <c r="I78" s="103" t="s">
        <v>266</v>
      </c>
      <c r="J78" s="103">
        <v>163</v>
      </c>
      <c r="K78" s="104">
        <v>0.72000002861022949</v>
      </c>
      <c r="L78" s="103">
        <v>145</v>
      </c>
      <c r="M78" s="104">
        <v>0.75</v>
      </c>
      <c r="N78" s="114">
        <v>103</v>
      </c>
      <c r="O78" s="114" t="s">
        <v>750</v>
      </c>
      <c r="P78" s="115">
        <v>0.41999998688697815</v>
      </c>
      <c r="Q78" s="114">
        <v>80</v>
      </c>
      <c r="R78" s="103" t="s">
        <v>203</v>
      </c>
      <c r="S78" s="104">
        <v>0.5899999737739563</v>
      </c>
      <c r="T78" s="103">
        <v>265</v>
      </c>
      <c r="U78" s="104">
        <v>0.25999999046325684</v>
      </c>
      <c r="V78" s="103">
        <v>223</v>
      </c>
      <c r="W78" s="104">
        <v>0.2199999988079071</v>
      </c>
      <c r="X78" t="s">
        <v>67</v>
      </c>
      <c r="Y78">
        <v>20</v>
      </c>
      <c r="Z78">
        <v>15</v>
      </c>
      <c r="AA78" s="104">
        <v>0.5899999737739563</v>
      </c>
      <c r="AB78" s="115">
        <v>0.41999998688697815</v>
      </c>
      <c r="AC78" s="104">
        <v>0.75</v>
      </c>
      <c r="AD78" s="104">
        <v>0.72000002861022949</v>
      </c>
      <c r="AE78" s="110">
        <f>IF('Angioplasty Summary'!$R$4=2,Z78,IF('Angioplasty Summary'!$R$4=1,Y78))</f>
        <v>20</v>
      </c>
      <c r="AF78" s="52">
        <f>IF('Angioplasty Summary'!$R$4=2,AC78,IF('Angioplasty Summary'!$R$4=1,AA78))</f>
        <v>0.5899999737739563</v>
      </c>
      <c r="AG78" s="52">
        <f>IF('Angioplasty Summary'!$R$4=2,AD78,IF('Angioplasty Summary'!$R$4=1,AB78))</f>
        <v>0.41999998688697815</v>
      </c>
      <c r="AH78" s="67">
        <f t="shared" si="2"/>
        <v>0</v>
      </c>
      <c r="AI78" s="67">
        <f t="shared" si="3"/>
        <v>0.16999998688697815</v>
      </c>
    </row>
    <row r="79" spans="1:35" x14ac:dyDescent="0.25">
      <c r="A79" t="s">
        <v>55</v>
      </c>
      <c r="B79" t="s">
        <v>56</v>
      </c>
      <c r="C79" s="101">
        <v>138</v>
      </c>
      <c r="D79" s="101">
        <v>0</v>
      </c>
      <c r="E79" s="101">
        <v>31</v>
      </c>
      <c r="F79" s="101">
        <v>107</v>
      </c>
      <c r="G79" s="102">
        <v>8.4778936579823494E-3</v>
      </c>
      <c r="H79" s="103" t="s">
        <v>726</v>
      </c>
      <c r="I79" s="103" t="s">
        <v>1047</v>
      </c>
      <c r="J79" s="103">
        <v>25</v>
      </c>
      <c r="K79" s="104">
        <v>0.15999999642372131</v>
      </c>
      <c r="L79" s="103">
        <v>91</v>
      </c>
      <c r="M79" s="104">
        <v>0.23999999463558197</v>
      </c>
      <c r="N79" s="112" t="s">
        <v>433</v>
      </c>
      <c r="O79" s="112" t="s">
        <v>346</v>
      </c>
      <c r="P79" s="113" t="s">
        <v>346</v>
      </c>
      <c r="Q79" s="112" t="s">
        <v>433</v>
      </c>
      <c r="R79" s="105" t="s">
        <v>346</v>
      </c>
      <c r="S79" s="106" t="s">
        <v>346</v>
      </c>
      <c r="T79" s="103">
        <v>30</v>
      </c>
      <c r="U79" s="104">
        <v>0.17000000178813934</v>
      </c>
      <c r="V79" s="103">
        <v>107</v>
      </c>
      <c r="W79" s="104">
        <v>0.25</v>
      </c>
      <c r="X79" t="s">
        <v>55</v>
      </c>
      <c r="Y79" s="52" t="e">
        <v>#VALUE!</v>
      </c>
      <c r="Z79">
        <v>45</v>
      </c>
      <c r="AA79" s="106" t="s">
        <v>346</v>
      </c>
      <c r="AB79" s="113" t="s">
        <v>346</v>
      </c>
      <c r="AC79" s="104">
        <v>0.23999999463558197</v>
      </c>
      <c r="AD79" s="104">
        <v>0.15999999642372131</v>
      </c>
      <c r="AE79" s="110" t="e">
        <f>IF('Angioplasty Summary'!$R$4=2,Z79,IF('Angioplasty Summary'!$R$4=1,Y79))</f>
        <v>#VALUE!</v>
      </c>
      <c r="AF79" s="52" t="str">
        <f>IF('Angioplasty Summary'!$R$4=2,AC79,IF('Angioplasty Summary'!$R$4=1,AA79))</f>
        <v>xx</v>
      </c>
      <c r="AG79" s="52" t="str">
        <f>IF('Angioplasty Summary'!$R$4=2,AD79,IF('Angioplasty Summary'!$R$4=1,AB79))</f>
        <v>xx</v>
      </c>
      <c r="AH79" s="67" t="e">
        <f t="shared" si="2"/>
        <v>#VALUE!</v>
      </c>
      <c r="AI79" s="67">
        <f t="shared" si="3"/>
        <v>0</v>
      </c>
    </row>
    <row r="80" spans="1:35" x14ac:dyDescent="0.25">
      <c r="A80" t="s">
        <v>701</v>
      </c>
      <c r="B80" s="15" t="s">
        <v>702</v>
      </c>
      <c r="C80" s="101">
        <v>0</v>
      </c>
      <c r="D80" s="101"/>
      <c r="E80" s="101"/>
      <c r="F80" s="101"/>
      <c r="G80" s="102"/>
      <c r="H80" s="103"/>
      <c r="I80" s="103"/>
      <c r="J80" s="103"/>
      <c r="K80" s="104"/>
      <c r="L80" s="103"/>
      <c r="M80" s="104"/>
      <c r="N80" s="114"/>
      <c r="O80" s="114"/>
      <c r="P80" s="115"/>
      <c r="Q80" s="114"/>
      <c r="R80" s="103"/>
      <c r="S80" s="104"/>
      <c r="T80" s="103"/>
      <c r="U80" s="104"/>
      <c r="V80" s="103"/>
      <c r="W80" s="104"/>
      <c r="X80" t="s">
        <v>701</v>
      </c>
      <c r="Y80" s="52" t="e">
        <v>#VALUE!</v>
      </c>
      <c r="Z80" s="52" t="e">
        <v>#VALUE!</v>
      </c>
      <c r="AA80" s="104" t="s">
        <v>346</v>
      </c>
      <c r="AB80" s="115" t="s">
        <v>346</v>
      </c>
      <c r="AC80" s="104" t="s">
        <v>346</v>
      </c>
      <c r="AD80" s="104" t="s">
        <v>346</v>
      </c>
      <c r="AE80" s="110" t="e">
        <f>IF('Angioplasty Summary'!$R$4=2,Z80,IF('Angioplasty Summary'!$R$4=1,Y80))</f>
        <v>#VALUE!</v>
      </c>
      <c r="AF80" s="52" t="str">
        <f>IF('Angioplasty Summary'!$R$4=2,AC80,IF('Angioplasty Summary'!$R$4=1,AA80))</f>
        <v>xx</v>
      </c>
      <c r="AG80" s="52" t="str">
        <f>IF('Angioplasty Summary'!$R$4=2,AD80,IF('Angioplasty Summary'!$R$4=1,AB80))</f>
        <v>xx</v>
      </c>
      <c r="AH80" s="67" t="e">
        <f t="shared" si="2"/>
        <v>#VALUE!</v>
      </c>
      <c r="AI80" s="67">
        <f t="shared" si="3"/>
        <v>0</v>
      </c>
    </row>
    <row r="81" spans="1:35" x14ac:dyDescent="0.25">
      <c r="A81" t="s">
        <v>104</v>
      </c>
      <c r="B81" t="s">
        <v>105</v>
      </c>
      <c r="C81" s="101">
        <v>1107</v>
      </c>
      <c r="D81" s="101">
        <v>424</v>
      </c>
      <c r="E81" s="101">
        <v>395</v>
      </c>
      <c r="F81" s="101">
        <v>288</v>
      </c>
      <c r="G81" s="102">
        <v>1.303096953779459E-2</v>
      </c>
      <c r="H81" s="103" t="s">
        <v>434</v>
      </c>
      <c r="I81" s="103" t="s">
        <v>440</v>
      </c>
      <c r="J81" s="103">
        <v>215</v>
      </c>
      <c r="K81" s="104">
        <v>0.62000000476837158</v>
      </c>
      <c r="L81" s="103">
        <v>159</v>
      </c>
      <c r="M81" s="104">
        <v>0.64999997615814209</v>
      </c>
      <c r="N81" s="114">
        <v>166</v>
      </c>
      <c r="O81" s="114" t="s">
        <v>244</v>
      </c>
      <c r="P81" s="115">
        <v>0.43000000715255737</v>
      </c>
      <c r="Q81" s="114">
        <v>114</v>
      </c>
      <c r="R81" s="103" t="s">
        <v>282</v>
      </c>
      <c r="S81" s="104">
        <v>0.57999998331069946</v>
      </c>
      <c r="T81" s="103">
        <v>389</v>
      </c>
      <c r="U81" s="104">
        <v>7.0000000298023224E-2</v>
      </c>
      <c r="V81" s="103">
        <v>281</v>
      </c>
      <c r="W81" s="104">
        <v>7.0000000298023224E-2</v>
      </c>
      <c r="X81" t="s">
        <v>104</v>
      </c>
      <c r="Y81">
        <v>22</v>
      </c>
      <c r="Z81">
        <v>22</v>
      </c>
      <c r="AA81" s="104">
        <v>0.57999998331069946</v>
      </c>
      <c r="AB81" s="115">
        <v>0.43000000715255737</v>
      </c>
      <c r="AC81" s="104">
        <v>0.64999997615814209</v>
      </c>
      <c r="AD81" s="104">
        <v>0.62000000476837158</v>
      </c>
      <c r="AE81" s="110">
        <f>IF('Angioplasty Summary'!$R$4=2,Z81,IF('Angioplasty Summary'!$R$4=1,Y81))</f>
        <v>22</v>
      </c>
      <c r="AF81" s="52">
        <f>IF('Angioplasty Summary'!$R$4=2,AC81,IF('Angioplasty Summary'!$R$4=1,AA81))</f>
        <v>0.57999998331069946</v>
      </c>
      <c r="AG81" s="52">
        <f>IF('Angioplasty Summary'!$R$4=2,AD81,IF('Angioplasty Summary'!$R$4=1,AB81))</f>
        <v>0.43000000715255737</v>
      </c>
      <c r="AH81" s="67">
        <f t="shared" si="2"/>
        <v>0</v>
      </c>
      <c r="AI81" s="67">
        <f t="shared" si="3"/>
        <v>0.14999997615814209</v>
      </c>
    </row>
    <row r="82" spans="1:35" x14ac:dyDescent="0.25">
      <c r="A82" t="s">
        <v>74</v>
      </c>
      <c r="B82" t="s">
        <v>75</v>
      </c>
      <c r="C82" s="101">
        <v>86</v>
      </c>
      <c r="D82" s="101">
        <v>37</v>
      </c>
      <c r="E82" s="101">
        <v>0</v>
      </c>
      <c r="F82" s="101">
        <v>49</v>
      </c>
      <c r="G82" s="102">
        <v>1.1161224916577339E-2</v>
      </c>
      <c r="H82" s="103" t="s">
        <v>346</v>
      </c>
      <c r="I82" s="103" t="s">
        <v>1051</v>
      </c>
      <c r="J82" s="103" t="s">
        <v>433</v>
      </c>
      <c r="K82" s="104" t="s">
        <v>346</v>
      </c>
      <c r="L82" s="103">
        <v>20</v>
      </c>
      <c r="M82" s="104">
        <v>0.5</v>
      </c>
      <c r="N82" s="112" t="s">
        <v>433</v>
      </c>
      <c r="O82" s="112" t="s">
        <v>346</v>
      </c>
      <c r="P82" s="113" t="s">
        <v>346</v>
      </c>
      <c r="Q82" s="114">
        <v>15</v>
      </c>
      <c r="R82" s="103" t="s">
        <v>243</v>
      </c>
      <c r="S82" s="104">
        <v>0.33000001311302185</v>
      </c>
      <c r="T82" s="103" t="s">
        <v>345</v>
      </c>
      <c r="U82" s="104" t="s">
        <v>346</v>
      </c>
      <c r="V82" s="103">
        <v>48</v>
      </c>
      <c r="W82" s="104">
        <v>0.17000000178813934</v>
      </c>
      <c r="X82" t="s">
        <v>74</v>
      </c>
      <c r="Y82" s="52" t="e">
        <v>#VALUE!</v>
      </c>
      <c r="Z82" s="52" t="e">
        <v>#VALUE!</v>
      </c>
      <c r="AA82" s="104" t="s">
        <v>346</v>
      </c>
      <c r="AB82" s="115" t="s">
        <v>346</v>
      </c>
      <c r="AC82" s="104" t="s">
        <v>346</v>
      </c>
      <c r="AD82" s="104" t="s">
        <v>346</v>
      </c>
      <c r="AE82" s="110" t="e">
        <f>IF('Angioplasty Summary'!$R$4=2,Z82,IF('Angioplasty Summary'!$R$4=1,Y82))</f>
        <v>#VALUE!</v>
      </c>
      <c r="AF82" s="52" t="str">
        <f>IF('Angioplasty Summary'!$R$4=2,AC82,IF('Angioplasty Summary'!$R$4=1,AA82))</f>
        <v>xx</v>
      </c>
      <c r="AG82" s="52" t="str">
        <f>IF('Angioplasty Summary'!$R$4=2,AD82,IF('Angioplasty Summary'!$R$4=1,AB82))</f>
        <v>xx</v>
      </c>
      <c r="AH82" s="67" t="e">
        <f t="shared" si="2"/>
        <v>#VALUE!</v>
      </c>
      <c r="AI82" s="67">
        <f t="shared" si="3"/>
        <v>0</v>
      </c>
    </row>
    <row r="83" spans="1:35" x14ac:dyDescent="0.25">
      <c r="A83" t="s">
        <v>677</v>
      </c>
      <c r="B83" t="s">
        <v>678</v>
      </c>
      <c r="C83" s="101">
        <v>2</v>
      </c>
      <c r="D83" s="101">
        <v>0</v>
      </c>
      <c r="E83" s="101">
        <v>0</v>
      </c>
      <c r="F83" s="101">
        <v>2</v>
      </c>
      <c r="G83" s="102" t="s">
        <v>346</v>
      </c>
      <c r="H83" s="103" t="s">
        <v>346</v>
      </c>
      <c r="I83" s="103" t="s">
        <v>346</v>
      </c>
      <c r="J83" s="103" t="s">
        <v>433</v>
      </c>
      <c r="K83" s="104" t="s">
        <v>346</v>
      </c>
      <c r="L83" s="103" t="s">
        <v>433</v>
      </c>
      <c r="M83" s="104" t="s">
        <v>346</v>
      </c>
      <c r="N83" s="112" t="s">
        <v>433</v>
      </c>
      <c r="O83" s="112" t="s">
        <v>346</v>
      </c>
      <c r="P83" s="113" t="s">
        <v>346</v>
      </c>
      <c r="Q83" s="112" t="s">
        <v>433</v>
      </c>
      <c r="R83" s="105" t="s">
        <v>346</v>
      </c>
      <c r="S83" s="106" t="s">
        <v>346</v>
      </c>
      <c r="T83" s="103" t="s">
        <v>345</v>
      </c>
      <c r="U83" s="104" t="s">
        <v>346</v>
      </c>
      <c r="V83" s="103" t="s">
        <v>345</v>
      </c>
      <c r="W83" s="104" t="s">
        <v>346</v>
      </c>
      <c r="X83" t="s">
        <v>677</v>
      </c>
      <c r="Y83" s="52" t="e">
        <v>#VALUE!</v>
      </c>
      <c r="Z83" s="52" t="e">
        <v>#VALUE!</v>
      </c>
      <c r="AA83" s="106" t="s">
        <v>346</v>
      </c>
      <c r="AB83" s="113" t="s">
        <v>346</v>
      </c>
      <c r="AC83" s="104" t="s">
        <v>346</v>
      </c>
      <c r="AD83" s="104" t="s">
        <v>346</v>
      </c>
      <c r="AE83" s="110" t="e">
        <f>IF('Angioplasty Summary'!$R$4=2,Z83,IF('Angioplasty Summary'!$R$4=1,Y83))</f>
        <v>#VALUE!</v>
      </c>
      <c r="AF83" s="52" t="str">
        <f>IF('Angioplasty Summary'!$R$4=2,AC83,IF('Angioplasty Summary'!$R$4=1,AA83))</f>
        <v>xx</v>
      </c>
      <c r="AG83" s="52" t="str">
        <f>IF('Angioplasty Summary'!$R$4=2,AD83,IF('Angioplasty Summary'!$R$4=1,AB83))</f>
        <v>xx</v>
      </c>
      <c r="AH83" s="67" t="e">
        <f t="shared" si="2"/>
        <v>#VALUE!</v>
      </c>
      <c r="AI83" s="67">
        <f t="shared" si="3"/>
        <v>0</v>
      </c>
    </row>
    <row r="84" spans="1:35" x14ac:dyDescent="0.25">
      <c r="A84" t="s">
        <v>114</v>
      </c>
      <c r="B84" t="s">
        <v>347</v>
      </c>
      <c r="C84" s="101">
        <v>891</v>
      </c>
      <c r="D84" s="101">
        <v>298</v>
      </c>
      <c r="E84" s="101">
        <v>322</v>
      </c>
      <c r="F84" s="101">
        <v>271</v>
      </c>
      <c r="G84" s="102">
        <v>1.4129108749330044E-2</v>
      </c>
      <c r="H84" s="103" t="s">
        <v>438</v>
      </c>
      <c r="I84" s="103" t="s">
        <v>1034</v>
      </c>
      <c r="J84" s="103">
        <v>207</v>
      </c>
      <c r="K84" s="104">
        <v>0.41999998688697815</v>
      </c>
      <c r="L84" s="103">
        <v>182</v>
      </c>
      <c r="M84" s="104">
        <v>0.57999998331069946</v>
      </c>
      <c r="N84" s="114">
        <v>97</v>
      </c>
      <c r="O84" s="114" t="s">
        <v>1056</v>
      </c>
      <c r="P84" s="115">
        <v>0.51999998092651367</v>
      </c>
      <c r="Q84" s="114">
        <v>79</v>
      </c>
      <c r="R84" s="103" t="s">
        <v>296</v>
      </c>
      <c r="S84" s="104">
        <v>0.4699999988079071</v>
      </c>
      <c r="T84" s="103">
        <v>320</v>
      </c>
      <c r="U84" s="104">
        <v>0.10999999940395355</v>
      </c>
      <c r="V84" s="103">
        <v>266</v>
      </c>
      <c r="W84" s="104">
        <v>0.10999999940395355</v>
      </c>
      <c r="X84" t="s">
        <v>114</v>
      </c>
      <c r="Y84">
        <v>24</v>
      </c>
      <c r="Z84">
        <v>26</v>
      </c>
      <c r="AA84" s="104">
        <v>0.4699999988079071</v>
      </c>
      <c r="AB84" s="115">
        <v>0.51999998092651367</v>
      </c>
      <c r="AC84" s="104">
        <v>0.57999998331069946</v>
      </c>
      <c r="AD84" s="104">
        <v>0.41999998688697815</v>
      </c>
      <c r="AE84" s="110">
        <f>IF('Angioplasty Summary'!$R$4=2,Z84,IF('Angioplasty Summary'!$R$4=1,Y84))</f>
        <v>24</v>
      </c>
      <c r="AF84" s="52">
        <f>IF('Angioplasty Summary'!$R$4=2,AC84,IF('Angioplasty Summary'!$R$4=1,AA84))</f>
        <v>0.4699999988079071</v>
      </c>
      <c r="AG84" s="52">
        <f>IF('Angioplasty Summary'!$R$4=2,AD84,IF('Angioplasty Summary'!$R$4=1,AB84))</f>
        <v>0.51999998092651367</v>
      </c>
      <c r="AH84" s="67">
        <f t="shared" si="2"/>
        <v>4.9999982118606567E-2</v>
      </c>
      <c r="AI84" s="67">
        <f t="shared" si="3"/>
        <v>0</v>
      </c>
    </row>
    <row r="85" spans="1:35" x14ac:dyDescent="0.25">
      <c r="A85" t="s">
        <v>131</v>
      </c>
      <c r="B85" t="s">
        <v>132</v>
      </c>
      <c r="C85" s="101">
        <v>223</v>
      </c>
      <c r="D85" s="101">
        <v>0</v>
      </c>
      <c r="E85" s="101">
        <v>30</v>
      </c>
      <c r="F85" s="101">
        <v>193</v>
      </c>
      <c r="G85" s="102">
        <v>4.7223819419741631E-3</v>
      </c>
      <c r="H85" s="103" t="s">
        <v>1061</v>
      </c>
      <c r="I85" s="103" t="s">
        <v>269</v>
      </c>
      <c r="J85" s="103">
        <v>20</v>
      </c>
      <c r="K85" s="104">
        <v>0.55000001192092896</v>
      </c>
      <c r="L85" s="103">
        <v>107</v>
      </c>
      <c r="M85" s="104">
        <v>0.20000000298023224</v>
      </c>
      <c r="N85" s="114">
        <v>10</v>
      </c>
      <c r="O85" s="114" t="s">
        <v>280</v>
      </c>
      <c r="P85" s="115">
        <v>0.5</v>
      </c>
      <c r="Q85" s="114">
        <v>78</v>
      </c>
      <c r="R85" s="103" t="s">
        <v>276</v>
      </c>
      <c r="S85" s="104">
        <v>0.77999997138977051</v>
      </c>
      <c r="T85" s="103">
        <v>30</v>
      </c>
      <c r="U85" s="104">
        <v>0</v>
      </c>
      <c r="V85" s="103">
        <v>191</v>
      </c>
      <c r="W85" s="104">
        <v>0.15999999642372131</v>
      </c>
      <c r="X85" t="s">
        <v>131</v>
      </c>
      <c r="Y85">
        <v>2</v>
      </c>
      <c r="Z85">
        <v>46</v>
      </c>
      <c r="AA85" s="104">
        <v>0.77999997138977051</v>
      </c>
      <c r="AB85" s="115">
        <v>0.5</v>
      </c>
      <c r="AC85" s="104">
        <v>0.20000000298023224</v>
      </c>
      <c r="AD85" s="104">
        <v>0.55000001192092896</v>
      </c>
      <c r="AE85" s="110">
        <f>IF('Angioplasty Summary'!$R$4=2,Z85,IF('Angioplasty Summary'!$R$4=1,Y85))</f>
        <v>2</v>
      </c>
      <c r="AF85" s="52">
        <f>IF('Angioplasty Summary'!$R$4=2,AC85,IF('Angioplasty Summary'!$R$4=1,AA85))</f>
        <v>0.77999997138977051</v>
      </c>
      <c r="AG85" s="52">
        <f>IF('Angioplasty Summary'!$R$4=2,AD85,IF('Angioplasty Summary'!$R$4=1,AB85))</f>
        <v>0.5</v>
      </c>
      <c r="AH85" s="67">
        <f t="shared" si="2"/>
        <v>0</v>
      </c>
      <c r="AI85" s="67">
        <f t="shared" si="3"/>
        <v>0.27999997138977051</v>
      </c>
    </row>
    <row r="86" spans="1:35" x14ac:dyDescent="0.25">
      <c r="A86" t="s">
        <v>73</v>
      </c>
      <c r="B86" t="s">
        <v>197</v>
      </c>
      <c r="C86" s="101">
        <v>47</v>
      </c>
      <c r="D86" s="101">
        <v>23</v>
      </c>
      <c r="E86" s="101">
        <v>16</v>
      </c>
      <c r="F86" s="101">
        <v>8</v>
      </c>
      <c r="G86" s="102">
        <v>0</v>
      </c>
      <c r="H86" s="103" t="s">
        <v>258</v>
      </c>
      <c r="I86" s="103" t="s">
        <v>346</v>
      </c>
      <c r="J86" s="103">
        <v>14</v>
      </c>
      <c r="K86" s="104">
        <v>1</v>
      </c>
      <c r="L86" s="103" t="s">
        <v>433</v>
      </c>
      <c r="M86" s="104" t="s">
        <v>346</v>
      </c>
      <c r="N86" s="112" t="s">
        <v>433</v>
      </c>
      <c r="O86" s="112" t="s">
        <v>346</v>
      </c>
      <c r="P86" s="113" t="s">
        <v>346</v>
      </c>
      <c r="Q86" s="112" t="s">
        <v>433</v>
      </c>
      <c r="R86" s="105" t="s">
        <v>346</v>
      </c>
      <c r="S86" s="106" t="s">
        <v>346</v>
      </c>
      <c r="T86" s="103">
        <v>16</v>
      </c>
      <c r="U86" s="104">
        <v>0</v>
      </c>
      <c r="V86" s="103">
        <v>8</v>
      </c>
      <c r="W86" s="104">
        <v>0</v>
      </c>
      <c r="X86" t="s">
        <v>73</v>
      </c>
      <c r="Y86" s="52" t="e">
        <v>#VALUE!</v>
      </c>
      <c r="Z86" s="52" t="e">
        <v>#VALUE!</v>
      </c>
      <c r="AA86" s="106" t="s">
        <v>346</v>
      </c>
      <c r="AB86" s="113" t="s">
        <v>346</v>
      </c>
      <c r="AC86" s="104" t="s">
        <v>346</v>
      </c>
      <c r="AD86" s="104" t="s">
        <v>346</v>
      </c>
      <c r="AE86" s="110" t="e">
        <f>IF('Angioplasty Summary'!$R$4=2,Z86,IF('Angioplasty Summary'!$R$4=1,Y86))</f>
        <v>#VALUE!</v>
      </c>
      <c r="AF86" s="52" t="str">
        <f>IF('Angioplasty Summary'!$R$4=2,AC86,IF('Angioplasty Summary'!$R$4=1,AA86))</f>
        <v>xx</v>
      </c>
      <c r="AG86" s="52" t="str">
        <f>IF('Angioplasty Summary'!$R$4=2,AD86,IF('Angioplasty Summary'!$R$4=1,AB86))</f>
        <v>xx</v>
      </c>
      <c r="AH86" s="67" t="e">
        <f t="shared" si="2"/>
        <v>#VALUE!</v>
      </c>
      <c r="AI86" s="67">
        <f t="shared" si="3"/>
        <v>0</v>
      </c>
    </row>
    <row r="87" spans="1:35" x14ac:dyDescent="0.25">
      <c r="A87" t="s">
        <v>133</v>
      </c>
      <c r="B87" t="s">
        <v>134</v>
      </c>
      <c r="C87" s="101">
        <v>144</v>
      </c>
      <c r="D87" s="101">
        <v>71</v>
      </c>
      <c r="E87" s="101">
        <v>57</v>
      </c>
      <c r="F87" s="101">
        <v>16</v>
      </c>
      <c r="G87" s="102">
        <v>1.5937553718686104E-2</v>
      </c>
      <c r="H87" s="103" t="s">
        <v>1046</v>
      </c>
      <c r="I87" s="103" t="s">
        <v>1062</v>
      </c>
      <c r="J87" s="103">
        <v>42</v>
      </c>
      <c r="K87" s="104">
        <v>0.5</v>
      </c>
      <c r="L87" s="103">
        <v>11</v>
      </c>
      <c r="M87" s="104">
        <v>0.36000001430511475</v>
      </c>
      <c r="N87" s="112" t="s">
        <v>433</v>
      </c>
      <c r="O87" s="112" t="s">
        <v>346</v>
      </c>
      <c r="P87" s="113" t="s">
        <v>346</v>
      </c>
      <c r="Q87" s="112" t="s">
        <v>433</v>
      </c>
      <c r="R87" s="105" t="s">
        <v>346</v>
      </c>
      <c r="S87" s="106" t="s">
        <v>346</v>
      </c>
      <c r="T87" s="103">
        <v>55</v>
      </c>
      <c r="U87" s="104">
        <v>0.20000000298023224</v>
      </c>
      <c r="V87" s="103">
        <v>16</v>
      </c>
      <c r="W87" s="104">
        <v>0.18999999761581421</v>
      </c>
      <c r="X87" t="s">
        <v>133</v>
      </c>
      <c r="Y87" s="52" t="e">
        <v>#VALUE!</v>
      </c>
      <c r="Z87">
        <v>38</v>
      </c>
      <c r="AA87" s="106" t="s">
        <v>346</v>
      </c>
      <c r="AB87" s="113" t="s">
        <v>346</v>
      </c>
      <c r="AC87" s="104">
        <v>0.36000001430511475</v>
      </c>
      <c r="AD87" s="104">
        <v>0.5</v>
      </c>
      <c r="AE87" s="110" t="e">
        <f>IF('Angioplasty Summary'!$R$4=2,Z87,IF('Angioplasty Summary'!$R$4=1,Y87))</f>
        <v>#VALUE!</v>
      </c>
      <c r="AF87" s="52" t="str">
        <f>IF('Angioplasty Summary'!$R$4=2,AC87,IF('Angioplasty Summary'!$R$4=1,AA87))</f>
        <v>xx</v>
      </c>
      <c r="AG87" s="52" t="str">
        <f>IF('Angioplasty Summary'!$R$4=2,AD87,IF('Angioplasty Summary'!$R$4=1,AB87))</f>
        <v>xx</v>
      </c>
      <c r="AH87" s="67" t="e">
        <f t="shared" si="2"/>
        <v>#VALUE!</v>
      </c>
      <c r="AI87" s="67">
        <f t="shared" si="3"/>
        <v>0</v>
      </c>
    </row>
    <row r="88" spans="1:35" x14ac:dyDescent="0.25">
      <c r="A88" t="s">
        <v>49</v>
      </c>
      <c r="B88" t="s">
        <v>50</v>
      </c>
      <c r="C88" s="101">
        <v>0</v>
      </c>
      <c r="D88" s="101"/>
      <c r="E88" s="101"/>
      <c r="F88" s="101"/>
      <c r="G88" s="102"/>
      <c r="H88" s="103"/>
      <c r="I88" s="103"/>
      <c r="J88" s="103"/>
      <c r="K88" s="104"/>
      <c r="L88" s="103"/>
      <c r="M88" s="104"/>
      <c r="N88" s="112"/>
      <c r="O88" s="112"/>
      <c r="P88" s="113"/>
      <c r="Q88" s="112"/>
      <c r="R88" s="105"/>
      <c r="S88" s="106"/>
      <c r="T88" s="103"/>
      <c r="U88" s="104"/>
      <c r="V88" s="103"/>
      <c r="W88" s="104"/>
      <c r="X88" t="s">
        <v>49</v>
      </c>
      <c r="Y88" s="52" t="e">
        <v>#VALUE!</v>
      </c>
      <c r="Z88" s="52" t="e">
        <v>#VALUE!</v>
      </c>
      <c r="AA88" s="104" t="s">
        <v>346</v>
      </c>
      <c r="AB88" s="115" t="s">
        <v>346</v>
      </c>
      <c r="AC88" s="104" t="s">
        <v>346</v>
      </c>
      <c r="AD88" s="104" t="s">
        <v>346</v>
      </c>
      <c r="AE88" s="110" t="e">
        <f>IF('Angioplasty Summary'!$R$4=2,Z88,IF('Angioplasty Summary'!$R$4=1,Y88))</f>
        <v>#VALUE!</v>
      </c>
      <c r="AF88" s="52" t="str">
        <f>IF('Angioplasty Summary'!$R$4=2,AC88,IF('Angioplasty Summary'!$R$4=1,AA88))</f>
        <v>xx</v>
      </c>
      <c r="AG88" s="52" t="str">
        <f>IF('Angioplasty Summary'!$R$4=2,AD88,IF('Angioplasty Summary'!$R$4=1,AB88))</f>
        <v>xx</v>
      </c>
      <c r="AH88" s="67" t="e">
        <f t="shared" si="2"/>
        <v>#VALUE!</v>
      </c>
      <c r="AI88" s="67">
        <f t="shared" si="3"/>
        <v>0</v>
      </c>
    </row>
    <row r="89" spans="1:35" x14ac:dyDescent="0.25">
      <c r="A89" t="s">
        <v>137</v>
      </c>
      <c r="B89" t="s">
        <v>138</v>
      </c>
      <c r="C89" s="101">
        <v>411</v>
      </c>
      <c r="D89" s="101">
        <v>148</v>
      </c>
      <c r="E89" s="101">
        <v>137</v>
      </c>
      <c r="F89" s="101">
        <v>126</v>
      </c>
      <c r="G89" s="102">
        <v>2.0610792562365532E-2</v>
      </c>
      <c r="H89" s="103" t="s">
        <v>558</v>
      </c>
      <c r="I89" s="103" t="s">
        <v>328</v>
      </c>
      <c r="J89" s="103">
        <v>125</v>
      </c>
      <c r="K89" s="104">
        <v>0</v>
      </c>
      <c r="L89" s="103">
        <v>80</v>
      </c>
      <c r="M89" s="104">
        <v>0</v>
      </c>
      <c r="N89" s="112" t="s">
        <v>433</v>
      </c>
      <c r="O89" s="112" t="s">
        <v>346</v>
      </c>
      <c r="P89" s="113" t="s">
        <v>346</v>
      </c>
      <c r="Q89" s="114">
        <v>40</v>
      </c>
      <c r="R89" s="103" t="s">
        <v>323</v>
      </c>
      <c r="S89" s="104">
        <v>0.4699999988079071</v>
      </c>
      <c r="T89" s="103">
        <v>136</v>
      </c>
      <c r="U89" s="104">
        <v>5.9999998658895493E-2</v>
      </c>
      <c r="V89" s="103">
        <v>124</v>
      </c>
      <c r="W89" s="104">
        <v>0.15000000596046448</v>
      </c>
      <c r="X89" t="s">
        <v>137</v>
      </c>
      <c r="Y89" s="52" t="e">
        <v>#VALUE!</v>
      </c>
      <c r="Z89">
        <v>52</v>
      </c>
      <c r="AA89" s="104" t="s">
        <v>346</v>
      </c>
      <c r="AB89" s="115" t="s">
        <v>346</v>
      </c>
      <c r="AC89" s="104">
        <v>0</v>
      </c>
      <c r="AD89" s="104">
        <v>0</v>
      </c>
      <c r="AE89" s="110" t="e">
        <f>IF('Angioplasty Summary'!$R$4=2,Z89,IF('Angioplasty Summary'!$R$4=1,Y89))</f>
        <v>#VALUE!</v>
      </c>
      <c r="AF89" s="52" t="str">
        <f>IF('Angioplasty Summary'!$R$4=2,AC89,IF('Angioplasty Summary'!$R$4=1,AA89))</f>
        <v>xx</v>
      </c>
      <c r="AG89" s="52" t="str">
        <f>IF('Angioplasty Summary'!$R$4=2,AD89,IF('Angioplasty Summary'!$R$4=1,AB89))</f>
        <v>xx</v>
      </c>
      <c r="AH89" s="67" t="e">
        <f t="shared" si="2"/>
        <v>#VALUE!</v>
      </c>
      <c r="AI89" s="67">
        <f t="shared" si="3"/>
        <v>0</v>
      </c>
    </row>
    <row r="90" spans="1:35" x14ac:dyDescent="0.25">
      <c r="A90" t="s">
        <v>431</v>
      </c>
      <c r="B90" t="s">
        <v>432</v>
      </c>
      <c r="C90" s="101">
        <v>298</v>
      </c>
      <c r="D90" s="101">
        <v>119</v>
      </c>
      <c r="E90" s="101">
        <v>111</v>
      </c>
      <c r="F90" s="101">
        <v>68</v>
      </c>
      <c r="G90" s="102">
        <v>1.9103171303868294E-2</v>
      </c>
      <c r="H90" s="103" t="s">
        <v>258</v>
      </c>
      <c r="I90" s="103" t="s">
        <v>258</v>
      </c>
      <c r="J90" s="103">
        <v>105</v>
      </c>
      <c r="K90" s="104">
        <v>1</v>
      </c>
      <c r="L90" s="103">
        <v>62</v>
      </c>
      <c r="M90" s="104">
        <v>1</v>
      </c>
      <c r="N90" s="112" t="s">
        <v>433</v>
      </c>
      <c r="O90" s="112" t="s">
        <v>346</v>
      </c>
      <c r="P90" s="113" t="s">
        <v>346</v>
      </c>
      <c r="Q90" s="112" t="s">
        <v>433</v>
      </c>
      <c r="R90" s="105" t="s">
        <v>346</v>
      </c>
      <c r="S90" s="106" t="s">
        <v>346</v>
      </c>
      <c r="T90" s="103">
        <v>111</v>
      </c>
      <c r="U90" s="104">
        <v>5.9999998658895493E-2</v>
      </c>
      <c r="V90" s="103">
        <v>68</v>
      </c>
      <c r="W90" s="104">
        <v>0</v>
      </c>
      <c r="X90" t="s">
        <v>431</v>
      </c>
      <c r="Y90" s="52" t="e">
        <v>#VALUE!</v>
      </c>
      <c r="Z90">
        <v>3</v>
      </c>
      <c r="AA90" s="106" t="s">
        <v>346</v>
      </c>
      <c r="AB90" s="113" t="s">
        <v>346</v>
      </c>
      <c r="AC90" s="104">
        <v>1</v>
      </c>
      <c r="AD90" s="104">
        <v>1</v>
      </c>
      <c r="AE90" s="110" t="e">
        <f>IF('Angioplasty Summary'!$R$4=2,Z90,IF('Angioplasty Summary'!$R$4=1,Y90))</f>
        <v>#VALUE!</v>
      </c>
      <c r="AF90" s="52" t="str">
        <f>IF('Angioplasty Summary'!$R$4=2,AC90,IF('Angioplasty Summary'!$R$4=1,AA90))</f>
        <v>xx</v>
      </c>
      <c r="AG90" s="52" t="str">
        <f>IF('Angioplasty Summary'!$R$4=2,AD90,IF('Angioplasty Summary'!$R$4=1,AB90))</f>
        <v>xx</v>
      </c>
      <c r="AH90" s="67" t="e">
        <f t="shared" si="2"/>
        <v>#VALUE!</v>
      </c>
      <c r="AI90" s="67">
        <f t="shared" si="3"/>
        <v>0</v>
      </c>
    </row>
    <row r="91" spans="1:35" x14ac:dyDescent="0.25">
      <c r="A91" t="s">
        <v>33</v>
      </c>
      <c r="B91" t="s">
        <v>34</v>
      </c>
      <c r="C91" s="101">
        <v>1060</v>
      </c>
      <c r="D91" s="101">
        <v>372</v>
      </c>
      <c r="E91" s="101">
        <v>379</v>
      </c>
      <c r="F91" s="101">
        <v>309</v>
      </c>
      <c r="G91" s="102">
        <v>1.501829456537962E-2</v>
      </c>
      <c r="H91" s="103" t="s">
        <v>260</v>
      </c>
      <c r="I91" s="103" t="s">
        <v>279</v>
      </c>
      <c r="J91" s="103">
        <v>292</v>
      </c>
      <c r="K91" s="104">
        <v>0.85000002384185791</v>
      </c>
      <c r="L91" s="103">
        <v>212</v>
      </c>
      <c r="M91" s="104">
        <v>0.81999999284744263</v>
      </c>
      <c r="N91" s="114">
        <v>69</v>
      </c>
      <c r="O91" s="114" t="s">
        <v>268</v>
      </c>
      <c r="P91" s="115">
        <v>0.68000000715255737</v>
      </c>
      <c r="Q91" s="114">
        <v>91</v>
      </c>
      <c r="R91" s="103" t="s">
        <v>1041</v>
      </c>
      <c r="S91" s="104">
        <v>0.70999997854232788</v>
      </c>
      <c r="T91" s="103">
        <v>368</v>
      </c>
      <c r="U91" s="104">
        <v>7.9999998211860657E-2</v>
      </c>
      <c r="V91" s="103">
        <v>303</v>
      </c>
      <c r="W91" s="104">
        <v>0.11999999731779099</v>
      </c>
      <c r="X91" t="s">
        <v>33</v>
      </c>
      <c r="Y91">
        <v>6</v>
      </c>
      <c r="Z91">
        <v>9</v>
      </c>
      <c r="AA91" s="104">
        <v>0.70999997854232788</v>
      </c>
      <c r="AB91" s="115">
        <v>0.68000000715255737</v>
      </c>
      <c r="AC91" s="104">
        <v>0.81999999284744263</v>
      </c>
      <c r="AD91" s="104">
        <v>0.85000002384185791</v>
      </c>
      <c r="AE91" s="110">
        <f>IF('Angioplasty Summary'!$R$4=2,Z91,IF('Angioplasty Summary'!$R$4=1,Y91))</f>
        <v>6</v>
      </c>
      <c r="AF91" s="52">
        <f>IF('Angioplasty Summary'!$R$4=2,AC91,IF('Angioplasty Summary'!$R$4=1,AA91))</f>
        <v>0.70999997854232788</v>
      </c>
      <c r="AG91" s="52">
        <f>IF('Angioplasty Summary'!$R$4=2,AD91,IF('Angioplasty Summary'!$R$4=1,AB91))</f>
        <v>0.68000000715255737</v>
      </c>
      <c r="AH91" s="67">
        <f t="shared" si="2"/>
        <v>0</v>
      </c>
      <c r="AI91" s="67">
        <f t="shared" si="3"/>
        <v>2.9999971389770508E-2</v>
      </c>
    </row>
  </sheetData>
  <autoFilter ref="A1:AG91"/>
  <sortState ref="A2:W91">
    <sortCondition ref="B2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6"/>
  <sheetViews>
    <sheetView workbookViewId="0">
      <pane xSplit="2" ySplit="7" topLeftCell="C8" activePane="bottomRight" state="frozen"/>
      <selection pane="topRight" activeCell="C1" sqref="C1"/>
      <selection pane="bottomLeft" activeCell="A2" sqref="A2"/>
      <selection pane="bottomRight" activeCell="B7" sqref="B7:E7"/>
    </sheetView>
  </sheetViews>
  <sheetFormatPr defaultColWidth="15.85546875" defaultRowHeight="15" x14ac:dyDescent="0.25"/>
  <cols>
    <col min="1" max="1" width="10.140625" bestFit="1" customWidth="1"/>
    <col min="2" max="2" width="61" bestFit="1" customWidth="1"/>
    <col min="6" max="7" width="23.7109375" customWidth="1"/>
    <col min="17" max="17" width="10.140625" bestFit="1" customWidth="1"/>
    <col min="18" max="19" width="12" bestFit="1" customWidth="1"/>
    <col min="20" max="20" width="14.85546875" bestFit="1" customWidth="1"/>
    <col min="21" max="21" width="14.85546875" customWidth="1"/>
    <col min="22" max="22" width="6.28515625" bestFit="1" customWidth="1"/>
    <col min="23" max="23" width="11.42578125" bestFit="1" customWidth="1"/>
    <col min="24" max="24" width="14" bestFit="1" customWidth="1"/>
    <col min="25" max="25" width="14.42578125" bestFit="1" customWidth="1"/>
    <col min="26" max="26" width="14" bestFit="1" customWidth="1"/>
    <col min="27" max="27" width="15" bestFit="1" customWidth="1"/>
    <col min="28" max="28" width="14" bestFit="1" customWidth="1"/>
    <col min="29" max="29" width="15.7109375" bestFit="1" customWidth="1"/>
    <col min="30" max="35" width="15.7109375" customWidth="1"/>
    <col min="36" max="36" width="8.42578125" bestFit="1" customWidth="1"/>
    <col min="37" max="37" width="11.42578125" bestFit="1" customWidth="1"/>
    <col min="38" max="38" width="8.140625" bestFit="1" customWidth="1"/>
    <col min="39" max="39" width="8.28515625" bestFit="1" customWidth="1"/>
    <col min="40" max="40" width="8.85546875" bestFit="1" customWidth="1"/>
    <col min="41" max="41" width="11" style="16" customWidth="1"/>
    <col min="42" max="42" width="12.7109375" style="16" customWidth="1"/>
    <col min="43" max="43" width="13.42578125" bestFit="1" customWidth="1"/>
  </cols>
  <sheetData>
    <row r="1" spans="1:43" x14ac:dyDescent="0.25">
      <c r="A1">
        <v>0</v>
      </c>
      <c r="B1" t="s">
        <v>381</v>
      </c>
      <c r="L1">
        <f t="shared" ref="L1:O5" si="0">QUARTILE(L$8:L$76,$A1)</f>
        <v>0.21</v>
      </c>
      <c r="M1">
        <f t="shared" si="0"/>
        <v>0.16</v>
      </c>
      <c r="N1">
        <f t="shared" si="0"/>
        <v>0</v>
      </c>
      <c r="O1">
        <f t="shared" si="0"/>
        <v>0</v>
      </c>
    </row>
    <row r="2" spans="1:43" x14ac:dyDescent="0.25">
      <c r="A2">
        <v>1</v>
      </c>
      <c r="B2" t="s">
        <v>382</v>
      </c>
      <c r="L2">
        <f t="shared" si="0"/>
        <v>0.78</v>
      </c>
      <c r="M2">
        <f t="shared" si="0"/>
        <v>0.745</v>
      </c>
      <c r="N2">
        <f t="shared" si="0"/>
        <v>0.65</v>
      </c>
      <c r="O2">
        <f t="shared" si="0"/>
        <v>0.56999999999999995</v>
      </c>
    </row>
    <row r="3" spans="1:43" x14ac:dyDescent="0.25">
      <c r="A3">
        <v>2</v>
      </c>
      <c r="B3" t="s">
        <v>383</v>
      </c>
      <c r="L3">
        <f t="shared" si="0"/>
        <v>0.91</v>
      </c>
      <c r="M3">
        <f t="shared" si="0"/>
        <v>0.91</v>
      </c>
      <c r="N3">
        <f t="shared" si="0"/>
        <v>0.82</v>
      </c>
      <c r="O3">
        <f t="shared" si="0"/>
        <v>0.78</v>
      </c>
    </row>
    <row r="4" spans="1:43" x14ac:dyDescent="0.25">
      <c r="A4">
        <v>3</v>
      </c>
      <c r="B4" t="s">
        <v>384</v>
      </c>
      <c r="L4">
        <f t="shared" si="0"/>
        <v>0.99</v>
      </c>
      <c r="M4">
        <f t="shared" si="0"/>
        <v>0.99</v>
      </c>
      <c r="N4">
        <f t="shared" si="0"/>
        <v>0.93</v>
      </c>
      <c r="O4">
        <f t="shared" si="0"/>
        <v>0.92</v>
      </c>
    </row>
    <row r="5" spans="1:43" x14ac:dyDescent="0.25">
      <c r="A5">
        <v>4</v>
      </c>
      <c r="B5" t="s">
        <v>385</v>
      </c>
      <c r="L5">
        <f t="shared" si="0"/>
        <v>1</v>
      </c>
      <c r="M5">
        <f t="shared" si="0"/>
        <v>1</v>
      </c>
      <c r="N5">
        <f t="shared" si="0"/>
        <v>1</v>
      </c>
      <c r="O5">
        <f t="shared" si="0"/>
        <v>1</v>
      </c>
    </row>
    <row r="7" spans="1:43" ht="75" x14ac:dyDescent="0.25">
      <c r="A7" s="77" t="s">
        <v>176</v>
      </c>
      <c r="B7" s="78" t="s">
        <v>175</v>
      </c>
      <c r="C7" s="79" t="s">
        <v>763</v>
      </c>
      <c r="D7" s="79" t="s">
        <v>764</v>
      </c>
      <c r="E7" s="79" t="s">
        <v>765</v>
      </c>
      <c r="F7" s="80" t="s">
        <v>766</v>
      </c>
      <c r="G7" s="80" t="s">
        <v>767</v>
      </c>
      <c r="H7" s="79" t="s">
        <v>770</v>
      </c>
      <c r="I7" s="79" t="s">
        <v>771</v>
      </c>
      <c r="J7" s="81" t="s">
        <v>768</v>
      </c>
      <c r="K7" s="81" t="s">
        <v>769</v>
      </c>
      <c r="L7" s="82" t="s">
        <v>772</v>
      </c>
      <c r="M7" s="82" t="s">
        <v>773</v>
      </c>
      <c r="N7" s="83" t="s">
        <v>774</v>
      </c>
      <c r="O7" s="83" t="s">
        <v>775</v>
      </c>
      <c r="P7" s="84" t="s">
        <v>776</v>
      </c>
      <c r="Q7" s="11" t="s">
        <v>176</v>
      </c>
      <c r="R7" s="17" t="s">
        <v>976</v>
      </c>
      <c r="S7" s="17" t="s">
        <v>975</v>
      </c>
      <c r="T7" s="17" t="s">
        <v>978</v>
      </c>
      <c r="U7" s="17" t="s">
        <v>977</v>
      </c>
      <c r="V7" s="37" t="s">
        <v>410</v>
      </c>
      <c r="W7" s="37" t="s">
        <v>409</v>
      </c>
      <c r="X7" s="14" t="s">
        <v>988</v>
      </c>
      <c r="Y7" s="14" t="s">
        <v>989</v>
      </c>
      <c r="Z7" s="14" t="s">
        <v>990</v>
      </c>
      <c r="AA7" s="14" t="s">
        <v>991</v>
      </c>
      <c r="AB7" s="14" t="s">
        <v>992</v>
      </c>
      <c r="AC7" s="14" t="s">
        <v>993</v>
      </c>
      <c r="AD7" s="14" t="s">
        <v>994</v>
      </c>
      <c r="AE7" s="14" t="s">
        <v>995</v>
      </c>
      <c r="AF7" s="14" t="s">
        <v>996</v>
      </c>
      <c r="AG7" s="14" t="s">
        <v>997</v>
      </c>
      <c r="AH7" s="14" t="s">
        <v>998</v>
      </c>
      <c r="AI7" s="14" t="s">
        <v>999</v>
      </c>
      <c r="AJ7" s="39" t="s">
        <v>411</v>
      </c>
      <c r="AK7" s="39" t="s">
        <v>412</v>
      </c>
      <c r="AL7" s="39" t="s">
        <v>1088</v>
      </c>
      <c r="AM7" s="39" t="s">
        <v>1089</v>
      </c>
      <c r="AN7" s="39" t="s">
        <v>667</v>
      </c>
      <c r="AO7" s="117" t="s">
        <v>1091</v>
      </c>
      <c r="AP7" s="117" t="s">
        <v>1090</v>
      </c>
      <c r="AQ7" s="39" t="s">
        <v>1092</v>
      </c>
    </row>
    <row r="8" spans="1:43" x14ac:dyDescent="0.25">
      <c r="A8" s="85" t="s">
        <v>7</v>
      </c>
      <c r="B8" s="86" t="s">
        <v>8</v>
      </c>
      <c r="C8" s="87">
        <v>50</v>
      </c>
      <c r="D8" s="87">
        <v>37</v>
      </c>
      <c r="E8" s="87">
        <v>131</v>
      </c>
      <c r="F8" s="88" t="s">
        <v>789</v>
      </c>
      <c r="G8" s="88" t="s">
        <v>212</v>
      </c>
      <c r="H8" s="90">
        <v>1</v>
      </c>
      <c r="I8" s="90">
        <v>0.68181818723678589</v>
      </c>
      <c r="J8" s="89" t="s">
        <v>790</v>
      </c>
      <c r="K8" s="89" t="s">
        <v>791</v>
      </c>
      <c r="L8" s="91">
        <v>0.98</v>
      </c>
      <c r="M8" s="91">
        <v>0.86</v>
      </c>
      <c r="N8" s="92">
        <v>0.94</v>
      </c>
      <c r="O8" s="92">
        <v>0.59</v>
      </c>
      <c r="P8" s="93">
        <v>4.9000000000000002E-2</v>
      </c>
      <c r="Q8" t="str">
        <f t="shared" ref="Q8:Q39" si="1">A8</f>
        <v>7A6</v>
      </c>
      <c r="R8">
        <f>+IF(L8&lt;L$2,1,IF(L8&lt;L$3,2,IF(L8&lt;L$4,3,4)))</f>
        <v>3</v>
      </c>
      <c r="S8">
        <f>+IF(M8&lt;M$2,1,IF(M8&lt;M$3,2,IF(M8&lt;M$4,3,4)))</f>
        <v>2</v>
      </c>
      <c r="T8">
        <f>+IF(N8&lt;N$2,1,IF(N8&lt;N$3,2,IF(N8&lt;N$4,3,4)))</f>
        <v>4</v>
      </c>
      <c r="U8">
        <f>+IF(O8&lt;O$2,1,IF(O8&lt;O$3,2,IF(O8&lt;O$4,3,4)))</f>
        <v>2</v>
      </c>
      <c r="V8" s="53">
        <f>IF('Amputation Summary'!$Q$33=4, RANK(O8,O$8:O$76,1)+COUNTIF($O$8:O8,O8)-1, IF('Amputation Summary'!$Q$33=3, RANK(N8,N$8:N$76,1)+COUNTIF($N$8:N8,N8)-1, IF('Amputation Summary'!$Q$33=2, RANK(M8,M$8:M$76,1)+COUNTIF($M$8:M8,M8)-1, IF('Amputation Summary'!$Q$33=1, RANK(L8,L$8:L$76,1)+COUNTIF($L$8:L8,L8)-1))))</f>
        <v>21</v>
      </c>
      <c r="W8" s="13">
        <f>IF('Amputation Summary'!$Q$33=4, O8, IF('Amputation Summary'!$Q$33=3, N8, IF('Amputation Summary'!$Q$33=2, M8, IF('Amputation Summary'!$Q$33=1, L8))))</f>
        <v>0.59</v>
      </c>
      <c r="X8" s="16">
        <v>4</v>
      </c>
      <c r="Y8">
        <v>2</v>
      </c>
      <c r="Z8">
        <f>X8-Y8</f>
        <v>2</v>
      </c>
      <c r="AA8">
        <v>8</v>
      </c>
      <c r="AB8">
        <f>AA8-X8</f>
        <v>4</v>
      </c>
      <c r="AC8">
        <v>11</v>
      </c>
      <c r="AD8" s="16">
        <v>6</v>
      </c>
      <c r="AE8">
        <v>3</v>
      </c>
      <c r="AF8">
        <f>AD8-AE8</f>
        <v>3</v>
      </c>
      <c r="AG8">
        <v>11</v>
      </c>
      <c r="AH8">
        <f>AG8-AD8</f>
        <v>5</v>
      </c>
      <c r="AI8" s="2">
        <v>22</v>
      </c>
      <c r="AJ8" s="53">
        <f>IF('Amputation Summary'!$O$4=2,RANK(AC8,AC$8:AC$76,1)+COUNTIF($AC$8:AC8,AC8)-1,IF('Amputation Summary'!$O$4=1,RANK(AI8,AI$8:AI$76,1)+COUNTIF($AI$8:AI8,AI8)-1))</f>
        <v>11</v>
      </c>
      <c r="AK8" s="16">
        <f>IF('Amputation Summary'!$O$4=2, X8, IF('Amputation Summary'!$O$4=1, AD8))</f>
        <v>4</v>
      </c>
      <c r="AL8" s="16">
        <f>IF('Amputation Summary'!$O$4=2, Z8, IF('Amputation Summary'!$O$4=1, AF8))</f>
        <v>2</v>
      </c>
      <c r="AM8" s="16">
        <f>IF('Amputation Summary'!$O$4=2, AB8, IF('Amputation Summary'!$O$4=1, AH8))</f>
        <v>4</v>
      </c>
      <c r="AN8">
        <v>1</v>
      </c>
      <c r="AO8" s="16">
        <f>IF(I8&gt;H8,0,H8-I8)</f>
        <v>0.31818181276321411</v>
      </c>
      <c r="AP8" s="16">
        <f>IF(I8&gt;H8,I8-H8,0)</f>
        <v>0</v>
      </c>
      <c r="AQ8">
        <v>18</v>
      </c>
    </row>
    <row r="9" spans="1:43" x14ac:dyDescent="0.25">
      <c r="A9" s="85" t="s">
        <v>45</v>
      </c>
      <c r="B9" s="86" t="s">
        <v>417</v>
      </c>
      <c r="C9" s="87">
        <v>41</v>
      </c>
      <c r="D9" s="87">
        <v>31</v>
      </c>
      <c r="E9" s="87">
        <v>103</v>
      </c>
      <c r="F9" s="88" t="s">
        <v>839</v>
      </c>
      <c r="G9" s="88" t="s">
        <v>840</v>
      </c>
      <c r="H9" s="90">
        <v>2.4166667461395264</v>
      </c>
      <c r="I9" s="90">
        <v>1.8181818723678589</v>
      </c>
      <c r="J9" s="89" t="s">
        <v>841</v>
      </c>
      <c r="K9" s="89" t="s">
        <v>842</v>
      </c>
      <c r="L9" s="91">
        <v>0.98</v>
      </c>
      <c r="M9" s="91">
        <v>0.81</v>
      </c>
      <c r="N9" s="92">
        <v>7.0000000000000007E-2</v>
      </c>
      <c r="O9" s="92">
        <v>0</v>
      </c>
      <c r="P9" s="93">
        <v>0.112</v>
      </c>
      <c r="Q9" t="str">
        <f t="shared" si="1"/>
        <v>RF4</v>
      </c>
      <c r="R9">
        <f t="shared" ref="R9:R72" si="2">+IF(L9&lt;L$2,1,IF(L9&lt;L$3,2,IF(L9&lt;L$4,3,4)))</f>
        <v>3</v>
      </c>
      <c r="S9">
        <f t="shared" ref="S9:S72" si="3">+IF(M9&lt;M$2,1,IF(M9&lt;M$3,2,IF(M9&lt;M$4,3,4)))</f>
        <v>2</v>
      </c>
      <c r="T9">
        <f t="shared" ref="T9:T72" si="4">+IF(N9&lt;N$2,1,IF(N9&lt;N$3,2,IF(N9&lt;N$4,3,4)))</f>
        <v>1</v>
      </c>
      <c r="U9">
        <f t="shared" ref="U9:U72" si="5">+IF(O9&lt;O$2,1,IF(O9&lt;O$3,2,IF(O9&lt;O$4,3,4)))</f>
        <v>1</v>
      </c>
      <c r="V9" s="53">
        <f>IF('Amputation Summary'!$Q$33=4, RANK(O9,O$8:O$76,1)+COUNTIF($O$8:O9,O9)-1, IF('Amputation Summary'!$Q$33=3, RANK(N9,N$8:N$76,1)+COUNTIF($N$8:N9,N9)-1, IF('Amputation Summary'!$Q$33=2, RANK(M9,M$8:M$76,1)+COUNTIF($M$8:M9,M9)-1, IF('Amputation Summary'!$Q$33=1, RANK(L9,L$8:L$76,1)+COUNTIF($L$8:L9,L9)-1))))</f>
        <v>1</v>
      </c>
      <c r="W9" s="13">
        <f>IF('Amputation Summary'!$Q$33=4, O9, IF('Amputation Summary'!$Q$33=3, N9, IF('Amputation Summary'!$Q$33=2, M9, IF('Amputation Summary'!$Q$33=1, L9))))</f>
        <v>0</v>
      </c>
      <c r="X9" s="16">
        <v>6</v>
      </c>
      <c r="Y9">
        <v>2</v>
      </c>
      <c r="Z9">
        <f t="shared" ref="Z9:Z72" si="6">X9-Y9</f>
        <v>4</v>
      </c>
      <c r="AA9">
        <v>27</v>
      </c>
      <c r="AB9">
        <f t="shared" ref="AB9:AB72" si="7">AA9-X9</f>
        <v>21</v>
      </c>
      <c r="AC9">
        <v>26</v>
      </c>
      <c r="AD9" s="16">
        <v>6</v>
      </c>
      <c r="AE9">
        <v>2</v>
      </c>
      <c r="AF9">
        <f t="shared" ref="AF9:AF72" si="8">AD9-AE9</f>
        <v>4</v>
      </c>
      <c r="AG9">
        <v>18</v>
      </c>
      <c r="AH9">
        <f t="shared" ref="AH9:AH72" si="9">AG9-AD9</f>
        <v>12</v>
      </c>
      <c r="AI9" s="2">
        <v>21</v>
      </c>
      <c r="AJ9" s="53">
        <f>IF('Amputation Summary'!$O$4=2,RANK(AC9,AC$8:AC$76,1)+COUNTIF($AC$8:AC9,AC9)-1,IF('Amputation Summary'!$O$4=1,RANK(AI9,AI$8:AI$76,1)+COUNTIF($AI$8:AI9,AI9)-1))</f>
        <v>26</v>
      </c>
      <c r="AK9" s="16">
        <f>IF('Amputation Summary'!$O$4=2, X9, IF('Amputation Summary'!$O$4=1, AD9))</f>
        <v>6</v>
      </c>
      <c r="AL9" s="16">
        <f>IF('Amputation Summary'!$O$4=2, Z9, IF('Amputation Summary'!$O$4=1, AF9))</f>
        <v>4</v>
      </c>
      <c r="AM9" s="16">
        <f>IF('Amputation Summary'!$O$4=2, AB9, IF('Amputation Summary'!$O$4=1, AH9))</f>
        <v>21</v>
      </c>
      <c r="AN9">
        <v>1</v>
      </c>
      <c r="AO9" s="16">
        <f t="shared" ref="AO9:AO72" si="10">IF(I9&gt;H9,0,H9-I9)</f>
        <v>0.59848487377166748</v>
      </c>
      <c r="AP9" s="16">
        <f t="shared" ref="AP9:AP72" si="11">IF(I9&gt;H9,I9-H9,0)</f>
        <v>0</v>
      </c>
      <c r="AQ9">
        <v>55</v>
      </c>
    </row>
    <row r="10" spans="1:43" x14ac:dyDescent="0.25">
      <c r="A10" s="85" t="s">
        <v>11</v>
      </c>
      <c r="B10" s="86" t="s">
        <v>12</v>
      </c>
      <c r="C10" s="87">
        <v>48</v>
      </c>
      <c r="D10" s="87">
        <v>60</v>
      </c>
      <c r="E10" s="87">
        <v>173</v>
      </c>
      <c r="F10" s="88" t="s">
        <v>802</v>
      </c>
      <c r="G10" s="88" t="s">
        <v>803</v>
      </c>
      <c r="H10" s="90">
        <v>1.3999999761581421</v>
      </c>
      <c r="I10" s="90">
        <v>1</v>
      </c>
      <c r="J10" s="89" t="s">
        <v>804</v>
      </c>
      <c r="K10" s="89" t="s">
        <v>805</v>
      </c>
      <c r="L10" s="91">
        <v>0.88</v>
      </c>
      <c r="M10" s="91">
        <v>0.97</v>
      </c>
      <c r="N10" s="92">
        <v>0.9</v>
      </c>
      <c r="O10" s="92">
        <v>0.75</v>
      </c>
      <c r="P10" s="93">
        <v>8.8999999999999996E-2</v>
      </c>
      <c r="Q10" t="str">
        <f t="shared" si="1"/>
        <v>R1H</v>
      </c>
      <c r="R10">
        <f t="shared" si="2"/>
        <v>2</v>
      </c>
      <c r="S10">
        <f t="shared" si="3"/>
        <v>3</v>
      </c>
      <c r="T10">
        <f t="shared" si="4"/>
        <v>3</v>
      </c>
      <c r="U10">
        <f t="shared" si="5"/>
        <v>2</v>
      </c>
      <c r="V10" s="53">
        <f>IF('Amputation Summary'!$Q$33=4, RANK(O10,O$8:O$76,1)+COUNTIF($O$8:O10,O10)-1, IF('Amputation Summary'!$Q$33=3, RANK(N10,N$8:N$76,1)+COUNTIF($N$8:N10,N10)-1, IF('Amputation Summary'!$Q$33=2, RANK(M10,M$8:M$76,1)+COUNTIF($M$8:M10,M10)-1, IF('Amputation Summary'!$Q$33=1, RANK(L10,L$8:L$76,1)+COUNTIF($L$8:L10,L10)-1))))</f>
        <v>30</v>
      </c>
      <c r="W10" s="13">
        <f>IF('Amputation Summary'!$Q$33=4, O10, IF('Amputation Summary'!$Q$33=3, N10, IF('Amputation Summary'!$Q$33=2, M10, IF('Amputation Summary'!$Q$33=1, L10))))</f>
        <v>0.75</v>
      </c>
      <c r="X10" s="16">
        <v>8</v>
      </c>
      <c r="Y10">
        <v>3</v>
      </c>
      <c r="Z10">
        <f t="shared" si="6"/>
        <v>5</v>
      </c>
      <c r="AA10">
        <v>29</v>
      </c>
      <c r="AB10">
        <f t="shared" si="7"/>
        <v>21</v>
      </c>
      <c r="AC10">
        <v>48</v>
      </c>
      <c r="AD10" s="16">
        <v>10</v>
      </c>
      <c r="AE10">
        <v>2</v>
      </c>
      <c r="AF10">
        <f t="shared" si="8"/>
        <v>8</v>
      </c>
      <c r="AG10">
        <v>30</v>
      </c>
      <c r="AH10">
        <f t="shared" si="9"/>
        <v>20</v>
      </c>
      <c r="AI10" s="2">
        <v>48</v>
      </c>
      <c r="AJ10" s="53">
        <f>IF('Amputation Summary'!$O$4=2,RANK(AC10,AC$8:AC$76,1)+COUNTIF($AC$8:AC10,AC10)-1,IF('Amputation Summary'!$O$4=1,RANK(AI10,AI$8:AI$76,1)+COUNTIF($AI$8:AI10,AI10)-1))</f>
        <v>48</v>
      </c>
      <c r="AK10" s="16">
        <f>IF('Amputation Summary'!$O$4=2, X10, IF('Amputation Summary'!$O$4=1, AD10))</f>
        <v>8</v>
      </c>
      <c r="AL10" s="16">
        <f>IF('Amputation Summary'!$O$4=2, Z10, IF('Amputation Summary'!$O$4=1, AF10))</f>
        <v>5</v>
      </c>
      <c r="AM10" s="16">
        <f>IF('Amputation Summary'!$O$4=2, AB10, IF('Amputation Summary'!$O$4=1, AH10))</f>
        <v>21</v>
      </c>
      <c r="AN10">
        <v>1</v>
      </c>
      <c r="AO10" s="16">
        <f t="shared" si="10"/>
        <v>0.39999997615814209</v>
      </c>
      <c r="AP10" s="16">
        <f t="shared" si="11"/>
        <v>0</v>
      </c>
      <c r="AQ10">
        <v>31</v>
      </c>
    </row>
    <row r="11" spans="1:43" x14ac:dyDescent="0.25">
      <c r="A11" s="85" t="s">
        <v>31</v>
      </c>
      <c r="B11" s="86" t="s">
        <v>32</v>
      </c>
      <c r="C11" s="87">
        <v>44</v>
      </c>
      <c r="D11" s="87">
        <v>22</v>
      </c>
      <c r="E11" s="87">
        <v>112</v>
      </c>
      <c r="F11" s="88" t="s">
        <v>670</v>
      </c>
      <c r="G11" s="88" t="s">
        <v>249</v>
      </c>
      <c r="H11" s="90">
        <v>0.91304349899291992</v>
      </c>
      <c r="I11" s="90">
        <v>0.83333331346511841</v>
      </c>
      <c r="J11" s="89" t="s">
        <v>821</v>
      </c>
      <c r="K11" s="89" t="s">
        <v>465</v>
      </c>
      <c r="L11" s="91">
        <v>0.8</v>
      </c>
      <c r="M11" s="91">
        <v>1</v>
      </c>
      <c r="N11" s="92">
        <v>0.93</v>
      </c>
      <c r="O11" s="92">
        <v>0.91</v>
      </c>
      <c r="P11" s="93">
        <v>4.8000000000000001E-2</v>
      </c>
      <c r="Q11" t="str">
        <f t="shared" si="1"/>
        <v>RC1</v>
      </c>
      <c r="R11">
        <f t="shared" si="2"/>
        <v>2</v>
      </c>
      <c r="S11">
        <f t="shared" si="3"/>
        <v>4</v>
      </c>
      <c r="T11">
        <f t="shared" si="4"/>
        <v>4</v>
      </c>
      <c r="U11">
        <f t="shared" si="5"/>
        <v>3</v>
      </c>
      <c r="V11" s="53">
        <f>IF('Amputation Summary'!$Q$33=4, RANK(O11,O$8:O$76,1)+COUNTIF($O$8:O11,O11)-1, IF('Amputation Summary'!$Q$33=3, RANK(N11,N$8:N$76,1)+COUNTIF($N$8:N11,N11)-1, IF('Amputation Summary'!$Q$33=2, RANK(M11,M$8:M$76,1)+COUNTIF($M$8:M11,M11)-1, IF('Amputation Summary'!$Q$33=1, RANK(L11,L$8:L$76,1)+COUNTIF($L$8:L11,L11)-1))))</f>
        <v>48</v>
      </c>
      <c r="W11" s="13">
        <f>IF('Amputation Summary'!$Q$33=4, O11, IF('Amputation Summary'!$Q$33=3, N11, IF('Amputation Summary'!$Q$33=2, M11, IF('Amputation Summary'!$Q$33=1, L11))))</f>
        <v>0.91</v>
      </c>
      <c r="X11" s="16">
        <v>8</v>
      </c>
      <c r="Y11">
        <v>5</v>
      </c>
      <c r="Z11">
        <f t="shared" si="6"/>
        <v>3</v>
      </c>
      <c r="AA11">
        <v>14</v>
      </c>
      <c r="AB11">
        <f t="shared" si="7"/>
        <v>6</v>
      </c>
      <c r="AC11">
        <v>50</v>
      </c>
      <c r="AD11" s="16">
        <v>8</v>
      </c>
      <c r="AE11">
        <v>3</v>
      </c>
      <c r="AF11">
        <f t="shared" si="8"/>
        <v>5</v>
      </c>
      <c r="AG11">
        <v>16</v>
      </c>
      <c r="AH11">
        <f t="shared" si="9"/>
        <v>8</v>
      </c>
      <c r="AI11" s="2">
        <v>38</v>
      </c>
      <c r="AJ11" s="53">
        <f>IF('Amputation Summary'!$O$4=2,RANK(AC11,AC$8:AC$76,1)+COUNTIF($AC$8:AC11,AC11)-1,IF('Amputation Summary'!$O$4=1,RANK(AI11,AI$8:AI$76,1)+COUNTIF($AI$8:AI11,AI11)-1))</f>
        <v>50</v>
      </c>
      <c r="AK11" s="16">
        <f>IF('Amputation Summary'!$O$4=2, X11, IF('Amputation Summary'!$O$4=1, AD11))</f>
        <v>8</v>
      </c>
      <c r="AL11" s="16">
        <f>IF('Amputation Summary'!$O$4=2, Z11, IF('Amputation Summary'!$O$4=1, AF11))</f>
        <v>3</v>
      </c>
      <c r="AM11" s="16">
        <f>IF('Amputation Summary'!$O$4=2, AB11, IF('Amputation Summary'!$O$4=1, AH11))</f>
        <v>6</v>
      </c>
      <c r="AN11">
        <v>1</v>
      </c>
      <c r="AO11" s="16">
        <f t="shared" si="10"/>
        <v>7.9710185527801514E-2</v>
      </c>
      <c r="AP11" s="16">
        <f t="shared" si="11"/>
        <v>0</v>
      </c>
      <c r="AQ11">
        <v>25</v>
      </c>
    </row>
    <row r="12" spans="1:43" x14ac:dyDescent="0.25">
      <c r="A12" s="85" t="s">
        <v>173</v>
      </c>
      <c r="B12" s="86" t="s">
        <v>174</v>
      </c>
      <c r="C12" s="87">
        <v>91</v>
      </c>
      <c r="D12" s="87">
        <v>132</v>
      </c>
      <c r="E12" s="87">
        <v>333</v>
      </c>
      <c r="F12" s="88" t="s">
        <v>869</v>
      </c>
      <c r="G12" s="88" t="s">
        <v>972</v>
      </c>
      <c r="H12" s="90">
        <v>0.54237288236618042</v>
      </c>
      <c r="I12" s="90">
        <v>0.60975611209869385</v>
      </c>
      <c r="J12" s="89" t="s">
        <v>973</v>
      </c>
      <c r="K12" s="89" t="s">
        <v>974</v>
      </c>
      <c r="L12" s="91">
        <v>0.64</v>
      </c>
      <c r="M12" s="91">
        <v>0.79</v>
      </c>
      <c r="N12" s="92">
        <v>0.78</v>
      </c>
      <c r="O12" s="92">
        <v>0.56999999999999995</v>
      </c>
      <c r="P12" s="93">
        <v>4.9000000000000002E-2</v>
      </c>
      <c r="Q12" t="str">
        <f t="shared" si="1"/>
        <v>ZT001</v>
      </c>
      <c r="R12">
        <f t="shared" si="2"/>
        <v>1</v>
      </c>
      <c r="S12">
        <f t="shared" si="3"/>
        <v>2</v>
      </c>
      <c r="T12">
        <f t="shared" si="4"/>
        <v>2</v>
      </c>
      <c r="U12">
        <f t="shared" si="5"/>
        <v>2</v>
      </c>
      <c r="V12" s="53">
        <f>IF('Amputation Summary'!$Q$33=4, RANK(O12,O$8:O$76,1)+COUNTIF($O$8:O12,O12)-1, IF('Amputation Summary'!$Q$33=3, RANK(N12,N$8:N$76,1)+COUNTIF($N$8:N12,N12)-1, IF('Amputation Summary'!$Q$33=2, RANK(M12,M$8:M$76,1)+COUNTIF($M$8:M12,M12)-1, IF('Amputation Summary'!$Q$33=1, RANK(L12,L$8:L$76,1)+COUNTIF($L$8:L12,L12)-1))))</f>
        <v>17</v>
      </c>
      <c r="W12" s="13">
        <f>IF('Amputation Summary'!$Q$33=4, O12, IF('Amputation Summary'!$Q$33=3, N12, IF('Amputation Summary'!$Q$33=2, M12, IF('Amputation Summary'!$Q$33=1, L12))))</f>
        <v>0.56999999999999995</v>
      </c>
      <c r="X12" s="16">
        <v>11</v>
      </c>
      <c r="Y12">
        <v>4</v>
      </c>
      <c r="Z12">
        <f t="shared" si="6"/>
        <v>7</v>
      </c>
      <c r="AA12">
        <v>31</v>
      </c>
      <c r="AB12">
        <f t="shared" si="7"/>
        <v>20</v>
      </c>
      <c r="AC12">
        <v>61</v>
      </c>
      <c r="AD12" s="16">
        <v>12</v>
      </c>
      <c r="AE12">
        <v>4</v>
      </c>
      <c r="AF12">
        <f t="shared" si="8"/>
        <v>8</v>
      </c>
      <c r="AG12">
        <v>41</v>
      </c>
      <c r="AH12">
        <f t="shared" si="9"/>
        <v>29</v>
      </c>
      <c r="AI12" s="2">
        <v>57</v>
      </c>
      <c r="AJ12" s="53">
        <f>IF('Amputation Summary'!$O$4=2,RANK(AC12,AC$8:AC$76,1)+COUNTIF($AC$8:AC12,AC12)-1,IF('Amputation Summary'!$O$4=1,RANK(AI12,AI$8:AI$76,1)+COUNTIF($AI$8:AI12,AI12)-1))</f>
        <v>61</v>
      </c>
      <c r="AK12" s="16">
        <f>IF('Amputation Summary'!$O$4=2, X12, IF('Amputation Summary'!$O$4=1, AD12))</f>
        <v>11</v>
      </c>
      <c r="AL12" s="16">
        <f>IF('Amputation Summary'!$O$4=2, Z12, IF('Amputation Summary'!$O$4=1, AF12))</f>
        <v>7</v>
      </c>
      <c r="AM12" s="16">
        <f>IF('Amputation Summary'!$O$4=2, AB12, IF('Amputation Summary'!$O$4=1, AH12))</f>
        <v>20</v>
      </c>
      <c r="AN12">
        <v>1</v>
      </c>
      <c r="AO12" s="16">
        <f t="shared" si="10"/>
        <v>0</v>
      </c>
      <c r="AP12" s="16">
        <f t="shared" si="11"/>
        <v>6.7383229732513428E-2</v>
      </c>
      <c r="AQ12">
        <v>14</v>
      </c>
    </row>
    <row r="13" spans="1:43" x14ac:dyDescent="0.25">
      <c r="A13" s="85" t="s">
        <v>0</v>
      </c>
      <c r="B13" s="86" t="s">
        <v>1</v>
      </c>
      <c r="C13" s="87">
        <v>63</v>
      </c>
      <c r="D13" s="87">
        <v>74</v>
      </c>
      <c r="E13" s="87">
        <v>146</v>
      </c>
      <c r="F13" s="88" t="s">
        <v>777</v>
      </c>
      <c r="G13" s="88" t="s">
        <v>778</v>
      </c>
      <c r="H13" s="90">
        <v>0.75</v>
      </c>
      <c r="I13" s="90">
        <v>1.1142857074737549</v>
      </c>
      <c r="J13" s="89" t="s">
        <v>779</v>
      </c>
      <c r="K13" s="89" t="s">
        <v>780</v>
      </c>
      <c r="L13" s="91">
        <v>0.98</v>
      </c>
      <c r="M13" s="91">
        <v>0.89</v>
      </c>
      <c r="N13" s="92">
        <v>0.71</v>
      </c>
      <c r="O13" s="92">
        <v>0.57999999999999996</v>
      </c>
      <c r="P13" s="93">
        <v>0.106</v>
      </c>
      <c r="Q13" t="str">
        <f t="shared" si="1"/>
        <v>7A1</v>
      </c>
      <c r="R13">
        <f t="shared" si="2"/>
        <v>3</v>
      </c>
      <c r="S13">
        <f t="shared" si="3"/>
        <v>2</v>
      </c>
      <c r="T13">
        <f t="shared" si="4"/>
        <v>2</v>
      </c>
      <c r="U13">
        <f t="shared" si="5"/>
        <v>2</v>
      </c>
      <c r="V13" s="53">
        <f>IF('Amputation Summary'!$Q$33=4, RANK(O13,O$8:O$76,1)+COUNTIF($O$8:O13,O13)-1, IF('Amputation Summary'!$Q$33=3, RANK(N13,N$8:N$76,1)+COUNTIF($N$8:N13,N13)-1, IF('Amputation Summary'!$Q$33=2, RANK(M13,M$8:M$76,1)+COUNTIF($M$8:M13,M13)-1, IF('Amputation Summary'!$Q$33=1, RANK(L13,L$8:L$76,1)+COUNTIF($L$8:L13,L13)-1))))</f>
        <v>20</v>
      </c>
      <c r="W13" s="13">
        <f>IF('Amputation Summary'!$Q$33=4, O13, IF('Amputation Summary'!$Q$33=3, N13, IF('Amputation Summary'!$Q$33=2, M13, IF('Amputation Summary'!$Q$33=1, L13))))</f>
        <v>0.57999999999999996</v>
      </c>
      <c r="X13" s="16">
        <v>15</v>
      </c>
      <c r="Y13">
        <v>5</v>
      </c>
      <c r="Z13">
        <f t="shared" si="6"/>
        <v>10</v>
      </c>
      <c r="AA13">
        <v>30</v>
      </c>
      <c r="AB13">
        <f t="shared" si="7"/>
        <v>15</v>
      </c>
      <c r="AC13">
        <v>65</v>
      </c>
      <c r="AD13" s="16">
        <v>12</v>
      </c>
      <c r="AE13">
        <v>3</v>
      </c>
      <c r="AF13">
        <f t="shared" si="8"/>
        <v>9</v>
      </c>
      <c r="AG13">
        <v>19</v>
      </c>
      <c r="AH13">
        <f t="shared" si="9"/>
        <v>7</v>
      </c>
      <c r="AI13" s="2">
        <v>55</v>
      </c>
      <c r="AJ13" s="53">
        <f>IF('Amputation Summary'!$O$4=2,RANK(AC13,AC$8:AC$76,1)+COUNTIF($AC$8:AC13,AC13)-1,IF('Amputation Summary'!$O$4=1,RANK(AI13,AI$8:AI$76,1)+COUNTIF($AI$8:AI13,AI13)-1))</f>
        <v>65</v>
      </c>
      <c r="AK13" s="16">
        <f>IF('Amputation Summary'!$O$4=2, X13, IF('Amputation Summary'!$O$4=1, AD13))</f>
        <v>15</v>
      </c>
      <c r="AL13" s="16">
        <f>IF('Amputation Summary'!$O$4=2, Z13, IF('Amputation Summary'!$O$4=1, AF13))</f>
        <v>10</v>
      </c>
      <c r="AM13" s="16">
        <f>IF('Amputation Summary'!$O$4=2, AB13, IF('Amputation Summary'!$O$4=1, AH13))</f>
        <v>15</v>
      </c>
      <c r="AN13">
        <v>1</v>
      </c>
      <c r="AO13" s="16">
        <f t="shared" si="10"/>
        <v>0</v>
      </c>
      <c r="AP13" s="16">
        <f t="shared" si="11"/>
        <v>0.36428570747375488</v>
      </c>
      <c r="AQ13">
        <v>38</v>
      </c>
    </row>
    <row r="14" spans="1:43" x14ac:dyDescent="0.25">
      <c r="A14" s="85" t="s">
        <v>17</v>
      </c>
      <c r="B14" s="86" t="s">
        <v>18</v>
      </c>
      <c r="C14" s="87">
        <v>45</v>
      </c>
      <c r="D14" s="87">
        <v>29</v>
      </c>
      <c r="E14" s="87">
        <v>98</v>
      </c>
      <c r="F14" s="88" t="s">
        <v>810</v>
      </c>
      <c r="G14" s="88" t="s">
        <v>455</v>
      </c>
      <c r="H14" s="90">
        <v>2.2142856121063232</v>
      </c>
      <c r="I14" s="90">
        <v>2.625</v>
      </c>
      <c r="J14" s="89" t="s">
        <v>811</v>
      </c>
      <c r="K14" s="89" t="s">
        <v>812</v>
      </c>
      <c r="L14" s="91">
        <v>0.91</v>
      </c>
      <c r="M14" s="91">
        <v>0.97</v>
      </c>
      <c r="N14" s="92">
        <v>0.67</v>
      </c>
      <c r="O14" s="92">
        <v>0.55000000000000004</v>
      </c>
      <c r="P14" s="93">
        <v>6.7000000000000004E-2</v>
      </c>
      <c r="Q14" t="str">
        <f t="shared" si="1"/>
        <v>RAE</v>
      </c>
      <c r="R14">
        <f t="shared" si="2"/>
        <v>3</v>
      </c>
      <c r="S14">
        <f t="shared" si="3"/>
        <v>3</v>
      </c>
      <c r="T14">
        <f t="shared" si="4"/>
        <v>2</v>
      </c>
      <c r="U14">
        <f t="shared" si="5"/>
        <v>1</v>
      </c>
      <c r="V14" s="53">
        <f>IF('Amputation Summary'!$Q$33=4, RANK(O14,O$8:O$76,1)+COUNTIF($O$8:O14,O14)-1, IF('Amputation Summary'!$Q$33=3, RANK(N14,N$8:N$76,1)+COUNTIF($N$8:N14,N14)-1, IF('Amputation Summary'!$Q$33=2, RANK(M14,M$8:M$76,1)+COUNTIF($M$8:M14,M14)-1, IF('Amputation Summary'!$Q$33=1, RANK(L14,L$8:L$76,1)+COUNTIF($L$8:L14,L14)-1))))</f>
        <v>16</v>
      </c>
      <c r="W14" s="13">
        <f>IF('Amputation Summary'!$Q$33=4, O14, IF('Amputation Summary'!$Q$33=3, N14, IF('Amputation Summary'!$Q$33=2, M14, IF('Amputation Summary'!$Q$33=1, L14))))</f>
        <v>0.55000000000000004</v>
      </c>
      <c r="X14" s="16">
        <v>8</v>
      </c>
      <c r="Y14">
        <v>3</v>
      </c>
      <c r="Z14">
        <f t="shared" si="6"/>
        <v>5</v>
      </c>
      <c r="AA14">
        <v>14</v>
      </c>
      <c r="AB14">
        <f t="shared" si="7"/>
        <v>6</v>
      </c>
      <c r="AC14">
        <v>46</v>
      </c>
      <c r="AD14" s="16">
        <v>8</v>
      </c>
      <c r="AE14">
        <v>3</v>
      </c>
      <c r="AF14">
        <f t="shared" si="8"/>
        <v>5</v>
      </c>
      <c r="AG14">
        <v>13</v>
      </c>
      <c r="AH14">
        <f t="shared" si="9"/>
        <v>5</v>
      </c>
      <c r="AI14" s="2">
        <v>37</v>
      </c>
      <c r="AJ14" s="53">
        <f>IF('Amputation Summary'!$O$4=2,RANK(AC14,AC$8:AC$76,1)+COUNTIF($AC$8:AC14,AC14)-1,IF('Amputation Summary'!$O$4=1,RANK(AI14,AI$8:AI$76,1)+COUNTIF($AI$8:AI14,AI14)-1))</f>
        <v>46</v>
      </c>
      <c r="AK14" s="16">
        <f>IF('Amputation Summary'!$O$4=2, X14, IF('Amputation Summary'!$O$4=1, AD14))</f>
        <v>8</v>
      </c>
      <c r="AL14" s="16">
        <f>IF('Amputation Summary'!$O$4=2, Z14, IF('Amputation Summary'!$O$4=1, AF14))</f>
        <v>5</v>
      </c>
      <c r="AM14" s="16">
        <f>IF('Amputation Summary'!$O$4=2, AB14, IF('Amputation Summary'!$O$4=1, AH14))</f>
        <v>6</v>
      </c>
      <c r="AN14">
        <v>1</v>
      </c>
      <c r="AO14" s="16">
        <f t="shared" si="10"/>
        <v>0</v>
      </c>
      <c r="AP14" s="16">
        <f t="shared" si="11"/>
        <v>0.41071438789367676</v>
      </c>
      <c r="AQ14">
        <v>58</v>
      </c>
    </row>
    <row r="15" spans="1:43" x14ac:dyDescent="0.25">
      <c r="A15" s="85" t="s">
        <v>51</v>
      </c>
      <c r="B15" s="86" t="s">
        <v>52</v>
      </c>
      <c r="C15" s="87">
        <v>56</v>
      </c>
      <c r="D15" s="87">
        <v>70</v>
      </c>
      <c r="E15" s="87">
        <v>197</v>
      </c>
      <c r="F15" s="88" t="s">
        <v>330</v>
      </c>
      <c r="G15" s="88" t="s">
        <v>280</v>
      </c>
      <c r="H15" s="90">
        <v>0.93103450536727905</v>
      </c>
      <c r="I15" s="90">
        <v>0.89189189672470093</v>
      </c>
      <c r="J15" s="89" t="s">
        <v>843</v>
      </c>
      <c r="K15" s="89" t="s">
        <v>844</v>
      </c>
      <c r="L15" s="91">
        <v>1</v>
      </c>
      <c r="M15" s="91">
        <v>1</v>
      </c>
      <c r="N15" s="92">
        <v>0.52</v>
      </c>
      <c r="O15" s="92">
        <v>0.23</v>
      </c>
      <c r="P15" s="93">
        <v>7.5999999999999998E-2</v>
      </c>
      <c r="Q15" t="str">
        <f t="shared" si="1"/>
        <v>RGT</v>
      </c>
      <c r="R15">
        <f t="shared" si="2"/>
        <v>4</v>
      </c>
      <c r="S15">
        <f t="shared" si="3"/>
        <v>4</v>
      </c>
      <c r="T15">
        <f t="shared" si="4"/>
        <v>1</v>
      </c>
      <c r="U15">
        <f t="shared" si="5"/>
        <v>1</v>
      </c>
      <c r="V15" s="53">
        <f>IF('Amputation Summary'!$Q$33=4, RANK(O15,O$8:O$76,1)+COUNTIF($O$8:O15,O15)-1, IF('Amputation Summary'!$Q$33=3, RANK(N15,N$8:N$76,1)+COUNTIF($N$8:N15,N15)-1, IF('Amputation Summary'!$Q$33=2, RANK(M15,M$8:M$76,1)+COUNTIF($M$8:M15,M15)-1, IF('Amputation Summary'!$Q$33=1, RANK(L15,L$8:L$76,1)+COUNTIF($L$8:L15,L15)-1))))</f>
        <v>6</v>
      </c>
      <c r="W15" s="13">
        <f>IF('Amputation Summary'!$Q$33=4, O15, IF('Amputation Summary'!$Q$33=3, N15, IF('Amputation Summary'!$Q$33=2, M15, IF('Amputation Summary'!$Q$33=1, L15))))</f>
        <v>0.23</v>
      </c>
      <c r="X15" s="16">
        <v>5</v>
      </c>
      <c r="Y15">
        <v>2</v>
      </c>
      <c r="Z15">
        <f t="shared" si="6"/>
        <v>3</v>
      </c>
      <c r="AA15">
        <v>12</v>
      </c>
      <c r="AB15">
        <f t="shared" si="7"/>
        <v>7</v>
      </c>
      <c r="AC15">
        <v>17</v>
      </c>
      <c r="AD15" s="16">
        <v>5</v>
      </c>
      <c r="AE15">
        <v>2</v>
      </c>
      <c r="AF15">
        <f t="shared" si="8"/>
        <v>3</v>
      </c>
      <c r="AG15">
        <v>9</v>
      </c>
      <c r="AH15">
        <f t="shared" si="9"/>
        <v>4</v>
      </c>
      <c r="AI15" s="2">
        <v>13</v>
      </c>
      <c r="AJ15" s="53">
        <f>IF('Amputation Summary'!$O$4=2,RANK(AC15,AC$8:AC$76,1)+COUNTIF($AC$8:AC15,AC15)-1,IF('Amputation Summary'!$O$4=1,RANK(AI15,AI$8:AI$76,1)+COUNTIF($AI$8:AI15,AI15)-1))</f>
        <v>17</v>
      </c>
      <c r="AK15" s="16">
        <f>IF('Amputation Summary'!$O$4=2, X15, IF('Amputation Summary'!$O$4=1, AD15))</f>
        <v>5</v>
      </c>
      <c r="AL15" s="16">
        <f>IF('Amputation Summary'!$O$4=2, Z15, IF('Amputation Summary'!$O$4=1, AF15))</f>
        <v>3</v>
      </c>
      <c r="AM15" s="16">
        <f>IF('Amputation Summary'!$O$4=2, AB15, IF('Amputation Summary'!$O$4=1, AH15))</f>
        <v>7</v>
      </c>
      <c r="AN15">
        <v>1</v>
      </c>
      <c r="AO15" s="16">
        <f t="shared" si="10"/>
        <v>3.9142608642578125E-2</v>
      </c>
      <c r="AP15" s="16">
        <f t="shared" si="11"/>
        <v>0</v>
      </c>
      <c r="AQ15">
        <v>27</v>
      </c>
    </row>
    <row r="16" spans="1:43" x14ac:dyDescent="0.25">
      <c r="A16" s="85" t="s">
        <v>3</v>
      </c>
      <c r="B16" s="86" t="s">
        <v>4</v>
      </c>
      <c r="C16" s="87">
        <v>44</v>
      </c>
      <c r="D16" s="87">
        <v>48</v>
      </c>
      <c r="E16" s="87">
        <v>133</v>
      </c>
      <c r="F16" s="88" t="s">
        <v>785</v>
      </c>
      <c r="G16" s="88" t="s">
        <v>786</v>
      </c>
      <c r="H16" s="90">
        <v>1.0952380895614624</v>
      </c>
      <c r="I16" s="90">
        <v>1.0869565010070801</v>
      </c>
      <c r="J16" s="89" t="s">
        <v>787</v>
      </c>
      <c r="K16" s="89" t="s">
        <v>788</v>
      </c>
      <c r="L16" s="91">
        <v>1</v>
      </c>
      <c r="M16" s="91">
        <v>1</v>
      </c>
      <c r="N16" s="92">
        <v>0.5</v>
      </c>
      <c r="O16" s="92">
        <v>0.9</v>
      </c>
      <c r="P16" s="93">
        <v>0.05</v>
      </c>
      <c r="Q16" t="str">
        <f t="shared" si="1"/>
        <v>7A4</v>
      </c>
      <c r="R16">
        <f t="shared" si="2"/>
        <v>4</v>
      </c>
      <c r="S16">
        <f t="shared" si="3"/>
        <v>4</v>
      </c>
      <c r="T16">
        <f t="shared" si="4"/>
        <v>1</v>
      </c>
      <c r="U16">
        <f t="shared" si="5"/>
        <v>3</v>
      </c>
      <c r="V16" s="53">
        <f>IF('Amputation Summary'!$Q$33=4, RANK(O16,O$8:O$76,1)+COUNTIF($O$8:O16,O16)-1, IF('Amputation Summary'!$Q$33=3, RANK(N16,N$8:N$76,1)+COUNTIF($N$8:N16,N16)-1, IF('Amputation Summary'!$Q$33=2, RANK(M16,M$8:M$76,1)+COUNTIF($M$8:M16,M16)-1, IF('Amputation Summary'!$Q$33=1, RANK(L16,L$8:L$76,1)+COUNTIF($L$8:L16,L16)-1))))</f>
        <v>46</v>
      </c>
      <c r="W16" s="13">
        <f>IF('Amputation Summary'!$Q$33=4, O16, IF('Amputation Summary'!$Q$33=3, N16, IF('Amputation Summary'!$Q$33=2, M16, IF('Amputation Summary'!$Q$33=1, L16))))</f>
        <v>0.9</v>
      </c>
      <c r="X16" s="16">
        <v>7</v>
      </c>
      <c r="Y16">
        <v>2</v>
      </c>
      <c r="Z16">
        <f t="shared" si="6"/>
        <v>5</v>
      </c>
      <c r="AA16">
        <v>16</v>
      </c>
      <c r="AB16">
        <f t="shared" si="7"/>
        <v>9</v>
      </c>
      <c r="AC16">
        <v>34</v>
      </c>
      <c r="AD16" s="16">
        <v>6</v>
      </c>
      <c r="AE16">
        <v>2</v>
      </c>
      <c r="AF16">
        <f t="shared" si="8"/>
        <v>4</v>
      </c>
      <c r="AG16">
        <v>12</v>
      </c>
      <c r="AH16">
        <f t="shared" si="9"/>
        <v>6</v>
      </c>
      <c r="AI16" s="2">
        <v>19</v>
      </c>
      <c r="AJ16" s="53">
        <f>IF('Amputation Summary'!$O$4=2,RANK(AC16,AC$8:AC$76,1)+COUNTIF($AC$8:AC16,AC16)-1,IF('Amputation Summary'!$O$4=1,RANK(AI16,AI$8:AI$76,1)+COUNTIF($AI$8:AI16,AI16)-1))</f>
        <v>34</v>
      </c>
      <c r="AK16" s="16">
        <f>IF('Amputation Summary'!$O$4=2, X16, IF('Amputation Summary'!$O$4=1, AD16))</f>
        <v>7</v>
      </c>
      <c r="AL16" s="16">
        <f>IF('Amputation Summary'!$O$4=2, Z16, IF('Amputation Summary'!$O$4=1, AF16))</f>
        <v>5</v>
      </c>
      <c r="AM16" s="16">
        <f>IF('Amputation Summary'!$O$4=2, AB16, IF('Amputation Summary'!$O$4=1, AH16))</f>
        <v>9</v>
      </c>
      <c r="AN16">
        <v>1</v>
      </c>
      <c r="AO16" s="16">
        <f t="shared" si="10"/>
        <v>8.2815885543823242E-3</v>
      </c>
      <c r="AP16" s="16">
        <f t="shared" si="11"/>
        <v>0</v>
      </c>
      <c r="AQ16">
        <v>35</v>
      </c>
    </row>
    <row r="17" spans="1:43" x14ac:dyDescent="0.25">
      <c r="A17" s="85" t="s">
        <v>69</v>
      </c>
      <c r="B17" s="86" t="s">
        <v>70</v>
      </c>
      <c r="C17" s="87">
        <v>83</v>
      </c>
      <c r="D17" s="87">
        <v>73</v>
      </c>
      <c r="E17" s="87">
        <v>243</v>
      </c>
      <c r="F17" s="88" t="s">
        <v>863</v>
      </c>
      <c r="G17" s="88" t="s">
        <v>242</v>
      </c>
      <c r="H17" s="90">
        <v>1.59375</v>
      </c>
      <c r="I17" s="90">
        <v>1.517241358757019</v>
      </c>
      <c r="J17" s="89" t="s">
        <v>864</v>
      </c>
      <c r="K17" s="89" t="s">
        <v>865</v>
      </c>
      <c r="L17" s="91">
        <v>0.78</v>
      </c>
      <c r="M17" s="91">
        <v>0.78</v>
      </c>
      <c r="N17" s="92">
        <v>0.67</v>
      </c>
      <c r="O17" s="92">
        <v>0.59</v>
      </c>
      <c r="P17" s="93">
        <v>5.6000000000000001E-2</v>
      </c>
      <c r="Q17" t="str">
        <f t="shared" si="1"/>
        <v>RJR</v>
      </c>
      <c r="R17">
        <f t="shared" si="2"/>
        <v>2</v>
      </c>
      <c r="S17">
        <f t="shared" si="3"/>
        <v>2</v>
      </c>
      <c r="T17">
        <f t="shared" si="4"/>
        <v>2</v>
      </c>
      <c r="U17">
        <f t="shared" si="5"/>
        <v>2</v>
      </c>
      <c r="V17" s="53">
        <f>IF('Amputation Summary'!$Q$33=4, RANK(O17,O$8:O$76,1)+COUNTIF($O$8:O17,O17)-1, IF('Amputation Summary'!$Q$33=3, RANK(N17,N$8:N$76,1)+COUNTIF($N$8:N17,N17)-1, IF('Amputation Summary'!$Q$33=2, RANK(M17,M$8:M$76,1)+COUNTIF($M$8:M17,M17)-1, IF('Amputation Summary'!$Q$33=1, RANK(L17,L$8:L$76,1)+COUNTIF($L$8:L17,L17)-1))))</f>
        <v>22</v>
      </c>
      <c r="W17" s="13">
        <f>IF('Amputation Summary'!$Q$33=4, O17, IF('Amputation Summary'!$Q$33=3, N17, IF('Amputation Summary'!$Q$33=2, M17, IF('Amputation Summary'!$Q$33=1, L17))))</f>
        <v>0.59</v>
      </c>
      <c r="X17" s="16">
        <v>6</v>
      </c>
      <c r="Y17">
        <v>3</v>
      </c>
      <c r="Z17">
        <f t="shared" si="6"/>
        <v>3</v>
      </c>
      <c r="AA17">
        <v>11</v>
      </c>
      <c r="AB17">
        <f t="shared" si="7"/>
        <v>5</v>
      </c>
      <c r="AC17">
        <v>27</v>
      </c>
      <c r="AD17" s="16">
        <v>7</v>
      </c>
      <c r="AE17">
        <v>2</v>
      </c>
      <c r="AF17">
        <f t="shared" si="8"/>
        <v>5</v>
      </c>
      <c r="AG17">
        <v>17</v>
      </c>
      <c r="AH17">
        <f t="shared" si="9"/>
        <v>10</v>
      </c>
      <c r="AI17" s="2">
        <v>30</v>
      </c>
      <c r="AJ17" s="53">
        <f>IF('Amputation Summary'!$O$4=2,RANK(AC17,AC$8:AC$76,1)+COUNTIF($AC$8:AC17,AC17)-1,IF('Amputation Summary'!$O$4=1,RANK(AI17,AI$8:AI$76,1)+COUNTIF($AI$8:AI17,AI17)-1))</f>
        <v>27</v>
      </c>
      <c r="AK17" s="16">
        <f>IF('Amputation Summary'!$O$4=2, X17, IF('Amputation Summary'!$O$4=1, AD17))</f>
        <v>6</v>
      </c>
      <c r="AL17" s="16">
        <f>IF('Amputation Summary'!$O$4=2, Z17, IF('Amputation Summary'!$O$4=1, AF17))</f>
        <v>3</v>
      </c>
      <c r="AM17" s="16">
        <f>IF('Amputation Summary'!$O$4=2, AB17, IF('Amputation Summary'!$O$4=1, AH17))</f>
        <v>5</v>
      </c>
      <c r="AN17">
        <v>1</v>
      </c>
      <c r="AO17" s="16">
        <f t="shared" si="10"/>
        <v>7.6508641242980957E-2</v>
      </c>
      <c r="AP17" s="16">
        <f t="shared" si="11"/>
        <v>0</v>
      </c>
      <c r="AQ17">
        <v>51</v>
      </c>
    </row>
    <row r="18" spans="1:43" x14ac:dyDescent="0.25">
      <c r="A18" s="85" t="s">
        <v>90</v>
      </c>
      <c r="B18" s="86" t="s">
        <v>419</v>
      </c>
      <c r="C18" s="87">
        <v>16</v>
      </c>
      <c r="D18" s="87">
        <v>23</v>
      </c>
      <c r="E18" s="87">
        <v>75</v>
      </c>
      <c r="F18" s="88" t="s">
        <v>884</v>
      </c>
      <c r="G18" s="88" t="s">
        <v>293</v>
      </c>
      <c r="H18" s="90">
        <v>0.77777779102325439</v>
      </c>
      <c r="I18" s="90">
        <v>1.0909091234207153</v>
      </c>
      <c r="J18" s="89" t="s">
        <v>859</v>
      </c>
      <c r="K18" s="89" t="s">
        <v>885</v>
      </c>
      <c r="L18" s="91">
        <v>0.94</v>
      </c>
      <c r="M18" s="91">
        <v>0.96</v>
      </c>
      <c r="N18" s="92">
        <v>0.94</v>
      </c>
      <c r="O18" s="92">
        <v>0.87</v>
      </c>
      <c r="P18" s="93">
        <v>7.1999999999999995E-2</v>
      </c>
      <c r="Q18" t="str">
        <f t="shared" si="1"/>
        <v>RP5</v>
      </c>
      <c r="R18">
        <f t="shared" si="2"/>
        <v>3</v>
      </c>
      <c r="S18">
        <f t="shared" si="3"/>
        <v>3</v>
      </c>
      <c r="T18">
        <f t="shared" si="4"/>
        <v>4</v>
      </c>
      <c r="U18">
        <f t="shared" si="5"/>
        <v>3</v>
      </c>
      <c r="V18" s="53">
        <f>IF('Amputation Summary'!$Q$33=4, RANK(O18,O$8:O$76,1)+COUNTIF($O$8:O18,O18)-1, IF('Amputation Summary'!$Q$33=3, RANK(N18,N$8:N$76,1)+COUNTIF($N$8:N18,N18)-1, IF('Amputation Summary'!$Q$33=2, RANK(M18,M$8:M$76,1)+COUNTIF($M$8:M18,M18)-1, IF('Amputation Summary'!$Q$33=1, RANK(L18,L$8:L$76,1)+COUNTIF($L$8:L18,L18)-1))))</f>
        <v>44</v>
      </c>
      <c r="W18" s="13">
        <f>IF('Amputation Summary'!$Q$33=4, O18, IF('Amputation Summary'!$Q$33=3, N18, IF('Amputation Summary'!$Q$33=2, M18, IF('Amputation Summary'!$Q$33=1, L18))))</f>
        <v>0.87</v>
      </c>
      <c r="X18" s="16">
        <v>8</v>
      </c>
      <c r="Y18">
        <v>5</v>
      </c>
      <c r="Z18">
        <f t="shared" si="6"/>
        <v>3</v>
      </c>
      <c r="AA18">
        <v>13</v>
      </c>
      <c r="AB18">
        <f t="shared" si="7"/>
        <v>5</v>
      </c>
      <c r="AC18">
        <v>49</v>
      </c>
      <c r="AD18" s="16">
        <v>13</v>
      </c>
      <c r="AE18">
        <v>2</v>
      </c>
      <c r="AF18">
        <f t="shared" si="8"/>
        <v>11</v>
      </c>
      <c r="AG18">
        <v>18</v>
      </c>
      <c r="AH18">
        <f t="shared" si="9"/>
        <v>5</v>
      </c>
      <c r="AI18" s="2">
        <v>59</v>
      </c>
      <c r="AJ18" s="53">
        <f>IF('Amputation Summary'!$O$4=2,RANK(AC18,AC$8:AC$76,1)+COUNTIF($AC$8:AC18,AC18)-1,IF('Amputation Summary'!$O$4=1,RANK(AI18,AI$8:AI$76,1)+COUNTIF($AI$8:AI18,AI18)-1))</f>
        <v>49</v>
      </c>
      <c r="AK18" s="16">
        <f>IF('Amputation Summary'!$O$4=2, X18, IF('Amputation Summary'!$O$4=1, AD18))</f>
        <v>8</v>
      </c>
      <c r="AL18" s="16">
        <f>IF('Amputation Summary'!$O$4=2, Z18, IF('Amputation Summary'!$O$4=1, AF18))</f>
        <v>3</v>
      </c>
      <c r="AM18" s="16">
        <f>IF('Amputation Summary'!$O$4=2, AB18, IF('Amputation Summary'!$O$4=1, AH18))</f>
        <v>5</v>
      </c>
      <c r="AN18">
        <v>1</v>
      </c>
      <c r="AO18" s="16">
        <f t="shared" si="10"/>
        <v>0</v>
      </c>
      <c r="AP18" s="16">
        <f t="shared" si="11"/>
        <v>0.31313133239746094</v>
      </c>
      <c r="AQ18">
        <v>36</v>
      </c>
    </row>
    <row r="19" spans="1:43" x14ac:dyDescent="0.25">
      <c r="A19" s="85" t="s">
        <v>135</v>
      </c>
      <c r="B19" s="86" t="s">
        <v>136</v>
      </c>
      <c r="C19" s="87">
        <v>11</v>
      </c>
      <c r="D19" s="87">
        <v>20</v>
      </c>
      <c r="E19" s="87">
        <v>52</v>
      </c>
      <c r="F19" s="88" t="s">
        <v>451</v>
      </c>
      <c r="G19" s="88" t="s">
        <v>937</v>
      </c>
      <c r="H19" s="90">
        <v>0.375</v>
      </c>
      <c r="I19" s="90">
        <v>0.4285714328289032</v>
      </c>
      <c r="J19" s="89" t="s">
        <v>938</v>
      </c>
      <c r="K19" s="89" t="s">
        <v>939</v>
      </c>
      <c r="L19" s="91">
        <v>1</v>
      </c>
      <c r="M19" s="91">
        <v>0.75</v>
      </c>
      <c r="N19" s="92">
        <v>0.91</v>
      </c>
      <c r="O19" s="92">
        <v>0.6</v>
      </c>
      <c r="P19" s="93">
        <v>2.1000000000000001E-2</v>
      </c>
      <c r="Q19" t="str">
        <f t="shared" si="1"/>
        <v>RWH</v>
      </c>
      <c r="R19">
        <f t="shared" si="2"/>
        <v>4</v>
      </c>
      <c r="S19">
        <f t="shared" si="3"/>
        <v>2</v>
      </c>
      <c r="T19">
        <f t="shared" si="4"/>
        <v>3</v>
      </c>
      <c r="U19">
        <f t="shared" si="5"/>
        <v>2</v>
      </c>
      <c r="V19" s="53">
        <f>IF('Amputation Summary'!$Q$33=4, RANK(O19,O$8:O$76,1)+COUNTIF($O$8:O19,O19)-1, IF('Amputation Summary'!$Q$33=3, RANK(N19,N$8:N$76,1)+COUNTIF($N$8:N19,N19)-1, IF('Amputation Summary'!$Q$33=2, RANK(M19,M$8:M$76,1)+COUNTIF($M$8:M19,M19)-1, IF('Amputation Summary'!$Q$33=1, RANK(L19,L$8:L$76,1)+COUNTIF($L$8:L19,L19)-1))))</f>
        <v>24</v>
      </c>
      <c r="W19" s="13">
        <f>IF('Amputation Summary'!$Q$33=4, O19, IF('Amputation Summary'!$Q$33=3, N19, IF('Amputation Summary'!$Q$33=2, M19, IF('Amputation Summary'!$Q$33=1, L19))))</f>
        <v>0.6</v>
      </c>
      <c r="X19" s="16">
        <v>6</v>
      </c>
      <c r="Y19">
        <v>2</v>
      </c>
      <c r="Z19">
        <f t="shared" si="6"/>
        <v>4</v>
      </c>
      <c r="AA19">
        <v>15</v>
      </c>
      <c r="AB19">
        <f t="shared" si="7"/>
        <v>9</v>
      </c>
      <c r="AC19">
        <v>22</v>
      </c>
      <c r="AD19" s="16">
        <v>4</v>
      </c>
      <c r="AE19">
        <v>3</v>
      </c>
      <c r="AF19">
        <f t="shared" si="8"/>
        <v>1</v>
      </c>
      <c r="AG19">
        <v>10</v>
      </c>
      <c r="AH19">
        <f t="shared" si="9"/>
        <v>6</v>
      </c>
      <c r="AI19" s="2">
        <v>10</v>
      </c>
      <c r="AJ19" s="53">
        <f>IF('Amputation Summary'!$O$4=2,RANK(AC19,AC$8:AC$76,1)+COUNTIF($AC$8:AC19,AC19)-1,IF('Amputation Summary'!$O$4=1,RANK(AI19,AI$8:AI$76,1)+COUNTIF($AI$8:AI19,AI19)-1))</f>
        <v>22</v>
      </c>
      <c r="AK19" s="16">
        <f>IF('Amputation Summary'!$O$4=2, X19, IF('Amputation Summary'!$O$4=1, AD19))</f>
        <v>6</v>
      </c>
      <c r="AL19" s="16">
        <f>IF('Amputation Summary'!$O$4=2, Z19, IF('Amputation Summary'!$O$4=1, AF19))</f>
        <v>4</v>
      </c>
      <c r="AM19" s="16">
        <f>IF('Amputation Summary'!$O$4=2, AB19, IF('Amputation Summary'!$O$4=1, AH19))</f>
        <v>9</v>
      </c>
      <c r="AN19">
        <v>1</v>
      </c>
      <c r="AO19" s="16">
        <f t="shared" si="10"/>
        <v>0</v>
      </c>
      <c r="AP19" s="16">
        <f t="shared" si="11"/>
        <v>5.3571432828903198E-2</v>
      </c>
      <c r="AQ19">
        <v>5</v>
      </c>
    </row>
    <row r="20" spans="1:43" x14ac:dyDescent="0.25">
      <c r="A20" s="85" t="s">
        <v>123</v>
      </c>
      <c r="B20" s="86" t="s">
        <v>124</v>
      </c>
      <c r="C20" s="87">
        <v>35</v>
      </c>
      <c r="D20" s="87">
        <v>22</v>
      </c>
      <c r="E20" s="87">
        <v>96</v>
      </c>
      <c r="F20" s="88" t="s">
        <v>917</v>
      </c>
      <c r="G20" s="88" t="s">
        <v>918</v>
      </c>
      <c r="H20" s="90">
        <v>1.9166666269302368</v>
      </c>
      <c r="I20" s="90">
        <v>0.57142859697341919</v>
      </c>
      <c r="J20" s="89" t="s">
        <v>919</v>
      </c>
      <c r="K20" s="89" t="s">
        <v>920</v>
      </c>
      <c r="L20" s="91">
        <v>0.97</v>
      </c>
      <c r="M20" s="91">
        <v>0.95</v>
      </c>
      <c r="N20" s="92">
        <v>0.74</v>
      </c>
      <c r="O20" s="92">
        <v>0.86</v>
      </c>
      <c r="P20" s="93">
        <v>4.2999999999999997E-2</v>
      </c>
      <c r="Q20" t="str">
        <f t="shared" si="1"/>
        <v>RVV</v>
      </c>
      <c r="R20">
        <f t="shared" si="2"/>
        <v>3</v>
      </c>
      <c r="S20">
        <f t="shared" si="3"/>
        <v>3</v>
      </c>
      <c r="T20">
        <f t="shared" si="4"/>
        <v>2</v>
      </c>
      <c r="U20">
        <f t="shared" si="5"/>
        <v>3</v>
      </c>
      <c r="V20" s="53">
        <f>IF('Amputation Summary'!$Q$33=4, RANK(O20,O$8:O$76,1)+COUNTIF($O$8:O20,O20)-1, IF('Amputation Summary'!$Q$33=3, RANK(N20,N$8:N$76,1)+COUNTIF($N$8:N20,N20)-1, IF('Amputation Summary'!$Q$33=2, RANK(M20,M$8:M$76,1)+COUNTIF($M$8:M20,M20)-1, IF('Amputation Summary'!$Q$33=1, RANK(L20,L$8:L$76,1)+COUNTIF($L$8:L20,L20)-1))))</f>
        <v>42</v>
      </c>
      <c r="W20" s="13">
        <f>IF('Amputation Summary'!$Q$33=4, O20, IF('Amputation Summary'!$Q$33=3, N20, IF('Amputation Summary'!$Q$33=2, M20, IF('Amputation Summary'!$Q$33=1, L20))))</f>
        <v>0.86</v>
      </c>
      <c r="X20" s="16">
        <v>9</v>
      </c>
      <c r="Y20">
        <v>5</v>
      </c>
      <c r="Z20">
        <f t="shared" si="6"/>
        <v>4</v>
      </c>
      <c r="AA20">
        <v>25</v>
      </c>
      <c r="AB20">
        <f t="shared" si="7"/>
        <v>16</v>
      </c>
      <c r="AC20">
        <v>55</v>
      </c>
      <c r="AD20" s="16">
        <v>9</v>
      </c>
      <c r="AE20">
        <v>3</v>
      </c>
      <c r="AF20">
        <f t="shared" si="8"/>
        <v>6</v>
      </c>
      <c r="AG20">
        <v>17</v>
      </c>
      <c r="AH20">
        <f t="shared" si="9"/>
        <v>8</v>
      </c>
      <c r="AI20" s="2">
        <v>42</v>
      </c>
      <c r="AJ20" s="53">
        <f>IF('Amputation Summary'!$O$4=2,RANK(AC20,AC$8:AC$76,1)+COUNTIF($AC$8:AC20,AC20)-1,IF('Amputation Summary'!$O$4=1,RANK(AI20,AI$8:AI$76,1)+COUNTIF($AI$8:AI20,AI20)-1))</f>
        <v>55</v>
      </c>
      <c r="AK20" s="16">
        <f>IF('Amputation Summary'!$O$4=2, X20, IF('Amputation Summary'!$O$4=1, AD20))</f>
        <v>9</v>
      </c>
      <c r="AL20" s="16">
        <f>IF('Amputation Summary'!$O$4=2, Z20, IF('Amputation Summary'!$O$4=1, AF20))</f>
        <v>4</v>
      </c>
      <c r="AM20" s="16">
        <f>IF('Amputation Summary'!$O$4=2, AB20, IF('Amputation Summary'!$O$4=1, AH20))</f>
        <v>16</v>
      </c>
      <c r="AN20">
        <v>1</v>
      </c>
      <c r="AO20" s="16">
        <f t="shared" si="10"/>
        <v>1.3452380299568176</v>
      </c>
      <c r="AP20" s="16">
        <f t="shared" si="11"/>
        <v>0</v>
      </c>
      <c r="AQ20">
        <v>10</v>
      </c>
    </row>
    <row r="21" spans="1:43" x14ac:dyDescent="0.25">
      <c r="A21" s="85" t="s">
        <v>149</v>
      </c>
      <c r="B21" s="86" t="s">
        <v>150</v>
      </c>
      <c r="C21" s="87">
        <v>42</v>
      </c>
      <c r="D21" s="87">
        <v>35</v>
      </c>
      <c r="E21" s="87">
        <v>119</v>
      </c>
      <c r="F21" s="88" t="s">
        <v>946</v>
      </c>
      <c r="G21" s="88" t="s">
        <v>947</v>
      </c>
      <c r="H21" s="90">
        <v>0.55555558204650879</v>
      </c>
      <c r="I21" s="90">
        <v>0.59090906381607056</v>
      </c>
      <c r="J21" s="89" t="s">
        <v>948</v>
      </c>
      <c r="K21" s="89" t="s">
        <v>949</v>
      </c>
      <c r="L21" s="91">
        <v>0.71</v>
      </c>
      <c r="M21" s="91">
        <v>0.46</v>
      </c>
      <c r="N21" s="92">
        <v>0.26</v>
      </c>
      <c r="O21" s="92">
        <v>0.37</v>
      </c>
      <c r="P21" s="93">
        <v>7.8E-2</v>
      </c>
      <c r="Q21" t="str">
        <f t="shared" si="1"/>
        <v>RXR</v>
      </c>
      <c r="R21">
        <f t="shared" si="2"/>
        <v>1</v>
      </c>
      <c r="S21">
        <f t="shared" si="3"/>
        <v>1</v>
      </c>
      <c r="T21">
        <f t="shared" si="4"/>
        <v>1</v>
      </c>
      <c r="U21">
        <f t="shared" si="5"/>
        <v>1</v>
      </c>
      <c r="V21" s="53">
        <f>IF('Amputation Summary'!$Q$33=4, RANK(O21,O$8:O$76,1)+COUNTIF($O$8:O21,O21)-1, IF('Amputation Summary'!$Q$33=3, RANK(N21,N$8:N$76,1)+COUNTIF($N$8:N21,N21)-1, IF('Amputation Summary'!$Q$33=2, RANK(M21,M$8:M$76,1)+COUNTIF($M$8:M21,M21)-1, IF('Amputation Summary'!$Q$33=1, RANK(L21,L$8:L$76,1)+COUNTIF($L$8:L21,L21)-1))))</f>
        <v>7</v>
      </c>
      <c r="W21" s="13">
        <f>IF('Amputation Summary'!$Q$33=4, O21, IF('Amputation Summary'!$Q$33=3, N21, IF('Amputation Summary'!$Q$33=2, M21, IF('Amputation Summary'!$Q$33=1, L21))))</f>
        <v>0.37</v>
      </c>
      <c r="X21" s="16">
        <v>7</v>
      </c>
      <c r="Y21">
        <v>2</v>
      </c>
      <c r="Z21">
        <f t="shared" si="6"/>
        <v>5</v>
      </c>
      <c r="AA21">
        <v>29</v>
      </c>
      <c r="AB21">
        <f t="shared" si="7"/>
        <v>22</v>
      </c>
      <c r="AC21">
        <v>35</v>
      </c>
      <c r="AD21" s="16">
        <v>7</v>
      </c>
      <c r="AE21">
        <v>2</v>
      </c>
      <c r="AF21">
        <f t="shared" si="8"/>
        <v>5</v>
      </c>
      <c r="AG21">
        <v>15</v>
      </c>
      <c r="AH21">
        <f t="shared" si="9"/>
        <v>8</v>
      </c>
      <c r="AI21" s="2">
        <v>28</v>
      </c>
      <c r="AJ21" s="53">
        <f>IF('Amputation Summary'!$O$4=2,RANK(AC21,AC$8:AC$76,1)+COUNTIF($AC$8:AC21,AC21)-1,IF('Amputation Summary'!$O$4=1,RANK(AI21,AI$8:AI$76,1)+COUNTIF($AI$8:AI21,AI21)-1))</f>
        <v>35</v>
      </c>
      <c r="AK21" s="16">
        <f>IF('Amputation Summary'!$O$4=2, X21, IF('Amputation Summary'!$O$4=1, AD21))</f>
        <v>7</v>
      </c>
      <c r="AL21" s="16">
        <f>IF('Amputation Summary'!$O$4=2, Z21, IF('Amputation Summary'!$O$4=1, AF21))</f>
        <v>5</v>
      </c>
      <c r="AM21" s="16">
        <f>IF('Amputation Summary'!$O$4=2, AB21, IF('Amputation Summary'!$O$4=1, AH21))</f>
        <v>22</v>
      </c>
      <c r="AN21">
        <v>1</v>
      </c>
      <c r="AO21" s="16">
        <f t="shared" si="10"/>
        <v>0</v>
      </c>
      <c r="AP21" s="16">
        <f t="shared" si="11"/>
        <v>3.5353481769561768E-2</v>
      </c>
      <c r="AQ21">
        <v>12</v>
      </c>
    </row>
    <row r="22" spans="1:43" x14ac:dyDescent="0.25">
      <c r="A22" s="85" t="s">
        <v>37</v>
      </c>
      <c r="B22" s="86" t="s">
        <v>198</v>
      </c>
      <c r="C22" s="87">
        <v>31</v>
      </c>
      <c r="D22" s="87">
        <v>23</v>
      </c>
      <c r="E22" s="87">
        <v>89</v>
      </c>
      <c r="F22" s="88" t="s">
        <v>826</v>
      </c>
      <c r="G22" s="88" t="s">
        <v>827</v>
      </c>
      <c r="H22" s="90">
        <v>1.0666667222976685</v>
      </c>
      <c r="I22" s="90">
        <v>1.875</v>
      </c>
      <c r="J22" s="89" t="s">
        <v>731</v>
      </c>
      <c r="K22" s="89" t="s">
        <v>828</v>
      </c>
      <c r="L22" s="91">
        <v>0.23</v>
      </c>
      <c r="M22" s="91">
        <v>0.52</v>
      </c>
      <c r="N22" s="92">
        <v>0.71</v>
      </c>
      <c r="O22" s="92">
        <v>0.56999999999999995</v>
      </c>
      <c r="P22" s="93">
        <v>5.3999999999999999E-2</v>
      </c>
      <c r="Q22" t="str">
        <f t="shared" si="1"/>
        <v>RDE</v>
      </c>
      <c r="R22">
        <f t="shared" si="2"/>
        <v>1</v>
      </c>
      <c r="S22">
        <f t="shared" si="3"/>
        <v>1</v>
      </c>
      <c r="T22">
        <f t="shared" si="4"/>
        <v>2</v>
      </c>
      <c r="U22">
        <f t="shared" si="5"/>
        <v>2</v>
      </c>
      <c r="V22" s="53">
        <f>IF('Amputation Summary'!$Q$33=4, RANK(O22,O$8:O$76,1)+COUNTIF($O$8:O22,O22)-1, IF('Amputation Summary'!$Q$33=3, RANK(N22,N$8:N$76,1)+COUNTIF($N$8:N22,N22)-1, IF('Amputation Summary'!$Q$33=2, RANK(M22,M$8:M$76,1)+COUNTIF($M$8:M22,M22)-1, IF('Amputation Summary'!$Q$33=1, RANK(L22,L$8:L$76,1)+COUNTIF($L$8:L22,L22)-1))))</f>
        <v>18</v>
      </c>
      <c r="W22" s="13">
        <f>IF('Amputation Summary'!$Q$33=4, O22, IF('Amputation Summary'!$Q$33=3, N22, IF('Amputation Summary'!$Q$33=2, M22, IF('Amputation Summary'!$Q$33=1, L22))))</f>
        <v>0.56999999999999995</v>
      </c>
      <c r="X22" s="16">
        <v>4</v>
      </c>
      <c r="Y22">
        <v>3</v>
      </c>
      <c r="Z22">
        <f t="shared" si="6"/>
        <v>1</v>
      </c>
      <c r="AA22">
        <v>17</v>
      </c>
      <c r="AB22">
        <f t="shared" si="7"/>
        <v>13</v>
      </c>
      <c r="AC22">
        <v>13</v>
      </c>
      <c r="AD22" s="16">
        <v>11</v>
      </c>
      <c r="AE22">
        <v>4</v>
      </c>
      <c r="AF22">
        <f t="shared" si="8"/>
        <v>7</v>
      </c>
      <c r="AG22">
        <v>30</v>
      </c>
      <c r="AH22">
        <f t="shared" si="9"/>
        <v>19</v>
      </c>
      <c r="AI22" s="2">
        <v>52</v>
      </c>
      <c r="AJ22" s="53">
        <f>IF('Amputation Summary'!$O$4=2,RANK(AC22,AC$8:AC$76,1)+COUNTIF($AC$8:AC22,AC22)-1,IF('Amputation Summary'!$O$4=1,RANK(AI22,AI$8:AI$76,1)+COUNTIF($AI$8:AI22,AI22)-1))</f>
        <v>13</v>
      </c>
      <c r="AK22" s="16">
        <f>IF('Amputation Summary'!$O$4=2, X22, IF('Amputation Summary'!$O$4=1, AD22))</f>
        <v>4</v>
      </c>
      <c r="AL22" s="16">
        <f>IF('Amputation Summary'!$O$4=2, Z22, IF('Amputation Summary'!$O$4=1, AF22))</f>
        <v>1</v>
      </c>
      <c r="AM22" s="16">
        <f>IF('Amputation Summary'!$O$4=2, AB22, IF('Amputation Summary'!$O$4=1, AH22))</f>
        <v>13</v>
      </c>
      <c r="AN22">
        <v>1</v>
      </c>
      <c r="AO22" s="16">
        <f t="shared" si="10"/>
        <v>0</v>
      </c>
      <c r="AP22" s="16">
        <f t="shared" si="11"/>
        <v>0.80833327770233154</v>
      </c>
      <c r="AQ22">
        <v>56</v>
      </c>
    </row>
    <row r="23" spans="1:43" x14ac:dyDescent="0.25">
      <c r="A23" s="85" t="s">
        <v>38</v>
      </c>
      <c r="B23" s="86" t="s">
        <v>39</v>
      </c>
      <c r="C23" s="87">
        <v>52</v>
      </c>
      <c r="D23" s="87">
        <v>51</v>
      </c>
      <c r="E23" s="87">
        <v>164</v>
      </c>
      <c r="F23" s="88" t="s">
        <v>829</v>
      </c>
      <c r="G23" s="88" t="s">
        <v>237</v>
      </c>
      <c r="H23" s="90">
        <v>0.3333333432674408</v>
      </c>
      <c r="I23" s="90">
        <v>0.27500000596046448</v>
      </c>
      <c r="J23" s="89" t="s">
        <v>830</v>
      </c>
      <c r="K23" s="89" t="s">
        <v>831</v>
      </c>
      <c r="L23" s="91">
        <v>0.98</v>
      </c>
      <c r="M23" s="91">
        <v>1</v>
      </c>
      <c r="N23" s="92">
        <v>0.98</v>
      </c>
      <c r="O23" s="92">
        <v>0.96</v>
      </c>
      <c r="P23" s="93">
        <v>6.3E-2</v>
      </c>
      <c r="Q23" t="str">
        <f t="shared" si="1"/>
        <v>RDU</v>
      </c>
      <c r="R23">
        <f t="shared" si="2"/>
        <v>3</v>
      </c>
      <c r="S23">
        <f t="shared" si="3"/>
        <v>4</v>
      </c>
      <c r="T23">
        <f t="shared" si="4"/>
        <v>4</v>
      </c>
      <c r="U23">
        <f t="shared" si="5"/>
        <v>4</v>
      </c>
      <c r="V23" s="53">
        <f>IF('Amputation Summary'!$Q$33=4, RANK(O23,O$8:O$76,1)+COUNTIF($O$8:O23,O23)-1, IF('Amputation Summary'!$Q$33=3, RANK(N23,N$8:N$76,1)+COUNTIF($N$8:N23,N23)-1, IF('Amputation Summary'!$Q$33=2, RANK(M23,M$8:M$76,1)+COUNTIF($M$8:M23,M23)-1, IF('Amputation Summary'!$Q$33=1, RANK(L23,L$8:L$76,1)+COUNTIF($L$8:L23,L23)-1))))</f>
        <v>54</v>
      </c>
      <c r="W23" s="13">
        <f>IF('Amputation Summary'!$Q$33=4, O23, IF('Amputation Summary'!$Q$33=3, N23, IF('Amputation Summary'!$Q$33=2, M23, IF('Amputation Summary'!$Q$33=1, L23))))</f>
        <v>0.96</v>
      </c>
      <c r="X23" s="16">
        <v>6</v>
      </c>
      <c r="Y23">
        <v>3</v>
      </c>
      <c r="Z23">
        <f t="shared" si="6"/>
        <v>3</v>
      </c>
      <c r="AA23">
        <v>13</v>
      </c>
      <c r="AB23">
        <f t="shared" si="7"/>
        <v>7</v>
      </c>
      <c r="AC23">
        <v>28</v>
      </c>
      <c r="AD23" s="16">
        <v>7</v>
      </c>
      <c r="AE23">
        <v>3</v>
      </c>
      <c r="AF23">
        <f t="shared" si="8"/>
        <v>4</v>
      </c>
      <c r="AG23">
        <v>28</v>
      </c>
      <c r="AH23">
        <f t="shared" si="9"/>
        <v>21</v>
      </c>
      <c r="AI23" s="2">
        <v>33</v>
      </c>
      <c r="AJ23" s="53">
        <f>IF('Amputation Summary'!$O$4=2,RANK(AC23,AC$8:AC$76,1)+COUNTIF($AC$8:AC23,AC23)-1,IF('Amputation Summary'!$O$4=1,RANK(AI23,AI$8:AI$76,1)+COUNTIF($AI$8:AI23,AI23)-1))</f>
        <v>28</v>
      </c>
      <c r="AK23" s="16">
        <f>IF('Amputation Summary'!$O$4=2, X23, IF('Amputation Summary'!$O$4=1, AD23))</f>
        <v>6</v>
      </c>
      <c r="AL23" s="16">
        <f>IF('Amputation Summary'!$O$4=2, Z23, IF('Amputation Summary'!$O$4=1, AF23))</f>
        <v>3</v>
      </c>
      <c r="AM23" s="16">
        <f>IF('Amputation Summary'!$O$4=2, AB23, IF('Amputation Summary'!$O$4=1, AH23))</f>
        <v>7</v>
      </c>
      <c r="AN23">
        <v>1</v>
      </c>
      <c r="AO23" s="16">
        <f t="shared" si="10"/>
        <v>5.8333337306976318E-2</v>
      </c>
      <c r="AP23" s="16">
        <f t="shared" si="11"/>
        <v>0</v>
      </c>
      <c r="AQ23">
        <v>3</v>
      </c>
    </row>
    <row r="24" spans="1:43" x14ac:dyDescent="0.25">
      <c r="A24" s="85" t="s">
        <v>112</v>
      </c>
      <c r="B24" s="86" t="s">
        <v>113</v>
      </c>
      <c r="C24" s="87">
        <v>51</v>
      </c>
      <c r="D24" s="87">
        <v>34</v>
      </c>
      <c r="E24" s="87">
        <v>138</v>
      </c>
      <c r="F24" s="88" t="s">
        <v>277</v>
      </c>
      <c r="G24" s="88" t="s">
        <v>896</v>
      </c>
      <c r="H24" s="90">
        <v>0.96153843402862549</v>
      </c>
      <c r="I24" s="90">
        <v>0.25925925374031067</v>
      </c>
      <c r="J24" s="89" t="s">
        <v>902</v>
      </c>
      <c r="K24" s="89" t="s">
        <v>903</v>
      </c>
      <c r="L24" s="91">
        <v>0.88</v>
      </c>
      <c r="M24" s="91">
        <v>0.79</v>
      </c>
      <c r="N24" s="92">
        <v>0.76</v>
      </c>
      <c r="O24" s="92">
        <v>0.82</v>
      </c>
      <c r="P24" s="93">
        <v>7.8E-2</v>
      </c>
      <c r="Q24" t="str">
        <f t="shared" si="1"/>
        <v>RTE</v>
      </c>
      <c r="R24">
        <f t="shared" si="2"/>
        <v>2</v>
      </c>
      <c r="S24">
        <f t="shared" si="3"/>
        <v>2</v>
      </c>
      <c r="T24">
        <f t="shared" si="4"/>
        <v>2</v>
      </c>
      <c r="U24">
        <f t="shared" si="5"/>
        <v>3</v>
      </c>
      <c r="V24" s="53">
        <f>IF('Amputation Summary'!$Q$33=4, RANK(O24,O$8:O$76,1)+COUNTIF($O$8:O24,O24)-1, IF('Amputation Summary'!$Q$33=3, RANK(N24,N$8:N$76,1)+COUNTIF($N$8:N24,N24)-1, IF('Amputation Summary'!$Q$33=2, RANK(M24,M$8:M$76,1)+COUNTIF($M$8:M24,M24)-1, IF('Amputation Summary'!$Q$33=1, RANK(L24,L$8:L$76,1)+COUNTIF($L$8:L24,L24)-1))))</f>
        <v>37</v>
      </c>
      <c r="W24" s="13">
        <f>IF('Amputation Summary'!$Q$33=4, O24, IF('Amputation Summary'!$Q$33=3, N24, IF('Amputation Summary'!$Q$33=2, M24, IF('Amputation Summary'!$Q$33=1, L24))))</f>
        <v>0.82</v>
      </c>
      <c r="X24" s="16">
        <v>6</v>
      </c>
      <c r="Y24">
        <v>2</v>
      </c>
      <c r="Z24">
        <f t="shared" si="6"/>
        <v>4</v>
      </c>
      <c r="AA24">
        <v>16</v>
      </c>
      <c r="AB24">
        <f t="shared" si="7"/>
        <v>10</v>
      </c>
      <c r="AC24">
        <v>23</v>
      </c>
      <c r="AD24" s="16">
        <v>5</v>
      </c>
      <c r="AE24">
        <v>2</v>
      </c>
      <c r="AF24">
        <f t="shared" si="8"/>
        <v>3</v>
      </c>
      <c r="AG24">
        <v>7</v>
      </c>
      <c r="AH24">
        <f t="shared" si="9"/>
        <v>2</v>
      </c>
      <c r="AI24" s="2">
        <v>12</v>
      </c>
      <c r="AJ24" s="53">
        <f>IF('Amputation Summary'!$O$4=2,RANK(AC24,AC$8:AC$76,1)+COUNTIF($AC$8:AC24,AC24)-1,IF('Amputation Summary'!$O$4=1,RANK(AI24,AI$8:AI$76,1)+COUNTIF($AI$8:AI24,AI24)-1))</f>
        <v>23</v>
      </c>
      <c r="AK24" s="16">
        <f>IF('Amputation Summary'!$O$4=2, X24, IF('Amputation Summary'!$O$4=1, AD24))</f>
        <v>6</v>
      </c>
      <c r="AL24" s="16">
        <f>IF('Amputation Summary'!$O$4=2, Z24, IF('Amputation Summary'!$O$4=1, AF24))</f>
        <v>4</v>
      </c>
      <c r="AM24" s="16">
        <f>IF('Amputation Summary'!$O$4=2, AB24, IF('Amputation Summary'!$O$4=1, AH24))</f>
        <v>10</v>
      </c>
      <c r="AN24">
        <v>1</v>
      </c>
      <c r="AO24" s="16">
        <f t="shared" si="10"/>
        <v>0.70227918028831482</v>
      </c>
      <c r="AP24" s="16">
        <f t="shared" si="11"/>
        <v>0</v>
      </c>
      <c r="AQ24">
        <v>2</v>
      </c>
    </row>
    <row r="25" spans="1:43" x14ac:dyDescent="0.25">
      <c r="A25" s="85" t="s">
        <v>63</v>
      </c>
      <c r="B25" s="86" t="s">
        <v>64</v>
      </c>
      <c r="C25" s="87">
        <v>68</v>
      </c>
      <c r="D25" s="87">
        <v>56</v>
      </c>
      <c r="E25" s="87">
        <v>168</v>
      </c>
      <c r="F25" s="88" t="s">
        <v>484</v>
      </c>
      <c r="G25" s="88" t="s">
        <v>855</v>
      </c>
      <c r="H25" s="90">
        <v>0.74358975887298584</v>
      </c>
      <c r="I25" s="90">
        <v>0.64705884456634521</v>
      </c>
      <c r="J25" s="89" t="s">
        <v>856</v>
      </c>
      <c r="K25" s="89" t="s">
        <v>857</v>
      </c>
      <c r="L25" s="91">
        <v>0.51</v>
      </c>
      <c r="M25" s="91">
        <v>0.43</v>
      </c>
      <c r="N25" s="92">
        <v>0.28999999999999998</v>
      </c>
      <c r="O25" s="92">
        <v>7.0000000000000007E-2</v>
      </c>
      <c r="P25" s="93">
        <v>0.10199999999999999</v>
      </c>
      <c r="Q25" t="str">
        <f t="shared" si="1"/>
        <v>RJ1</v>
      </c>
      <c r="R25">
        <f t="shared" si="2"/>
        <v>1</v>
      </c>
      <c r="S25">
        <f t="shared" si="3"/>
        <v>1</v>
      </c>
      <c r="T25">
        <f t="shared" si="4"/>
        <v>1</v>
      </c>
      <c r="U25">
        <f t="shared" si="5"/>
        <v>1</v>
      </c>
      <c r="V25" s="53">
        <f>IF('Amputation Summary'!$Q$33=4, RANK(O25,O$8:O$76,1)+COUNTIF($O$8:O25,O25)-1, IF('Amputation Summary'!$Q$33=3, RANK(N25,N$8:N$76,1)+COUNTIF($N$8:N25,N25)-1, IF('Amputation Summary'!$Q$33=2, RANK(M25,M$8:M$76,1)+COUNTIF($M$8:M25,M25)-1, IF('Amputation Summary'!$Q$33=1, RANK(L25,L$8:L$76,1)+COUNTIF($L$8:L25,L25)-1))))</f>
        <v>3</v>
      </c>
      <c r="W25" s="13">
        <f>IF('Amputation Summary'!$Q$33=4, O25, IF('Amputation Summary'!$Q$33=3, N25, IF('Amputation Summary'!$Q$33=2, M25, IF('Amputation Summary'!$Q$33=1, L25))))</f>
        <v>7.0000000000000007E-2</v>
      </c>
      <c r="X25" s="16">
        <v>7</v>
      </c>
      <c r="Y25">
        <v>3</v>
      </c>
      <c r="Z25">
        <f t="shared" si="6"/>
        <v>4</v>
      </c>
      <c r="AA25">
        <v>26</v>
      </c>
      <c r="AB25">
        <f t="shared" si="7"/>
        <v>19</v>
      </c>
      <c r="AC25">
        <v>41</v>
      </c>
      <c r="AD25" s="16">
        <v>5</v>
      </c>
      <c r="AE25">
        <v>1</v>
      </c>
      <c r="AF25">
        <f t="shared" si="8"/>
        <v>4</v>
      </c>
      <c r="AG25">
        <v>31</v>
      </c>
      <c r="AH25">
        <f t="shared" si="9"/>
        <v>26</v>
      </c>
      <c r="AI25" s="2">
        <v>11</v>
      </c>
      <c r="AJ25" s="53">
        <f>IF('Amputation Summary'!$O$4=2,RANK(AC25,AC$8:AC$76,1)+COUNTIF($AC$8:AC25,AC25)-1,IF('Amputation Summary'!$O$4=1,RANK(AI25,AI$8:AI$76,1)+COUNTIF($AI$8:AI25,AI25)-1))</f>
        <v>41</v>
      </c>
      <c r="AK25" s="16">
        <f>IF('Amputation Summary'!$O$4=2, X25, IF('Amputation Summary'!$O$4=1, AD25))</f>
        <v>7</v>
      </c>
      <c r="AL25" s="16">
        <f>IF('Amputation Summary'!$O$4=2, Z25, IF('Amputation Summary'!$O$4=1, AF25))</f>
        <v>4</v>
      </c>
      <c r="AM25" s="16">
        <f>IF('Amputation Summary'!$O$4=2, AB25, IF('Amputation Summary'!$O$4=1, AH25))</f>
        <v>19</v>
      </c>
      <c r="AN25">
        <v>1</v>
      </c>
      <c r="AO25" s="16">
        <f t="shared" si="10"/>
        <v>9.6530914306640625E-2</v>
      </c>
      <c r="AP25" s="16">
        <f t="shared" si="11"/>
        <v>0</v>
      </c>
      <c r="AQ25">
        <v>15</v>
      </c>
    </row>
    <row r="26" spans="1:43" x14ac:dyDescent="0.25">
      <c r="A26" s="85" t="s">
        <v>127</v>
      </c>
      <c r="B26" s="86" t="s">
        <v>420</v>
      </c>
      <c r="C26" s="87">
        <v>85</v>
      </c>
      <c r="D26" s="87">
        <v>66</v>
      </c>
      <c r="E26" s="87">
        <v>225</v>
      </c>
      <c r="F26" s="88" t="s">
        <v>923</v>
      </c>
      <c r="G26" s="88" t="s">
        <v>924</v>
      </c>
      <c r="H26" s="90">
        <v>0.49122807383537292</v>
      </c>
      <c r="I26" s="90">
        <v>0.46666666865348816</v>
      </c>
      <c r="J26" s="89" t="s">
        <v>925</v>
      </c>
      <c r="K26" s="89" t="s">
        <v>724</v>
      </c>
      <c r="L26" s="91">
        <v>0.71</v>
      </c>
      <c r="M26" s="91">
        <v>0.8</v>
      </c>
      <c r="N26" s="92">
        <v>0.98</v>
      </c>
      <c r="O26" s="92">
        <v>1</v>
      </c>
      <c r="P26" s="93">
        <v>9.9000000000000005E-2</v>
      </c>
      <c r="Q26" t="str">
        <f t="shared" si="1"/>
        <v>RWA</v>
      </c>
      <c r="R26">
        <f t="shared" si="2"/>
        <v>1</v>
      </c>
      <c r="S26">
        <f t="shared" si="3"/>
        <v>2</v>
      </c>
      <c r="T26">
        <f t="shared" si="4"/>
        <v>4</v>
      </c>
      <c r="U26">
        <f t="shared" si="5"/>
        <v>4</v>
      </c>
      <c r="V26" s="53">
        <f>IF('Amputation Summary'!$Q$33=4, RANK(O26,O$8:O$76,1)+COUNTIF($O$8:O26,O26)-1, IF('Amputation Summary'!$Q$33=3, RANK(N26,N$8:N$76,1)+COUNTIF($N$8:N26,N26)-1, IF('Amputation Summary'!$Q$33=2, RANK(M26,M$8:M$76,1)+COUNTIF($M$8:M26,M26)-1, IF('Amputation Summary'!$Q$33=1, RANK(L26,L$8:L$76,1)+COUNTIF($L$8:L26,L26)-1))))</f>
        <v>62</v>
      </c>
      <c r="W26" s="13">
        <f>IF('Amputation Summary'!$Q$33=4, O26, IF('Amputation Summary'!$Q$33=3, N26, IF('Amputation Summary'!$Q$33=2, M26, IF('Amputation Summary'!$Q$33=1, L26))))</f>
        <v>1</v>
      </c>
      <c r="X26" s="16">
        <v>10</v>
      </c>
      <c r="Y26">
        <v>4</v>
      </c>
      <c r="Z26">
        <f t="shared" si="6"/>
        <v>6</v>
      </c>
      <c r="AA26">
        <v>32</v>
      </c>
      <c r="AB26">
        <f t="shared" si="7"/>
        <v>22</v>
      </c>
      <c r="AC26">
        <v>57</v>
      </c>
      <c r="AD26" s="16">
        <v>9</v>
      </c>
      <c r="AE26">
        <v>4</v>
      </c>
      <c r="AF26">
        <f t="shared" si="8"/>
        <v>5</v>
      </c>
      <c r="AG26">
        <v>44</v>
      </c>
      <c r="AH26">
        <f t="shared" si="9"/>
        <v>35</v>
      </c>
      <c r="AI26" s="2">
        <v>47</v>
      </c>
      <c r="AJ26" s="53">
        <f>IF('Amputation Summary'!$O$4=2,RANK(AC26,AC$8:AC$76,1)+COUNTIF($AC$8:AC26,AC26)-1,IF('Amputation Summary'!$O$4=1,RANK(AI26,AI$8:AI$76,1)+COUNTIF($AI$8:AI26,AI26)-1))</f>
        <v>57</v>
      </c>
      <c r="AK26" s="16">
        <f>IF('Amputation Summary'!$O$4=2, X26, IF('Amputation Summary'!$O$4=1, AD26))</f>
        <v>10</v>
      </c>
      <c r="AL26" s="16">
        <f>IF('Amputation Summary'!$O$4=2, Z26, IF('Amputation Summary'!$O$4=1, AF26))</f>
        <v>6</v>
      </c>
      <c r="AM26" s="16">
        <f>IF('Amputation Summary'!$O$4=2, AB26, IF('Amputation Summary'!$O$4=1, AH26))</f>
        <v>22</v>
      </c>
      <c r="AN26">
        <v>1</v>
      </c>
      <c r="AO26" s="16">
        <f t="shared" si="10"/>
        <v>2.4561405181884766E-2</v>
      </c>
      <c r="AP26" s="16">
        <f t="shared" si="11"/>
        <v>0</v>
      </c>
      <c r="AQ26">
        <v>7</v>
      </c>
    </row>
    <row r="27" spans="1:43" x14ac:dyDescent="0.25">
      <c r="A27" s="85" t="s">
        <v>153</v>
      </c>
      <c r="B27" s="86" t="s">
        <v>154</v>
      </c>
      <c r="C27" s="87">
        <v>39</v>
      </c>
      <c r="D27" s="87">
        <v>43</v>
      </c>
      <c r="E27" s="87">
        <v>131</v>
      </c>
      <c r="F27" s="88" t="s">
        <v>953</v>
      </c>
      <c r="G27" s="88" t="s">
        <v>954</v>
      </c>
      <c r="H27" s="90">
        <v>0.69565218687057495</v>
      </c>
      <c r="I27" s="90">
        <v>1.1499999761581421</v>
      </c>
      <c r="J27" s="89" t="s">
        <v>955</v>
      </c>
      <c r="K27" s="89" t="s">
        <v>956</v>
      </c>
      <c r="L27" s="91">
        <v>0.82</v>
      </c>
      <c r="M27" s="91">
        <v>0.6</v>
      </c>
      <c r="N27" s="92">
        <v>0.03</v>
      </c>
      <c r="O27" s="92">
        <v>0.21</v>
      </c>
      <c r="P27" s="93">
        <v>7.3999999999999996E-2</v>
      </c>
      <c r="Q27" t="str">
        <f t="shared" si="1"/>
        <v>RYJ</v>
      </c>
      <c r="R27">
        <f t="shared" si="2"/>
        <v>2</v>
      </c>
      <c r="S27">
        <f t="shared" si="3"/>
        <v>1</v>
      </c>
      <c r="T27">
        <f t="shared" si="4"/>
        <v>1</v>
      </c>
      <c r="U27">
        <f t="shared" si="5"/>
        <v>1</v>
      </c>
      <c r="V27" s="53">
        <f>IF('Amputation Summary'!$Q$33=4, RANK(O27,O$8:O$76,1)+COUNTIF($O$8:O27,O27)-1, IF('Amputation Summary'!$Q$33=3, RANK(N27,N$8:N$76,1)+COUNTIF($N$8:N27,N27)-1, IF('Amputation Summary'!$Q$33=2, RANK(M27,M$8:M$76,1)+COUNTIF($M$8:M27,M27)-1, IF('Amputation Summary'!$Q$33=1, RANK(L27,L$8:L$76,1)+COUNTIF($L$8:L27,L27)-1))))</f>
        <v>5</v>
      </c>
      <c r="W27" s="13">
        <f>IF('Amputation Summary'!$Q$33=4, O27, IF('Amputation Summary'!$Q$33=3, N27, IF('Amputation Summary'!$Q$33=2, M27, IF('Amputation Summary'!$Q$33=1, L27))))</f>
        <v>0.21</v>
      </c>
      <c r="X27" s="16">
        <v>9</v>
      </c>
      <c r="Y27">
        <v>1</v>
      </c>
      <c r="Z27">
        <f t="shared" si="6"/>
        <v>8</v>
      </c>
      <c r="AA27">
        <v>19</v>
      </c>
      <c r="AB27">
        <f t="shared" si="7"/>
        <v>10</v>
      </c>
      <c r="AC27">
        <v>51</v>
      </c>
      <c r="AD27" s="16">
        <v>11</v>
      </c>
      <c r="AE27">
        <v>2</v>
      </c>
      <c r="AF27">
        <f t="shared" si="8"/>
        <v>9</v>
      </c>
      <c r="AG27">
        <v>30</v>
      </c>
      <c r="AH27">
        <f t="shared" si="9"/>
        <v>19</v>
      </c>
      <c r="AI27" s="2">
        <v>50</v>
      </c>
      <c r="AJ27" s="53">
        <f>IF('Amputation Summary'!$O$4=2,RANK(AC27,AC$8:AC$76,1)+COUNTIF($AC$8:AC27,AC27)-1,IF('Amputation Summary'!$O$4=1,RANK(AI27,AI$8:AI$76,1)+COUNTIF($AI$8:AI27,AI27)-1))</f>
        <v>51</v>
      </c>
      <c r="AK27" s="16">
        <f>IF('Amputation Summary'!$O$4=2, X27, IF('Amputation Summary'!$O$4=1, AD27))</f>
        <v>9</v>
      </c>
      <c r="AL27" s="16">
        <f>IF('Amputation Summary'!$O$4=2, Z27, IF('Amputation Summary'!$O$4=1, AF27))</f>
        <v>8</v>
      </c>
      <c r="AM27" s="16">
        <f>IF('Amputation Summary'!$O$4=2, AB27, IF('Amputation Summary'!$O$4=1, AH27))</f>
        <v>10</v>
      </c>
      <c r="AN27">
        <v>1</v>
      </c>
      <c r="AO27" s="16">
        <f t="shared" si="10"/>
        <v>0</v>
      </c>
      <c r="AP27" s="16">
        <f t="shared" si="11"/>
        <v>0.45434778928756714</v>
      </c>
      <c r="AQ27">
        <v>41</v>
      </c>
    </row>
    <row r="28" spans="1:43" x14ac:dyDescent="0.25">
      <c r="A28" s="85" t="s">
        <v>71</v>
      </c>
      <c r="B28" s="86" t="s">
        <v>72</v>
      </c>
      <c r="C28" s="87">
        <v>5</v>
      </c>
      <c r="D28" s="87">
        <v>11</v>
      </c>
      <c r="E28" s="87">
        <v>23</v>
      </c>
      <c r="F28" s="88" t="s">
        <v>346</v>
      </c>
      <c r="G28" s="88" t="s">
        <v>234</v>
      </c>
      <c r="H28" s="90">
        <v>0.66666668653488159</v>
      </c>
      <c r="I28" s="90">
        <v>1.2000000476837158</v>
      </c>
      <c r="J28" s="89" t="s">
        <v>866</v>
      </c>
      <c r="K28" s="89" t="s">
        <v>867</v>
      </c>
      <c r="L28" s="91">
        <v>1</v>
      </c>
      <c r="M28" s="91">
        <v>1</v>
      </c>
      <c r="N28" s="92">
        <v>1</v>
      </c>
      <c r="O28" s="92">
        <v>1</v>
      </c>
      <c r="P28" s="93">
        <v>5.1999999999999998E-2</v>
      </c>
      <c r="Q28" t="str">
        <f t="shared" si="1"/>
        <v>RJZ</v>
      </c>
      <c r="R28">
        <f t="shared" si="2"/>
        <v>4</v>
      </c>
      <c r="S28">
        <f t="shared" si="3"/>
        <v>4</v>
      </c>
      <c r="T28">
        <f t="shared" si="4"/>
        <v>4</v>
      </c>
      <c r="U28">
        <f t="shared" si="5"/>
        <v>4</v>
      </c>
      <c r="V28" s="53">
        <f>IF('Amputation Summary'!$Q$33=4, RANK(O28,O$8:O$76,1)+COUNTIF($O$8:O28,O28)-1, IF('Amputation Summary'!$Q$33=3, RANK(N28,N$8:N$76,1)+COUNTIF($N$8:N28,N28)-1, IF('Amputation Summary'!$Q$33=2, RANK(M28,M$8:M$76,1)+COUNTIF($M$8:M28,M28)-1, IF('Amputation Summary'!$Q$33=1, RANK(L28,L$8:L$76,1)+COUNTIF($L$8:L28,L28)-1))))</f>
        <v>63</v>
      </c>
      <c r="W28" s="13">
        <f>IF('Amputation Summary'!$Q$33=4, O28, IF('Amputation Summary'!$Q$33=3, N28, IF('Amputation Summary'!$Q$33=2, M28, IF('Amputation Summary'!$Q$33=1, L28))))</f>
        <v>1</v>
      </c>
      <c r="X28" s="16">
        <v>9</v>
      </c>
      <c r="Y28">
        <v>4</v>
      </c>
      <c r="Z28">
        <f t="shared" si="6"/>
        <v>5</v>
      </c>
      <c r="AA28">
        <v>21</v>
      </c>
      <c r="AB28">
        <f t="shared" si="7"/>
        <v>12</v>
      </c>
      <c r="AC28">
        <v>53</v>
      </c>
      <c r="AD28" s="16" t="s">
        <v>346</v>
      </c>
      <c r="AE28" t="s">
        <v>346</v>
      </c>
      <c r="AF28" t="e">
        <f t="shared" si="8"/>
        <v>#VALUE!</v>
      </c>
      <c r="AG28" t="s">
        <v>346</v>
      </c>
      <c r="AH28" t="e">
        <f t="shared" si="9"/>
        <v>#VALUE!</v>
      </c>
      <c r="AI28" s="2" t="s">
        <v>335</v>
      </c>
      <c r="AJ28" s="53">
        <f>IF('Amputation Summary'!$O$4=2,RANK(AC28,AC$8:AC$76,1)+COUNTIF($AC$8:AC28,AC28)-1,IF('Amputation Summary'!$O$4=1,RANK(AI28,AI$8:AI$76,1)+COUNTIF($AI$8:AI28,AI28)-1))</f>
        <v>53</v>
      </c>
      <c r="AK28" s="16">
        <f>IF('Amputation Summary'!$O$4=2, X28, IF('Amputation Summary'!$O$4=1, AD28))</f>
        <v>9</v>
      </c>
      <c r="AL28" s="16">
        <f>IF('Amputation Summary'!$O$4=2, Z28, IF('Amputation Summary'!$O$4=1, AF28))</f>
        <v>5</v>
      </c>
      <c r="AM28" s="16">
        <f>IF('Amputation Summary'!$O$4=2, AB28, IF('Amputation Summary'!$O$4=1, AH28))</f>
        <v>12</v>
      </c>
      <c r="AN28">
        <v>1</v>
      </c>
      <c r="AO28" s="16">
        <f t="shared" si="10"/>
        <v>0</v>
      </c>
      <c r="AP28" s="16">
        <f t="shared" si="11"/>
        <v>0.53333336114883423</v>
      </c>
      <c r="AQ28">
        <v>44</v>
      </c>
    </row>
    <row r="29" spans="1:43" x14ac:dyDescent="0.25">
      <c r="A29" s="85" t="s">
        <v>147</v>
      </c>
      <c r="B29" s="86" t="s">
        <v>148</v>
      </c>
      <c r="C29" s="87">
        <v>68</v>
      </c>
      <c r="D29" s="87">
        <v>123</v>
      </c>
      <c r="E29" s="87">
        <v>238</v>
      </c>
      <c r="F29" s="88" t="s">
        <v>246</v>
      </c>
      <c r="G29" s="88" t="s">
        <v>348</v>
      </c>
      <c r="H29" s="90">
        <v>1.1935484409332275</v>
      </c>
      <c r="I29" s="90">
        <v>1.6739130020141602</v>
      </c>
      <c r="J29" s="89" t="s">
        <v>944</v>
      </c>
      <c r="K29" s="89" t="s">
        <v>945</v>
      </c>
      <c r="L29" s="91">
        <v>0.99</v>
      </c>
      <c r="M29" s="91">
        <v>0.84</v>
      </c>
      <c r="N29" s="92">
        <v>0.71</v>
      </c>
      <c r="O29" s="92">
        <v>0.96</v>
      </c>
      <c r="P29" s="93">
        <v>5.1999999999999998E-2</v>
      </c>
      <c r="Q29" t="str">
        <f t="shared" si="1"/>
        <v>RXN</v>
      </c>
      <c r="R29">
        <f t="shared" si="2"/>
        <v>4</v>
      </c>
      <c r="S29">
        <f t="shared" si="3"/>
        <v>2</v>
      </c>
      <c r="T29">
        <f t="shared" si="4"/>
        <v>2</v>
      </c>
      <c r="U29">
        <f t="shared" si="5"/>
        <v>4</v>
      </c>
      <c r="V29" s="53">
        <f>IF('Amputation Summary'!$Q$33=4, RANK(O29,O$8:O$76,1)+COUNTIF($O$8:O29,O29)-1, IF('Amputation Summary'!$Q$33=3, RANK(N29,N$8:N$76,1)+COUNTIF($N$8:N29,N29)-1, IF('Amputation Summary'!$Q$33=2, RANK(M29,M$8:M$76,1)+COUNTIF($M$8:M29,M29)-1, IF('Amputation Summary'!$Q$33=1, RANK(L29,L$8:L$76,1)+COUNTIF($L$8:L29,L29)-1))))</f>
        <v>55</v>
      </c>
      <c r="W29" s="13">
        <f>IF('Amputation Summary'!$Q$33=4, O29, IF('Amputation Summary'!$Q$33=3, N29, IF('Amputation Summary'!$Q$33=2, M29, IF('Amputation Summary'!$Q$33=1, L29))))</f>
        <v>0.96</v>
      </c>
      <c r="X29" s="16">
        <v>7</v>
      </c>
      <c r="Y29">
        <v>2</v>
      </c>
      <c r="Z29">
        <f t="shared" si="6"/>
        <v>5</v>
      </c>
      <c r="AA29">
        <v>13</v>
      </c>
      <c r="AB29">
        <f t="shared" si="7"/>
        <v>6</v>
      </c>
      <c r="AC29">
        <v>33</v>
      </c>
      <c r="AD29" s="16">
        <v>8</v>
      </c>
      <c r="AE29">
        <v>4</v>
      </c>
      <c r="AF29">
        <f t="shared" si="8"/>
        <v>4</v>
      </c>
      <c r="AG29">
        <v>15</v>
      </c>
      <c r="AH29">
        <f t="shared" si="9"/>
        <v>7</v>
      </c>
      <c r="AI29" s="2">
        <v>40</v>
      </c>
      <c r="AJ29" s="53">
        <f>IF('Amputation Summary'!$O$4=2,RANK(AC29,AC$8:AC$76,1)+COUNTIF($AC$8:AC29,AC29)-1,IF('Amputation Summary'!$O$4=1,RANK(AI29,AI$8:AI$76,1)+COUNTIF($AI$8:AI29,AI29)-1))</f>
        <v>33</v>
      </c>
      <c r="AK29" s="16">
        <f>IF('Amputation Summary'!$O$4=2, X29, IF('Amputation Summary'!$O$4=1, AD29))</f>
        <v>7</v>
      </c>
      <c r="AL29" s="16">
        <f>IF('Amputation Summary'!$O$4=2, Z29, IF('Amputation Summary'!$O$4=1, AF29))</f>
        <v>5</v>
      </c>
      <c r="AM29" s="16">
        <f>IF('Amputation Summary'!$O$4=2, AB29, IF('Amputation Summary'!$O$4=1, AH29))</f>
        <v>6</v>
      </c>
      <c r="AN29">
        <v>1</v>
      </c>
      <c r="AO29" s="16">
        <f t="shared" si="10"/>
        <v>0</v>
      </c>
      <c r="AP29" s="16">
        <f t="shared" si="11"/>
        <v>0.48036456108093262</v>
      </c>
      <c r="AQ29">
        <v>53</v>
      </c>
    </row>
    <row r="30" spans="1:43" x14ac:dyDescent="0.25">
      <c r="A30" s="85" t="s">
        <v>102</v>
      </c>
      <c r="B30" s="86" t="s">
        <v>103</v>
      </c>
      <c r="C30" s="87">
        <v>79</v>
      </c>
      <c r="D30" s="87">
        <v>61</v>
      </c>
      <c r="E30" s="87">
        <v>213</v>
      </c>
      <c r="F30" s="88" t="s">
        <v>893</v>
      </c>
      <c r="G30" s="88" t="s">
        <v>860</v>
      </c>
      <c r="H30" s="90">
        <v>1.2571429014205933</v>
      </c>
      <c r="I30" s="90">
        <v>0.60526317358016968</v>
      </c>
      <c r="J30" s="89" t="s">
        <v>894</v>
      </c>
      <c r="K30" s="89" t="s">
        <v>895</v>
      </c>
      <c r="L30" s="91">
        <v>0.86</v>
      </c>
      <c r="M30" s="91">
        <v>0.98</v>
      </c>
      <c r="N30" s="92">
        <v>0.9</v>
      </c>
      <c r="O30" s="92">
        <v>0.82</v>
      </c>
      <c r="P30" s="93">
        <v>7.2999999999999995E-2</v>
      </c>
      <c r="Q30" t="str">
        <f t="shared" si="1"/>
        <v>RR8</v>
      </c>
      <c r="R30">
        <f t="shared" si="2"/>
        <v>2</v>
      </c>
      <c r="S30">
        <f t="shared" si="3"/>
        <v>3</v>
      </c>
      <c r="T30">
        <f t="shared" si="4"/>
        <v>3</v>
      </c>
      <c r="U30">
        <f t="shared" si="5"/>
        <v>3</v>
      </c>
      <c r="V30" s="53">
        <f>IF('Amputation Summary'!$Q$33=4, RANK(O30,O$8:O$76,1)+COUNTIF($O$8:O30,O30)-1, IF('Amputation Summary'!$Q$33=3, RANK(N30,N$8:N$76,1)+COUNTIF($N$8:N30,N30)-1, IF('Amputation Summary'!$Q$33=2, RANK(M30,M$8:M$76,1)+COUNTIF($M$8:M30,M30)-1, IF('Amputation Summary'!$Q$33=1, RANK(L30,L$8:L$76,1)+COUNTIF($L$8:L30,L30)-1))))</f>
        <v>38</v>
      </c>
      <c r="W30" s="13">
        <f>IF('Amputation Summary'!$Q$33=4, O30, IF('Amputation Summary'!$Q$33=3, N30, IF('Amputation Summary'!$Q$33=2, M30, IF('Amputation Summary'!$Q$33=1, L30))))</f>
        <v>0.82</v>
      </c>
      <c r="X30" s="16">
        <v>5</v>
      </c>
      <c r="Y30">
        <v>1</v>
      </c>
      <c r="Z30">
        <f t="shared" si="6"/>
        <v>4</v>
      </c>
      <c r="AA30">
        <v>10</v>
      </c>
      <c r="AB30">
        <f t="shared" si="7"/>
        <v>5</v>
      </c>
      <c r="AC30">
        <v>14</v>
      </c>
      <c r="AD30" s="16">
        <v>5</v>
      </c>
      <c r="AE30">
        <v>2</v>
      </c>
      <c r="AF30">
        <f t="shared" si="8"/>
        <v>3</v>
      </c>
      <c r="AG30">
        <v>11</v>
      </c>
      <c r="AH30">
        <f t="shared" si="9"/>
        <v>6</v>
      </c>
      <c r="AI30" s="2">
        <v>15</v>
      </c>
      <c r="AJ30" s="53">
        <f>IF('Amputation Summary'!$O$4=2,RANK(AC30,AC$8:AC$76,1)+COUNTIF($AC$8:AC30,AC30)-1,IF('Amputation Summary'!$O$4=1,RANK(AI30,AI$8:AI$76,1)+COUNTIF($AI$8:AI30,AI30)-1))</f>
        <v>14</v>
      </c>
      <c r="AK30" s="16">
        <f>IF('Amputation Summary'!$O$4=2, X30, IF('Amputation Summary'!$O$4=1, AD30))</f>
        <v>5</v>
      </c>
      <c r="AL30" s="16">
        <f>IF('Amputation Summary'!$O$4=2, Z30, IF('Amputation Summary'!$O$4=1, AF30))</f>
        <v>4</v>
      </c>
      <c r="AM30" s="16">
        <f>IF('Amputation Summary'!$O$4=2, AB30, IF('Amputation Summary'!$O$4=1, AH30))</f>
        <v>5</v>
      </c>
      <c r="AN30">
        <v>1</v>
      </c>
      <c r="AO30" s="16">
        <f t="shared" si="10"/>
        <v>0.65187972784042358</v>
      </c>
      <c r="AP30" s="16">
        <f t="shared" si="11"/>
        <v>0</v>
      </c>
      <c r="AQ30">
        <v>13</v>
      </c>
    </row>
    <row r="31" spans="1:43" x14ac:dyDescent="0.25">
      <c r="A31" s="85" t="s">
        <v>44</v>
      </c>
      <c r="B31" s="86" t="s">
        <v>421</v>
      </c>
      <c r="C31" s="87">
        <v>75</v>
      </c>
      <c r="D31" s="87">
        <v>68</v>
      </c>
      <c r="E31" s="87">
        <v>228</v>
      </c>
      <c r="F31" s="88" t="s">
        <v>722</v>
      </c>
      <c r="G31" s="88" t="s">
        <v>836</v>
      </c>
      <c r="H31" s="90">
        <v>1.2727272510528564</v>
      </c>
      <c r="I31" s="90">
        <v>0.94285714626312256</v>
      </c>
      <c r="J31" s="89" t="s">
        <v>837</v>
      </c>
      <c r="K31" s="89" t="s">
        <v>838</v>
      </c>
      <c r="L31" s="91">
        <v>0.73</v>
      </c>
      <c r="M31" s="91">
        <v>0.5</v>
      </c>
      <c r="N31" s="92">
        <v>0.65</v>
      </c>
      <c r="O31" s="92">
        <v>0.68</v>
      </c>
      <c r="P31" s="93">
        <v>6.8000000000000005E-2</v>
      </c>
      <c r="Q31" t="str">
        <f t="shared" si="1"/>
        <v>REM</v>
      </c>
      <c r="R31">
        <f t="shared" si="2"/>
        <v>1</v>
      </c>
      <c r="S31">
        <f t="shared" si="3"/>
        <v>1</v>
      </c>
      <c r="T31">
        <f t="shared" si="4"/>
        <v>2</v>
      </c>
      <c r="U31">
        <f t="shared" si="5"/>
        <v>2</v>
      </c>
      <c r="V31" s="53">
        <f>IF('Amputation Summary'!$Q$33=4, RANK(O31,O$8:O$76,1)+COUNTIF($O$8:O31,O31)-1, IF('Amputation Summary'!$Q$33=3, RANK(N31,N$8:N$76,1)+COUNTIF($N$8:N31,N31)-1, IF('Amputation Summary'!$Q$33=2, RANK(M31,M$8:M$76,1)+COUNTIF($M$8:M31,M31)-1, IF('Amputation Summary'!$Q$33=1, RANK(L31,L$8:L$76,1)+COUNTIF($L$8:L31,L31)-1))))</f>
        <v>27</v>
      </c>
      <c r="W31" s="13">
        <f>IF('Amputation Summary'!$Q$33=4, O31, IF('Amputation Summary'!$Q$33=3, N31, IF('Amputation Summary'!$Q$33=2, M31, IF('Amputation Summary'!$Q$33=1, L31))))</f>
        <v>0.68</v>
      </c>
      <c r="X31" s="16">
        <v>10</v>
      </c>
      <c r="Y31">
        <v>4</v>
      </c>
      <c r="Z31">
        <f t="shared" si="6"/>
        <v>6</v>
      </c>
      <c r="AA31">
        <v>18</v>
      </c>
      <c r="AB31">
        <f t="shared" si="7"/>
        <v>8</v>
      </c>
      <c r="AC31">
        <v>56</v>
      </c>
      <c r="AD31" s="16">
        <v>6</v>
      </c>
      <c r="AE31">
        <v>3</v>
      </c>
      <c r="AF31">
        <f t="shared" si="8"/>
        <v>3</v>
      </c>
      <c r="AG31">
        <v>15</v>
      </c>
      <c r="AH31">
        <f t="shared" si="9"/>
        <v>9</v>
      </c>
      <c r="AI31" s="2">
        <v>24</v>
      </c>
      <c r="AJ31" s="53">
        <f>IF('Amputation Summary'!$O$4=2,RANK(AC31,AC$8:AC$76,1)+COUNTIF($AC$8:AC31,AC31)-1,IF('Amputation Summary'!$O$4=1,RANK(AI31,AI$8:AI$76,1)+COUNTIF($AI$8:AI31,AI31)-1))</f>
        <v>56</v>
      </c>
      <c r="AK31" s="16">
        <f>IF('Amputation Summary'!$O$4=2, X31, IF('Amputation Summary'!$O$4=1, AD31))</f>
        <v>10</v>
      </c>
      <c r="AL31" s="16">
        <f>IF('Amputation Summary'!$O$4=2, Z31, IF('Amputation Summary'!$O$4=1, AF31))</f>
        <v>6</v>
      </c>
      <c r="AM31" s="16">
        <f>IF('Amputation Summary'!$O$4=2, AB31, IF('Amputation Summary'!$O$4=1, AH31))</f>
        <v>8</v>
      </c>
      <c r="AN31">
        <v>1</v>
      </c>
      <c r="AO31" s="16">
        <f t="shared" si="10"/>
        <v>0.32987010478973389</v>
      </c>
      <c r="AP31" s="16">
        <f t="shared" si="11"/>
        <v>0</v>
      </c>
      <c r="AQ31">
        <v>30</v>
      </c>
    </row>
    <row r="32" spans="1:43" x14ac:dyDescent="0.25">
      <c r="A32" s="85" t="s">
        <v>13</v>
      </c>
      <c r="B32" s="86" t="s">
        <v>422</v>
      </c>
      <c r="C32" s="87">
        <v>22</v>
      </c>
      <c r="D32" s="87">
        <v>20</v>
      </c>
      <c r="E32" s="87">
        <v>66</v>
      </c>
      <c r="F32" s="88" t="s">
        <v>806</v>
      </c>
      <c r="G32" s="88" t="s">
        <v>807</v>
      </c>
      <c r="H32" s="90">
        <v>0.57142859697341919</v>
      </c>
      <c r="I32" s="90">
        <v>0.66666668653488159</v>
      </c>
      <c r="J32" s="89" t="s">
        <v>808</v>
      </c>
      <c r="K32" s="89" t="s">
        <v>809</v>
      </c>
      <c r="L32" s="91">
        <v>0.91</v>
      </c>
      <c r="M32" s="91">
        <v>0.95</v>
      </c>
      <c r="N32" s="92">
        <v>0.64</v>
      </c>
      <c r="O32" s="92">
        <v>0.95</v>
      </c>
      <c r="P32" s="93">
        <v>5.0999999999999997E-2</v>
      </c>
      <c r="Q32" t="str">
        <f t="shared" si="1"/>
        <v>R1K</v>
      </c>
      <c r="R32">
        <f t="shared" si="2"/>
        <v>3</v>
      </c>
      <c r="S32">
        <f t="shared" si="3"/>
        <v>3</v>
      </c>
      <c r="T32">
        <f t="shared" si="4"/>
        <v>1</v>
      </c>
      <c r="U32">
        <f t="shared" si="5"/>
        <v>4</v>
      </c>
      <c r="V32" s="53">
        <f>IF('Amputation Summary'!$Q$33=4, RANK(O32,O$8:O$76,1)+COUNTIF($O$8:O32,O32)-1, IF('Amputation Summary'!$Q$33=3, RANK(N32,N$8:N$76,1)+COUNTIF($N$8:N32,N32)-1, IF('Amputation Summary'!$Q$33=2, RANK(M32,M$8:M$76,1)+COUNTIF($M$8:M32,M32)-1, IF('Amputation Summary'!$Q$33=1, RANK(L32,L$8:L$76,1)+COUNTIF($L$8:L32,L32)-1))))</f>
        <v>53</v>
      </c>
      <c r="W32" s="13">
        <f>IF('Amputation Summary'!$Q$33=4, O32, IF('Amputation Summary'!$Q$33=3, N32, IF('Amputation Summary'!$Q$33=2, M32, IF('Amputation Summary'!$Q$33=1, L32))))</f>
        <v>0.95</v>
      </c>
      <c r="X32" s="16">
        <v>6</v>
      </c>
      <c r="Y32">
        <v>4</v>
      </c>
      <c r="Z32">
        <f t="shared" si="6"/>
        <v>2</v>
      </c>
      <c r="AA32">
        <v>17</v>
      </c>
      <c r="AB32">
        <f t="shared" si="7"/>
        <v>11</v>
      </c>
      <c r="AC32">
        <v>30</v>
      </c>
      <c r="AD32" s="16">
        <v>9</v>
      </c>
      <c r="AE32">
        <v>4</v>
      </c>
      <c r="AF32">
        <f t="shared" si="8"/>
        <v>5</v>
      </c>
      <c r="AG32">
        <v>18</v>
      </c>
      <c r="AH32">
        <f t="shared" si="9"/>
        <v>9</v>
      </c>
      <c r="AI32" s="2">
        <v>44</v>
      </c>
      <c r="AJ32" s="53">
        <f>IF('Amputation Summary'!$O$4=2,RANK(AC32,AC$8:AC$76,1)+COUNTIF($AC$8:AC32,AC32)-1,IF('Amputation Summary'!$O$4=1,RANK(AI32,AI$8:AI$76,1)+COUNTIF($AI$8:AI32,AI32)-1))</f>
        <v>30</v>
      </c>
      <c r="AK32" s="16">
        <f>IF('Amputation Summary'!$O$4=2, X32, IF('Amputation Summary'!$O$4=1, AD32))</f>
        <v>6</v>
      </c>
      <c r="AL32" s="16">
        <f>IF('Amputation Summary'!$O$4=2, Z32, IF('Amputation Summary'!$O$4=1, AF32))</f>
        <v>2</v>
      </c>
      <c r="AM32" s="16">
        <f>IF('Amputation Summary'!$O$4=2, AB32, IF('Amputation Summary'!$O$4=1, AH32))</f>
        <v>11</v>
      </c>
      <c r="AN32">
        <v>1</v>
      </c>
      <c r="AO32" s="16">
        <f t="shared" si="10"/>
        <v>0</v>
      </c>
      <c r="AP32" s="16">
        <f t="shared" si="11"/>
        <v>9.5238089561462402E-2</v>
      </c>
      <c r="AQ32">
        <v>16</v>
      </c>
    </row>
    <row r="33" spans="1:43" x14ac:dyDescent="0.25">
      <c r="A33" s="85" t="s">
        <v>9</v>
      </c>
      <c r="B33" s="86" t="s">
        <v>10</v>
      </c>
      <c r="C33" s="87">
        <v>28</v>
      </c>
      <c r="D33" s="87">
        <v>46</v>
      </c>
      <c r="E33" s="87">
        <v>85</v>
      </c>
      <c r="F33" s="88" t="s">
        <v>792</v>
      </c>
      <c r="G33" s="88" t="s">
        <v>793</v>
      </c>
      <c r="H33" s="90">
        <v>0.55555558204650879</v>
      </c>
      <c r="I33" s="90">
        <v>1.1904761791229248</v>
      </c>
      <c r="J33" s="89" t="s">
        <v>794</v>
      </c>
      <c r="K33" s="89" t="s">
        <v>795</v>
      </c>
      <c r="L33" s="91">
        <v>0.25</v>
      </c>
      <c r="M33" s="91">
        <v>0.48</v>
      </c>
      <c r="N33" s="92">
        <v>0.86</v>
      </c>
      <c r="O33" s="92">
        <v>0.52</v>
      </c>
      <c r="P33" s="93">
        <v>8.2000000000000003E-2</v>
      </c>
      <c r="Q33" t="str">
        <f t="shared" si="1"/>
        <v>R0A</v>
      </c>
      <c r="R33">
        <f t="shared" si="2"/>
        <v>1</v>
      </c>
      <c r="S33">
        <f t="shared" si="3"/>
        <v>1</v>
      </c>
      <c r="T33">
        <f t="shared" si="4"/>
        <v>3</v>
      </c>
      <c r="U33">
        <f t="shared" si="5"/>
        <v>1</v>
      </c>
      <c r="V33" s="53">
        <f>IF('Amputation Summary'!$Q$33=4, RANK(O33,O$8:O$76,1)+COUNTIF($O$8:O33,O33)-1, IF('Amputation Summary'!$Q$33=3, RANK(N33,N$8:N$76,1)+COUNTIF($N$8:N33,N33)-1, IF('Amputation Summary'!$Q$33=2, RANK(M33,M$8:M$76,1)+COUNTIF($M$8:M33,M33)-1, IF('Amputation Summary'!$Q$33=1, RANK(L33,L$8:L$76,1)+COUNTIF($L$8:L33,L33)-1))))</f>
        <v>14</v>
      </c>
      <c r="W33" s="13">
        <f>IF('Amputation Summary'!$Q$33=4, O33, IF('Amputation Summary'!$Q$33=3, N33, IF('Amputation Summary'!$Q$33=2, M33, IF('Amputation Summary'!$Q$33=1, L33))))</f>
        <v>0.52</v>
      </c>
      <c r="X33" s="16">
        <v>4</v>
      </c>
      <c r="Y33">
        <v>2</v>
      </c>
      <c r="Z33">
        <f t="shared" si="6"/>
        <v>2</v>
      </c>
      <c r="AA33">
        <v>18</v>
      </c>
      <c r="AB33">
        <f t="shared" si="7"/>
        <v>14</v>
      </c>
      <c r="AC33">
        <v>12</v>
      </c>
      <c r="AD33" s="16">
        <v>7</v>
      </c>
      <c r="AE33">
        <v>3</v>
      </c>
      <c r="AF33">
        <f t="shared" si="8"/>
        <v>4</v>
      </c>
      <c r="AG33">
        <v>17</v>
      </c>
      <c r="AH33">
        <f t="shared" si="9"/>
        <v>10</v>
      </c>
      <c r="AI33" s="2">
        <v>32</v>
      </c>
      <c r="AJ33" s="53">
        <f>IF('Amputation Summary'!$O$4=2,RANK(AC33,AC$8:AC$76,1)+COUNTIF($AC$8:AC33,AC33)-1,IF('Amputation Summary'!$O$4=1,RANK(AI33,AI$8:AI$76,1)+COUNTIF($AI$8:AI33,AI33)-1))</f>
        <v>12</v>
      </c>
      <c r="AK33" s="16">
        <f>IF('Amputation Summary'!$O$4=2, X33, IF('Amputation Summary'!$O$4=1, AD33))</f>
        <v>4</v>
      </c>
      <c r="AL33" s="16">
        <f>IF('Amputation Summary'!$O$4=2, Z33, IF('Amputation Summary'!$O$4=1, AF33))</f>
        <v>2</v>
      </c>
      <c r="AM33" s="16">
        <f>IF('Amputation Summary'!$O$4=2, AB33, IF('Amputation Summary'!$O$4=1, AH33))</f>
        <v>14</v>
      </c>
      <c r="AN33">
        <v>1</v>
      </c>
      <c r="AO33" s="16">
        <f t="shared" si="10"/>
        <v>0</v>
      </c>
      <c r="AP33" s="16">
        <f t="shared" si="11"/>
        <v>0.63492059707641602</v>
      </c>
      <c r="AQ33">
        <v>43</v>
      </c>
    </row>
    <row r="34" spans="1:43" x14ac:dyDescent="0.25">
      <c r="A34" s="85" t="s">
        <v>92</v>
      </c>
      <c r="B34" s="86" t="s">
        <v>93</v>
      </c>
      <c r="C34" s="87">
        <v>5</v>
      </c>
      <c r="D34" s="87">
        <v>9</v>
      </c>
      <c r="E34" s="87">
        <v>39</v>
      </c>
      <c r="F34" s="88" t="s">
        <v>886</v>
      </c>
      <c r="G34" s="88" t="s">
        <v>887</v>
      </c>
      <c r="H34" s="90">
        <v>4</v>
      </c>
      <c r="I34" s="90">
        <v>1.25</v>
      </c>
      <c r="J34" s="89" t="s">
        <v>888</v>
      </c>
      <c r="K34" s="89" t="s">
        <v>889</v>
      </c>
      <c r="L34" s="91">
        <v>1</v>
      </c>
      <c r="M34" s="91">
        <v>1</v>
      </c>
      <c r="N34" s="92">
        <v>0.6</v>
      </c>
      <c r="O34" s="92">
        <v>0.78</v>
      </c>
      <c r="P34" s="93">
        <v>0.08</v>
      </c>
      <c r="Q34" t="str">
        <f t="shared" si="1"/>
        <v>RPA</v>
      </c>
      <c r="R34">
        <f t="shared" si="2"/>
        <v>4</v>
      </c>
      <c r="S34">
        <f t="shared" si="3"/>
        <v>4</v>
      </c>
      <c r="T34">
        <f t="shared" si="4"/>
        <v>1</v>
      </c>
      <c r="U34">
        <f t="shared" si="5"/>
        <v>3</v>
      </c>
      <c r="V34" s="53">
        <f>IF('Amputation Summary'!$Q$33=4, RANK(O34,O$8:O$76,1)+COUNTIF($O$8:O34,O34)-1, IF('Amputation Summary'!$Q$33=3, RANK(N34,N$8:N$76,1)+COUNTIF($N$8:N34,N34)-1, IF('Amputation Summary'!$Q$33=2, RANK(M34,M$8:M$76,1)+COUNTIF($M$8:M34,M34)-1, IF('Amputation Summary'!$Q$33=1, RANK(L34,L$8:L$76,1)+COUNTIF($L$8:L34,L34)-1))))</f>
        <v>33</v>
      </c>
      <c r="W34" s="13">
        <f>IF('Amputation Summary'!$Q$33=4, O34, IF('Amputation Summary'!$Q$33=3, N34, IF('Amputation Summary'!$Q$33=2, M34, IF('Amputation Summary'!$Q$33=1, L34))))</f>
        <v>0.78</v>
      </c>
      <c r="X34" s="16">
        <v>13</v>
      </c>
      <c r="Y34">
        <v>7</v>
      </c>
      <c r="Z34">
        <f t="shared" si="6"/>
        <v>6</v>
      </c>
      <c r="AA34">
        <v>16</v>
      </c>
      <c r="AB34">
        <f t="shared" si="7"/>
        <v>3</v>
      </c>
      <c r="AC34">
        <v>64</v>
      </c>
      <c r="AD34" s="16">
        <v>3</v>
      </c>
      <c r="AE34">
        <v>2</v>
      </c>
      <c r="AF34">
        <f t="shared" si="8"/>
        <v>1</v>
      </c>
      <c r="AG34">
        <v>9</v>
      </c>
      <c r="AH34">
        <f t="shared" si="9"/>
        <v>6</v>
      </c>
      <c r="AI34" s="2">
        <v>4</v>
      </c>
      <c r="AJ34" s="53">
        <f>IF('Amputation Summary'!$O$4=2,RANK(AC34,AC$8:AC$76,1)+COUNTIF($AC$8:AC34,AC34)-1,IF('Amputation Summary'!$O$4=1,RANK(AI34,AI$8:AI$76,1)+COUNTIF($AI$8:AI34,AI34)-1))</f>
        <v>64</v>
      </c>
      <c r="AK34" s="16">
        <f>IF('Amputation Summary'!$O$4=2, X34, IF('Amputation Summary'!$O$4=1, AD34))</f>
        <v>13</v>
      </c>
      <c r="AL34" s="16">
        <f>IF('Amputation Summary'!$O$4=2, Z34, IF('Amputation Summary'!$O$4=1, AF34))</f>
        <v>6</v>
      </c>
      <c r="AM34" s="16">
        <f>IF('Amputation Summary'!$O$4=2, AB34, IF('Amputation Summary'!$O$4=1, AH34))</f>
        <v>3</v>
      </c>
      <c r="AN34">
        <v>1</v>
      </c>
      <c r="AO34" s="16">
        <f t="shared" si="10"/>
        <v>2.75</v>
      </c>
      <c r="AP34" s="16">
        <f t="shared" si="11"/>
        <v>0</v>
      </c>
      <c r="AQ34">
        <v>46</v>
      </c>
    </row>
    <row r="35" spans="1:43" x14ac:dyDescent="0.25">
      <c r="A35" s="85" t="s">
        <v>19</v>
      </c>
      <c r="B35" s="86" t="s">
        <v>680</v>
      </c>
      <c r="C35" s="87">
        <v>57</v>
      </c>
      <c r="D35" s="87">
        <v>53</v>
      </c>
      <c r="E35" s="87">
        <v>151</v>
      </c>
      <c r="F35" s="88" t="s">
        <v>813</v>
      </c>
      <c r="G35" s="88" t="s">
        <v>814</v>
      </c>
      <c r="H35" s="90">
        <v>0.72727274894714355</v>
      </c>
      <c r="I35" s="90">
        <v>1.1200000047683716</v>
      </c>
      <c r="J35" s="89" t="s">
        <v>815</v>
      </c>
      <c r="K35" s="89" t="s">
        <v>816</v>
      </c>
      <c r="L35" s="91">
        <v>0.98</v>
      </c>
      <c r="M35" s="91">
        <v>0.91</v>
      </c>
      <c r="N35" s="92">
        <v>0.82</v>
      </c>
      <c r="O35" s="92">
        <v>0.62</v>
      </c>
      <c r="P35" s="93">
        <v>8.6999999999999994E-2</v>
      </c>
      <c r="Q35" t="str">
        <f t="shared" si="1"/>
        <v>RAJ</v>
      </c>
      <c r="R35">
        <f t="shared" si="2"/>
        <v>3</v>
      </c>
      <c r="S35">
        <f t="shared" si="3"/>
        <v>3</v>
      </c>
      <c r="T35">
        <f t="shared" si="4"/>
        <v>3</v>
      </c>
      <c r="U35">
        <f t="shared" si="5"/>
        <v>2</v>
      </c>
      <c r="V35" s="53">
        <f>IF('Amputation Summary'!$Q$33=4, RANK(O35,O$8:O$76,1)+COUNTIF($O$8:O35,O35)-1, IF('Amputation Summary'!$Q$33=3, RANK(N35,N$8:N$76,1)+COUNTIF($N$8:N35,N35)-1, IF('Amputation Summary'!$Q$33=2, RANK(M35,M$8:M$76,1)+COUNTIF($M$8:M35,M35)-1, IF('Amputation Summary'!$Q$33=1, RANK(L35,L$8:L$76,1)+COUNTIF($L$8:L35,L35)-1))))</f>
        <v>25</v>
      </c>
      <c r="W35" s="13">
        <f>IF('Amputation Summary'!$Q$33=4, O35, IF('Amputation Summary'!$Q$33=3, N35, IF('Amputation Summary'!$Q$33=2, M35, IF('Amputation Summary'!$Q$33=1, L35))))</f>
        <v>0.62</v>
      </c>
      <c r="X35" s="16">
        <v>4</v>
      </c>
      <c r="Y35">
        <v>1</v>
      </c>
      <c r="Z35">
        <f t="shared" si="6"/>
        <v>3</v>
      </c>
      <c r="AA35">
        <v>15</v>
      </c>
      <c r="AB35">
        <f t="shared" si="7"/>
        <v>11</v>
      </c>
      <c r="AC35">
        <v>6</v>
      </c>
      <c r="AD35" s="16">
        <v>11</v>
      </c>
      <c r="AE35">
        <v>3</v>
      </c>
      <c r="AF35">
        <f t="shared" si="8"/>
        <v>8</v>
      </c>
      <c r="AG35">
        <v>36</v>
      </c>
      <c r="AH35">
        <f t="shared" si="9"/>
        <v>25</v>
      </c>
      <c r="AI35" s="2">
        <v>51</v>
      </c>
      <c r="AJ35" s="53">
        <f>IF('Amputation Summary'!$O$4=2,RANK(AC35,AC$8:AC$76,1)+COUNTIF($AC$8:AC35,AC35)-1,IF('Amputation Summary'!$O$4=1,RANK(AI35,AI$8:AI$76,1)+COUNTIF($AI$8:AI35,AI35)-1))</f>
        <v>6</v>
      </c>
      <c r="AK35" s="16">
        <f>IF('Amputation Summary'!$O$4=2, X35, IF('Amputation Summary'!$O$4=1, AD35))</f>
        <v>4</v>
      </c>
      <c r="AL35" s="16">
        <f>IF('Amputation Summary'!$O$4=2, Z35, IF('Amputation Summary'!$O$4=1, AF35))</f>
        <v>3</v>
      </c>
      <c r="AM35" s="16">
        <f>IF('Amputation Summary'!$O$4=2, AB35, IF('Amputation Summary'!$O$4=1, AH35))</f>
        <v>11</v>
      </c>
      <c r="AN35">
        <v>1</v>
      </c>
      <c r="AO35" s="16">
        <f t="shared" si="10"/>
        <v>0</v>
      </c>
      <c r="AP35" s="16">
        <f t="shared" si="11"/>
        <v>0.39272725582122803</v>
      </c>
      <c r="AQ35">
        <v>39</v>
      </c>
    </row>
    <row r="36" spans="1:43" x14ac:dyDescent="0.25">
      <c r="A36" s="85" t="s">
        <v>110</v>
      </c>
      <c r="B36" s="86" t="s">
        <v>111</v>
      </c>
      <c r="C36" s="87">
        <v>123</v>
      </c>
      <c r="D36" s="87">
        <v>81</v>
      </c>
      <c r="E36" s="87">
        <v>311</v>
      </c>
      <c r="F36" s="88" t="s">
        <v>898</v>
      </c>
      <c r="G36" s="88" t="s">
        <v>899</v>
      </c>
      <c r="H36" s="90">
        <v>1.8604651689529419</v>
      </c>
      <c r="I36" s="90">
        <v>2.8571429252624512</v>
      </c>
      <c r="J36" s="89" t="s">
        <v>900</v>
      </c>
      <c r="K36" s="89" t="s">
        <v>901</v>
      </c>
      <c r="L36" s="91">
        <v>0.55000000000000004</v>
      </c>
      <c r="M36" s="91">
        <v>0.16</v>
      </c>
      <c r="N36" s="92">
        <v>0.08</v>
      </c>
      <c r="O36" s="92">
        <v>0.44</v>
      </c>
      <c r="P36" s="93">
        <v>6.3E-2</v>
      </c>
      <c r="Q36" t="str">
        <f t="shared" si="1"/>
        <v>RTD</v>
      </c>
      <c r="R36">
        <f t="shared" si="2"/>
        <v>1</v>
      </c>
      <c r="S36">
        <f t="shared" si="3"/>
        <v>1</v>
      </c>
      <c r="T36">
        <f t="shared" si="4"/>
        <v>1</v>
      </c>
      <c r="U36">
        <f t="shared" si="5"/>
        <v>1</v>
      </c>
      <c r="V36" s="53">
        <f>IF('Amputation Summary'!$Q$33=4, RANK(O36,O$8:O$76,1)+COUNTIF($O$8:O36,O36)-1, IF('Amputation Summary'!$Q$33=3, RANK(N36,N$8:N$76,1)+COUNTIF($N$8:N36,N36)-1, IF('Amputation Summary'!$Q$33=2, RANK(M36,M$8:M$76,1)+COUNTIF($M$8:M36,M36)-1, IF('Amputation Summary'!$Q$33=1, RANK(L36,L$8:L$76,1)+COUNTIF($L$8:L36,L36)-1))))</f>
        <v>10</v>
      </c>
      <c r="W36" s="13">
        <f>IF('Amputation Summary'!$Q$33=4, O36, IF('Amputation Summary'!$Q$33=3, N36, IF('Amputation Summary'!$Q$33=2, M36, IF('Amputation Summary'!$Q$33=1, L36))))</f>
        <v>0.44</v>
      </c>
      <c r="X36" s="16">
        <v>7</v>
      </c>
      <c r="Y36">
        <v>3</v>
      </c>
      <c r="Z36">
        <f t="shared" si="6"/>
        <v>4</v>
      </c>
      <c r="AA36">
        <v>27</v>
      </c>
      <c r="AB36">
        <f t="shared" si="7"/>
        <v>20</v>
      </c>
      <c r="AC36">
        <v>42</v>
      </c>
      <c r="AD36" s="16">
        <v>7</v>
      </c>
      <c r="AE36">
        <v>2</v>
      </c>
      <c r="AF36">
        <f t="shared" si="8"/>
        <v>5</v>
      </c>
      <c r="AG36">
        <v>10</v>
      </c>
      <c r="AH36">
        <f t="shared" si="9"/>
        <v>3</v>
      </c>
      <c r="AI36" s="2">
        <v>27</v>
      </c>
      <c r="AJ36" s="53">
        <f>IF('Amputation Summary'!$O$4=2,RANK(AC36,AC$8:AC$76,1)+COUNTIF($AC$8:AC36,AC36)-1,IF('Amputation Summary'!$O$4=1,RANK(AI36,AI$8:AI$76,1)+COUNTIF($AI$8:AI36,AI36)-1))</f>
        <v>42</v>
      </c>
      <c r="AK36" s="16">
        <f>IF('Amputation Summary'!$O$4=2, X36, IF('Amputation Summary'!$O$4=1, AD36))</f>
        <v>7</v>
      </c>
      <c r="AL36" s="16">
        <f>IF('Amputation Summary'!$O$4=2, Z36, IF('Amputation Summary'!$O$4=1, AF36))</f>
        <v>4</v>
      </c>
      <c r="AM36" s="16">
        <f>IF('Amputation Summary'!$O$4=2, AB36, IF('Amputation Summary'!$O$4=1, AH36))</f>
        <v>20</v>
      </c>
      <c r="AN36">
        <v>1</v>
      </c>
      <c r="AO36" s="16">
        <f t="shared" si="10"/>
        <v>0</v>
      </c>
      <c r="AP36" s="16">
        <f t="shared" si="11"/>
        <v>0.99667775630950928</v>
      </c>
      <c r="AQ36">
        <v>59</v>
      </c>
    </row>
    <row r="37" spans="1:43" x14ac:dyDescent="0.25">
      <c r="A37" s="85" t="s">
        <v>970</v>
      </c>
      <c r="B37" s="86" t="s">
        <v>971</v>
      </c>
      <c r="C37" s="87">
        <v>10</v>
      </c>
      <c r="D37" s="87">
        <v>0</v>
      </c>
      <c r="E37" s="87">
        <v>22</v>
      </c>
      <c r="F37" s="94" t="s">
        <v>346</v>
      </c>
      <c r="G37" s="94" t="s">
        <v>346</v>
      </c>
      <c r="H37" s="94" t="e">
        <v>#VALUE!</v>
      </c>
      <c r="I37" s="94" t="e">
        <v>#VALUE!</v>
      </c>
      <c r="J37" s="89" t="s">
        <v>346</v>
      </c>
      <c r="K37" s="89" t="s">
        <v>346</v>
      </c>
      <c r="L37" s="94" t="s">
        <v>346</v>
      </c>
      <c r="M37" s="94" t="s">
        <v>346</v>
      </c>
      <c r="N37" s="94" t="s">
        <v>346</v>
      </c>
      <c r="O37" s="94" t="s">
        <v>346</v>
      </c>
      <c r="P37" s="93">
        <v>0.08</v>
      </c>
      <c r="Q37" t="str">
        <f t="shared" si="1"/>
        <v>SY999</v>
      </c>
      <c r="R37">
        <f t="shared" si="2"/>
        <v>4</v>
      </c>
      <c r="S37">
        <f t="shared" si="3"/>
        <v>4</v>
      </c>
      <c r="T37">
        <f t="shared" si="4"/>
        <v>4</v>
      </c>
      <c r="U37">
        <f t="shared" si="5"/>
        <v>4</v>
      </c>
      <c r="V37" s="53" t="e">
        <f>IF('Amputation Summary'!$Q$33=4, RANK(O37,O$8:O$76,1)+COUNTIF($O$8:O37,O37)-1, IF('Amputation Summary'!$Q$33=3, RANK(N37,N$8:N$76,1)+COUNTIF($N$8:N37,N37)-1, IF('Amputation Summary'!$Q$33=2, RANK(M37,M$8:M$76,1)+COUNTIF($M$8:M37,M37)-1, IF('Amputation Summary'!$Q$33=1, RANK(L37,L$8:L$76,1)+COUNTIF($L$8:L37,L37)-1))))</f>
        <v>#VALUE!</v>
      </c>
      <c r="W37" s="13" t="str">
        <f>IF('Amputation Summary'!$Q$33=4, O37, IF('Amputation Summary'!$Q$33=3, N37, IF('Amputation Summary'!$Q$33=2, M37, IF('Amputation Summary'!$Q$33=1, L37))))</f>
        <v>xx</v>
      </c>
      <c r="X37" t="s">
        <v>346</v>
      </c>
      <c r="Y37" t="e">
        <v>#VALUE!</v>
      </c>
      <c r="Z37" t="e">
        <f t="shared" si="6"/>
        <v>#VALUE!</v>
      </c>
      <c r="AA37" t="e">
        <v>#VALUE!</v>
      </c>
      <c r="AB37" t="e">
        <f t="shared" si="7"/>
        <v>#VALUE!</v>
      </c>
      <c r="AC37" t="s">
        <v>335</v>
      </c>
      <c r="AD37" t="s">
        <v>346</v>
      </c>
      <c r="AE37" t="e">
        <v>#VALUE!</v>
      </c>
      <c r="AF37" t="e">
        <f t="shared" si="8"/>
        <v>#VALUE!</v>
      </c>
      <c r="AG37" t="e">
        <v>#VALUE!</v>
      </c>
      <c r="AH37" t="e">
        <f t="shared" si="9"/>
        <v>#VALUE!</v>
      </c>
      <c r="AI37" s="2" t="s">
        <v>335</v>
      </c>
      <c r="AJ37" s="53" t="e">
        <f>IF('Amputation Summary'!$O$4=2,RANK(AC37,AC$8:AC$76,1)+COUNTIF($AC$8:AC37,AC37)-1,IF('Amputation Summary'!$O$4=1,RANK(AI37,AI$8:AI$76,1)+COUNTIF($AI$8:AI37,AI37)-1))</f>
        <v>#VALUE!</v>
      </c>
      <c r="AK37" s="16" t="str">
        <f>IF('Amputation Summary'!$O$4=2, X37, IF('Amputation Summary'!$O$4=1, AD37))</f>
        <v>xx</v>
      </c>
      <c r="AL37" s="16" t="e">
        <f>IF('Amputation Summary'!$O$4=2, Z37, IF('Amputation Summary'!$O$4=1, AF37))</f>
        <v>#VALUE!</v>
      </c>
      <c r="AM37" s="16" t="e">
        <f>IF('Amputation Summary'!$O$4=2, AB37, IF('Amputation Summary'!$O$4=1, AH37))</f>
        <v>#VALUE!</v>
      </c>
      <c r="AN37">
        <v>1</v>
      </c>
      <c r="AO37" s="16" t="e">
        <f t="shared" si="10"/>
        <v>#VALUE!</v>
      </c>
      <c r="AP37" s="16" t="e">
        <f t="shared" si="11"/>
        <v>#VALUE!</v>
      </c>
      <c r="AQ37" s="52" t="e">
        <v>#VALUE!</v>
      </c>
    </row>
    <row r="38" spans="1:43" x14ac:dyDescent="0.25">
      <c r="A38" s="85" t="s">
        <v>165</v>
      </c>
      <c r="B38" s="86" t="s">
        <v>166</v>
      </c>
      <c r="C38" s="87">
        <v>0</v>
      </c>
      <c r="D38" s="87">
        <v>7</v>
      </c>
      <c r="E38" s="87">
        <v>7</v>
      </c>
      <c r="F38" s="94" t="s">
        <v>346</v>
      </c>
      <c r="G38" s="88" t="s">
        <v>442</v>
      </c>
      <c r="H38" s="94" t="e">
        <v>#VALUE!</v>
      </c>
      <c r="I38" s="94" t="e">
        <v>#VALUE!</v>
      </c>
      <c r="J38" s="89" t="s">
        <v>346</v>
      </c>
      <c r="K38" s="89" t="s">
        <v>968</v>
      </c>
      <c r="L38" s="94" t="s">
        <v>346</v>
      </c>
      <c r="M38" s="91">
        <v>1</v>
      </c>
      <c r="N38" s="94" t="s">
        <v>346</v>
      </c>
      <c r="O38" s="92">
        <v>1</v>
      </c>
      <c r="P38" s="93">
        <v>0.1</v>
      </c>
      <c r="Q38" t="str">
        <f t="shared" si="1"/>
        <v>SN999</v>
      </c>
      <c r="R38">
        <f t="shared" si="2"/>
        <v>4</v>
      </c>
      <c r="S38">
        <f t="shared" si="3"/>
        <v>4</v>
      </c>
      <c r="T38">
        <f t="shared" si="4"/>
        <v>4</v>
      </c>
      <c r="U38">
        <f t="shared" si="5"/>
        <v>4</v>
      </c>
      <c r="V38" s="53">
        <f>IF('Amputation Summary'!$Q$33=4, RANK(O38,O$8:O$76,1)+COUNTIF($O$8:O38,O38)-1, IF('Amputation Summary'!$Q$33=3, RANK(N38,N$8:N$76,1)+COUNTIF($N$8:N38,N38)-1, IF('Amputation Summary'!$Q$33=2, RANK(M38,M$8:M$76,1)+COUNTIF($M$8:M38,M38)-1, IF('Amputation Summary'!$Q$33=1, RANK(L38,L$8:L$76,1)+COUNTIF($L$8:L38,L38)-1))))</f>
        <v>64</v>
      </c>
      <c r="W38" s="13">
        <f>IF('Amputation Summary'!$Q$33=4, O38, IF('Amputation Summary'!$Q$33=3, N38, IF('Amputation Summary'!$Q$33=2, M38, IF('Amputation Summary'!$Q$33=1, L38))))</f>
        <v>1</v>
      </c>
      <c r="X38" s="16">
        <v>1</v>
      </c>
      <c r="Y38">
        <v>0</v>
      </c>
      <c r="Z38">
        <f t="shared" si="6"/>
        <v>1</v>
      </c>
      <c r="AA38">
        <v>7</v>
      </c>
      <c r="AB38">
        <f t="shared" si="7"/>
        <v>6</v>
      </c>
      <c r="AC38">
        <v>1</v>
      </c>
      <c r="AD38" t="s">
        <v>346</v>
      </c>
      <c r="AE38" t="e">
        <v>#VALUE!</v>
      </c>
      <c r="AF38" t="e">
        <f t="shared" si="8"/>
        <v>#VALUE!</v>
      </c>
      <c r="AG38" t="e">
        <v>#VALUE!</v>
      </c>
      <c r="AH38" t="e">
        <f t="shared" si="9"/>
        <v>#VALUE!</v>
      </c>
      <c r="AI38" s="2" t="s">
        <v>335</v>
      </c>
      <c r="AJ38" s="53">
        <f>IF('Amputation Summary'!$O$4=2,RANK(AC38,AC$8:AC$76,1)+COUNTIF($AC$8:AC38,AC38)-1,IF('Amputation Summary'!$O$4=1,RANK(AI38,AI$8:AI$76,1)+COUNTIF($AI$8:AI38,AI38)-1))</f>
        <v>1</v>
      </c>
      <c r="AK38" s="16">
        <f>IF('Amputation Summary'!$O$4=2, X38, IF('Amputation Summary'!$O$4=1, AD38))</f>
        <v>1</v>
      </c>
      <c r="AL38" s="16">
        <f>IF('Amputation Summary'!$O$4=2, Z38, IF('Amputation Summary'!$O$4=1, AF38))</f>
        <v>1</v>
      </c>
      <c r="AM38" s="16">
        <f>IF('Amputation Summary'!$O$4=2, AB38, IF('Amputation Summary'!$O$4=1, AH38))</f>
        <v>6</v>
      </c>
      <c r="AN38">
        <v>1</v>
      </c>
      <c r="AO38" s="16" t="e">
        <f t="shared" si="10"/>
        <v>#VALUE!</v>
      </c>
      <c r="AP38" s="16" t="e">
        <f t="shared" si="11"/>
        <v>#VALUE!</v>
      </c>
      <c r="AQ38" s="52" t="e">
        <v>#VALUE!</v>
      </c>
    </row>
    <row r="39" spans="1:43" x14ac:dyDescent="0.25">
      <c r="A39" s="85" t="s">
        <v>159</v>
      </c>
      <c r="B39" s="86" t="s">
        <v>160</v>
      </c>
      <c r="C39" s="87">
        <v>1</v>
      </c>
      <c r="D39" s="87">
        <v>5</v>
      </c>
      <c r="E39" s="87">
        <v>16</v>
      </c>
      <c r="F39" s="94" t="s">
        <v>346</v>
      </c>
      <c r="G39" s="88" t="s">
        <v>672</v>
      </c>
      <c r="H39" s="94" t="e">
        <v>#VALUE!</v>
      </c>
      <c r="I39" s="94" t="e">
        <v>#VALUE!</v>
      </c>
      <c r="J39" s="89" t="s">
        <v>960</v>
      </c>
      <c r="K39" s="89" t="s">
        <v>961</v>
      </c>
      <c r="L39" s="91">
        <v>1</v>
      </c>
      <c r="M39" s="91">
        <v>0.2</v>
      </c>
      <c r="N39" s="92">
        <v>1</v>
      </c>
      <c r="O39" s="92">
        <v>0.8</v>
      </c>
      <c r="P39" s="93">
        <v>6.7000000000000004E-2</v>
      </c>
      <c r="Q39" t="str">
        <f t="shared" si="1"/>
        <v>SG999</v>
      </c>
      <c r="R39">
        <f t="shared" si="2"/>
        <v>4</v>
      </c>
      <c r="S39">
        <f t="shared" si="3"/>
        <v>1</v>
      </c>
      <c r="T39">
        <f t="shared" si="4"/>
        <v>4</v>
      </c>
      <c r="U39">
        <f t="shared" si="5"/>
        <v>3</v>
      </c>
      <c r="V39" s="53">
        <f>IF('Amputation Summary'!$Q$33=4, RANK(O39,O$8:O$76,1)+COUNTIF($O$8:O39,O39)-1, IF('Amputation Summary'!$Q$33=3, RANK(N39,N$8:N$76,1)+COUNTIF($N$8:N39,N39)-1, IF('Amputation Summary'!$Q$33=2, RANK(M39,M$8:M$76,1)+COUNTIF($M$8:M39,M39)-1, IF('Amputation Summary'!$Q$33=1, RANK(L39,L$8:L$76,1)+COUNTIF($L$8:L39,L39)-1))))</f>
        <v>36</v>
      </c>
      <c r="W39" s="13">
        <f>IF('Amputation Summary'!$Q$33=4, O39, IF('Amputation Summary'!$Q$33=3, N39, IF('Amputation Summary'!$Q$33=2, M39, IF('Amputation Summary'!$Q$33=1, L39))))</f>
        <v>0.8</v>
      </c>
      <c r="X39" s="16">
        <v>7</v>
      </c>
      <c r="Y39">
        <v>2</v>
      </c>
      <c r="Z39">
        <f t="shared" si="6"/>
        <v>5</v>
      </c>
      <c r="AA39">
        <v>12</v>
      </c>
      <c r="AB39">
        <f t="shared" si="7"/>
        <v>5</v>
      </c>
      <c r="AC39">
        <v>32</v>
      </c>
      <c r="AD39" t="s">
        <v>346</v>
      </c>
      <c r="AE39" t="e">
        <v>#VALUE!</v>
      </c>
      <c r="AF39" t="e">
        <f t="shared" si="8"/>
        <v>#VALUE!</v>
      </c>
      <c r="AG39" t="e">
        <v>#VALUE!</v>
      </c>
      <c r="AH39" t="e">
        <f t="shared" si="9"/>
        <v>#VALUE!</v>
      </c>
      <c r="AI39" s="2" t="s">
        <v>335</v>
      </c>
      <c r="AJ39" s="53">
        <f>IF('Amputation Summary'!$O$4=2,RANK(AC39,AC$8:AC$76,1)+COUNTIF($AC$8:AC39,AC39)-1,IF('Amputation Summary'!$O$4=1,RANK(AI39,AI$8:AI$76,1)+COUNTIF($AI$8:AI39,AI39)-1))</f>
        <v>32</v>
      </c>
      <c r="AK39" s="16">
        <f>IF('Amputation Summary'!$O$4=2, X39, IF('Amputation Summary'!$O$4=1, AD39))</f>
        <v>7</v>
      </c>
      <c r="AL39" s="16">
        <f>IF('Amputation Summary'!$O$4=2, Z39, IF('Amputation Summary'!$O$4=1, AF39))</f>
        <v>5</v>
      </c>
      <c r="AM39" s="16">
        <f>IF('Amputation Summary'!$O$4=2, AB39, IF('Amputation Summary'!$O$4=1, AH39))</f>
        <v>5</v>
      </c>
      <c r="AN39">
        <v>1</v>
      </c>
      <c r="AO39" s="16" t="e">
        <f t="shared" si="10"/>
        <v>#VALUE!</v>
      </c>
      <c r="AP39" s="16" t="e">
        <f t="shared" si="11"/>
        <v>#VALUE!</v>
      </c>
      <c r="AQ39" s="52" t="e">
        <v>#VALUE!</v>
      </c>
    </row>
    <row r="40" spans="1:43" x14ac:dyDescent="0.25">
      <c r="A40" s="85" t="s">
        <v>161</v>
      </c>
      <c r="B40" s="86" t="s">
        <v>162</v>
      </c>
      <c r="C40" s="87">
        <v>28</v>
      </c>
      <c r="D40" s="87">
        <v>28</v>
      </c>
      <c r="E40" s="87">
        <v>75</v>
      </c>
      <c r="F40" s="88" t="s">
        <v>962</v>
      </c>
      <c r="G40" s="88" t="s">
        <v>217</v>
      </c>
      <c r="H40" s="90">
        <v>0.11999999731779099</v>
      </c>
      <c r="I40" s="90">
        <v>0.21739129722118378</v>
      </c>
      <c r="J40" s="89" t="s">
        <v>963</v>
      </c>
      <c r="K40" s="89" t="s">
        <v>459</v>
      </c>
      <c r="L40" s="91">
        <v>1</v>
      </c>
      <c r="M40" s="91">
        <v>1</v>
      </c>
      <c r="N40" s="92">
        <v>0.96</v>
      </c>
      <c r="O40" s="92">
        <v>0.96</v>
      </c>
      <c r="P40" s="93">
        <v>0.127</v>
      </c>
      <c r="Q40" t="str">
        <f t="shared" ref="Q40:Q76" si="12">A40</f>
        <v>SH999</v>
      </c>
      <c r="R40">
        <f t="shared" si="2"/>
        <v>4</v>
      </c>
      <c r="S40">
        <f t="shared" si="3"/>
        <v>4</v>
      </c>
      <c r="T40">
        <f t="shared" si="4"/>
        <v>4</v>
      </c>
      <c r="U40">
        <f t="shared" si="5"/>
        <v>4</v>
      </c>
      <c r="V40" s="53">
        <f>IF('Amputation Summary'!$Q$33=4, RANK(O40,O$8:O$76,1)+COUNTIF($O$8:O40,O40)-1, IF('Amputation Summary'!$Q$33=3, RANK(N40,N$8:N$76,1)+COUNTIF($N$8:N40,N40)-1, IF('Amputation Summary'!$Q$33=2, RANK(M40,M$8:M$76,1)+COUNTIF($M$8:M40,M40)-1, IF('Amputation Summary'!$Q$33=1, RANK(L40,L$8:L$76,1)+COUNTIF($L$8:L40,L40)-1))))</f>
        <v>56</v>
      </c>
      <c r="W40" s="13">
        <f>IF('Amputation Summary'!$Q$33=4, O40, IF('Amputation Summary'!$Q$33=3, N40, IF('Amputation Summary'!$Q$33=2, M40, IF('Amputation Summary'!$Q$33=1, L40))))</f>
        <v>0.96</v>
      </c>
      <c r="X40" s="16">
        <v>3</v>
      </c>
      <c r="Y40">
        <v>1</v>
      </c>
      <c r="Z40">
        <f t="shared" si="6"/>
        <v>2</v>
      </c>
      <c r="AA40">
        <v>9</v>
      </c>
      <c r="AB40">
        <f t="shared" si="7"/>
        <v>6</v>
      </c>
      <c r="AC40">
        <v>4</v>
      </c>
      <c r="AD40" s="16">
        <v>4</v>
      </c>
      <c r="AE40">
        <v>1</v>
      </c>
      <c r="AF40">
        <f t="shared" si="8"/>
        <v>3</v>
      </c>
      <c r="AG40">
        <v>9</v>
      </c>
      <c r="AH40">
        <f t="shared" si="9"/>
        <v>5</v>
      </c>
      <c r="AI40" s="2">
        <v>5</v>
      </c>
      <c r="AJ40" s="53">
        <f>IF('Amputation Summary'!$O$4=2,RANK(AC40,AC$8:AC$76,1)+COUNTIF($AC$8:AC40,AC40)-1,IF('Amputation Summary'!$O$4=1,RANK(AI40,AI$8:AI$76,1)+COUNTIF($AI$8:AI40,AI40)-1))</f>
        <v>4</v>
      </c>
      <c r="AK40" s="16">
        <f>IF('Amputation Summary'!$O$4=2, X40, IF('Amputation Summary'!$O$4=1, AD40))</f>
        <v>3</v>
      </c>
      <c r="AL40" s="16">
        <f>IF('Amputation Summary'!$O$4=2, Z40, IF('Amputation Summary'!$O$4=1, AF40))</f>
        <v>2</v>
      </c>
      <c r="AM40" s="16">
        <f>IF('Amputation Summary'!$O$4=2, AB40, IF('Amputation Summary'!$O$4=1, AH40))</f>
        <v>6</v>
      </c>
      <c r="AN40">
        <v>1</v>
      </c>
      <c r="AO40" s="16">
        <f t="shared" si="10"/>
        <v>0</v>
      </c>
      <c r="AP40" s="16">
        <f t="shared" si="11"/>
        <v>9.7391299903392792E-2</v>
      </c>
      <c r="AQ40">
        <v>1</v>
      </c>
    </row>
    <row r="41" spans="1:43" x14ac:dyDescent="0.25">
      <c r="A41" s="85" t="s">
        <v>163</v>
      </c>
      <c r="B41" s="86" t="s">
        <v>164</v>
      </c>
      <c r="C41" s="87">
        <v>102</v>
      </c>
      <c r="D41" s="87">
        <v>81</v>
      </c>
      <c r="E41" s="87">
        <v>249</v>
      </c>
      <c r="F41" s="88" t="s">
        <v>964</v>
      </c>
      <c r="G41" s="88" t="s">
        <v>965</v>
      </c>
      <c r="H41" s="90">
        <v>0.75862067937850952</v>
      </c>
      <c r="I41" s="90">
        <v>1.1891891956329346</v>
      </c>
      <c r="J41" s="89" t="s">
        <v>966</v>
      </c>
      <c r="K41" s="89" t="s">
        <v>967</v>
      </c>
      <c r="L41" s="91">
        <v>0.39</v>
      </c>
      <c r="M41" s="91">
        <v>0.63</v>
      </c>
      <c r="N41" s="92">
        <v>0</v>
      </c>
      <c r="O41" s="92">
        <v>0</v>
      </c>
      <c r="P41" s="93">
        <v>4.5999999999999999E-2</v>
      </c>
      <c r="Q41" t="str">
        <f t="shared" si="12"/>
        <v>SL999</v>
      </c>
      <c r="R41">
        <f t="shared" si="2"/>
        <v>1</v>
      </c>
      <c r="S41">
        <f t="shared" si="3"/>
        <v>1</v>
      </c>
      <c r="T41">
        <f t="shared" si="4"/>
        <v>1</v>
      </c>
      <c r="U41">
        <f t="shared" si="5"/>
        <v>1</v>
      </c>
      <c r="V41" s="53">
        <f>IF('Amputation Summary'!$Q$33=4, RANK(O41,O$8:O$76,1)+COUNTIF($O$8:O41,O41)-1, IF('Amputation Summary'!$Q$33=3, RANK(N41,N$8:N$76,1)+COUNTIF($N$8:N41,N41)-1, IF('Amputation Summary'!$Q$33=2, RANK(M41,M$8:M$76,1)+COUNTIF($M$8:M41,M41)-1, IF('Amputation Summary'!$Q$33=1, RANK(L41,L$8:L$76,1)+COUNTIF($L$8:L41,L41)-1))))</f>
        <v>2</v>
      </c>
      <c r="W41" s="13">
        <f>IF('Amputation Summary'!$Q$33=4, O41, IF('Amputation Summary'!$Q$33=3, N41, IF('Amputation Summary'!$Q$33=2, M41, IF('Amputation Summary'!$Q$33=1, L41))))</f>
        <v>0</v>
      </c>
      <c r="X41" s="16">
        <v>11</v>
      </c>
      <c r="Y41">
        <v>3</v>
      </c>
      <c r="Z41">
        <f t="shared" si="6"/>
        <v>8</v>
      </c>
      <c r="AA41">
        <v>33</v>
      </c>
      <c r="AB41">
        <f t="shared" si="7"/>
        <v>22</v>
      </c>
      <c r="AC41">
        <v>60</v>
      </c>
      <c r="AD41" s="16">
        <v>30</v>
      </c>
      <c r="AE41">
        <v>10</v>
      </c>
      <c r="AF41">
        <f t="shared" si="8"/>
        <v>20</v>
      </c>
      <c r="AG41">
        <v>89</v>
      </c>
      <c r="AH41">
        <f t="shared" si="9"/>
        <v>59</v>
      </c>
      <c r="AI41" s="2">
        <v>61</v>
      </c>
      <c r="AJ41" s="53">
        <f>IF('Amputation Summary'!$O$4=2,RANK(AC41,AC$8:AC$76,1)+COUNTIF($AC$8:AC41,AC41)-1,IF('Amputation Summary'!$O$4=1,RANK(AI41,AI$8:AI$76,1)+COUNTIF($AI$8:AI41,AI41)-1))</f>
        <v>60</v>
      </c>
      <c r="AK41" s="16">
        <f>IF('Amputation Summary'!$O$4=2, X41, IF('Amputation Summary'!$O$4=1, AD41))</f>
        <v>11</v>
      </c>
      <c r="AL41" s="16">
        <f>IF('Amputation Summary'!$O$4=2, Z41, IF('Amputation Summary'!$O$4=1, AF41))</f>
        <v>8</v>
      </c>
      <c r="AM41" s="16">
        <f>IF('Amputation Summary'!$O$4=2, AB41, IF('Amputation Summary'!$O$4=1, AH41))</f>
        <v>22</v>
      </c>
      <c r="AN41">
        <v>1</v>
      </c>
      <c r="AO41" s="16">
        <f t="shared" si="10"/>
        <v>0</v>
      </c>
      <c r="AP41" s="16">
        <f t="shared" si="11"/>
        <v>0.43056851625442505</v>
      </c>
      <c r="AQ41">
        <v>42</v>
      </c>
    </row>
    <row r="42" spans="1:43" x14ac:dyDescent="0.25">
      <c r="A42" s="85" t="s">
        <v>167</v>
      </c>
      <c r="B42" s="86" t="s">
        <v>168</v>
      </c>
      <c r="C42" s="87">
        <v>0</v>
      </c>
      <c r="D42" s="87">
        <v>5</v>
      </c>
      <c r="E42" s="87">
        <v>5</v>
      </c>
      <c r="F42" s="94" t="s">
        <v>346</v>
      </c>
      <c r="G42" s="94" t="s">
        <v>346</v>
      </c>
      <c r="H42" s="94" t="e">
        <v>#VALUE!</v>
      </c>
      <c r="I42" s="94" t="e">
        <v>#VALUE!</v>
      </c>
      <c r="J42" s="89" t="s">
        <v>346</v>
      </c>
      <c r="K42" s="89" t="s">
        <v>464</v>
      </c>
      <c r="L42" s="94" t="s">
        <v>346</v>
      </c>
      <c r="M42" s="91">
        <v>0.6</v>
      </c>
      <c r="N42" s="94" t="s">
        <v>346</v>
      </c>
      <c r="O42" s="92">
        <v>1</v>
      </c>
      <c r="P42" s="93">
        <v>0</v>
      </c>
      <c r="Q42" t="str">
        <f t="shared" si="12"/>
        <v>SS999</v>
      </c>
      <c r="R42">
        <f t="shared" si="2"/>
        <v>4</v>
      </c>
      <c r="S42">
        <f t="shared" si="3"/>
        <v>1</v>
      </c>
      <c r="T42">
        <f t="shared" si="4"/>
        <v>4</v>
      </c>
      <c r="U42">
        <f t="shared" si="5"/>
        <v>4</v>
      </c>
      <c r="V42" s="53">
        <f>IF('Amputation Summary'!$Q$33=4, RANK(O42,O$8:O$76,1)+COUNTIF($O$8:O42,O42)-1, IF('Amputation Summary'!$Q$33=3, RANK(N42,N$8:N$76,1)+COUNTIF($N$8:N42,N42)-1, IF('Amputation Summary'!$Q$33=2, RANK(M42,M$8:M$76,1)+COUNTIF($M$8:M42,M42)-1, IF('Amputation Summary'!$Q$33=1, RANK(L42,L$8:L$76,1)+COUNTIF($L$8:L42,L42)-1))))</f>
        <v>65</v>
      </c>
      <c r="W42" s="13">
        <f>IF('Amputation Summary'!$Q$33=4, O42, IF('Amputation Summary'!$Q$33=3, N42, IF('Amputation Summary'!$Q$33=2, M42, IF('Amputation Summary'!$Q$33=1, L42))))</f>
        <v>1</v>
      </c>
      <c r="X42" t="s">
        <v>346</v>
      </c>
      <c r="Y42" t="e">
        <v>#VALUE!</v>
      </c>
      <c r="Z42" t="e">
        <f t="shared" si="6"/>
        <v>#VALUE!</v>
      </c>
      <c r="AA42" t="e">
        <v>#VALUE!</v>
      </c>
      <c r="AB42" t="e">
        <f t="shared" si="7"/>
        <v>#VALUE!</v>
      </c>
      <c r="AC42" t="s">
        <v>335</v>
      </c>
      <c r="AD42" t="s">
        <v>346</v>
      </c>
      <c r="AE42" t="e">
        <v>#VALUE!</v>
      </c>
      <c r="AF42" t="e">
        <f t="shared" si="8"/>
        <v>#VALUE!</v>
      </c>
      <c r="AG42" t="e">
        <v>#VALUE!</v>
      </c>
      <c r="AH42" t="e">
        <f t="shared" si="9"/>
        <v>#VALUE!</v>
      </c>
      <c r="AI42" s="2" t="s">
        <v>335</v>
      </c>
      <c r="AJ42" s="53" t="e">
        <f>IF('Amputation Summary'!$O$4=2,RANK(AC42,AC$8:AC$76,1)+COUNTIF($AC$8:AC42,AC42)-1,IF('Amputation Summary'!$O$4=1,RANK(AI42,AI$8:AI$76,1)+COUNTIF($AI$8:AI42,AI42)-1))</f>
        <v>#VALUE!</v>
      </c>
      <c r="AK42" s="16" t="str">
        <f>IF('Amputation Summary'!$O$4=2, X42, IF('Amputation Summary'!$O$4=1, AD42))</f>
        <v>xx</v>
      </c>
      <c r="AL42" s="16" t="e">
        <f>IF('Amputation Summary'!$O$4=2, Z42, IF('Amputation Summary'!$O$4=1, AF42))</f>
        <v>#VALUE!</v>
      </c>
      <c r="AM42" s="16" t="e">
        <f>IF('Amputation Summary'!$O$4=2, AB42, IF('Amputation Summary'!$O$4=1, AH42))</f>
        <v>#VALUE!</v>
      </c>
      <c r="AN42">
        <v>1</v>
      </c>
      <c r="AO42" s="16" t="e">
        <f t="shared" si="10"/>
        <v>#VALUE!</v>
      </c>
      <c r="AP42" s="16" t="e">
        <f t="shared" si="11"/>
        <v>#VALUE!</v>
      </c>
      <c r="AQ42" s="52" t="e">
        <v>#VALUE!</v>
      </c>
    </row>
    <row r="43" spans="1:43" x14ac:dyDescent="0.25">
      <c r="A43" s="85" t="s">
        <v>169</v>
      </c>
      <c r="B43" s="86" t="s">
        <v>170</v>
      </c>
      <c r="C43" s="87">
        <v>2</v>
      </c>
      <c r="D43" s="87">
        <v>1</v>
      </c>
      <c r="E43" s="87">
        <v>16</v>
      </c>
      <c r="F43" s="94" t="s">
        <v>346</v>
      </c>
      <c r="G43" s="94" t="s">
        <v>346</v>
      </c>
      <c r="H43" s="94" t="e">
        <v>#VALUE!</v>
      </c>
      <c r="I43" s="94" t="e">
        <v>#VALUE!</v>
      </c>
      <c r="J43" s="89" t="s">
        <v>398</v>
      </c>
      <c r="K43" s="89" t="s">
        <v>969</v>
      </c>
      <c r="L43" s="91">
        <v>1</v>
      </c>
      <c r="M43" s="91">
        <v>1</v>
      </c>
      <c r="N43" s="92">
        <v>0.5</v>
      </c>
      <c r="O43" s="92">
        <v>1</v>
      </c>
      <c r="P43" s="93">
        <v>0</v>
      </c>
      <c r="Q43" t="str">
        <f t="shared" si="12"/>
        <v>ST999</v>
      </c>
      <c r="R43">
        <f t="shared" si="2"/>
        <v>4</v>
      </c>
      <c r="S43">
        <f t="shared" si="3"/>
        <v>4</v>
      </c>
      <c r="T43">
        <f t="shared" si="4"/>
        <v>1</v>
      </c>
      <c r="U43">
        <f t="shared" si="5"/>
        <v>4</v>
      </c>
      <c r="V43" s="53">
        <f>IF('Amputation Summary'!$Q$33=4, RANK(O43,O$8:O$76,1)+COUNTIF($O$8:O43,O43)-1, IF('Amputation Summary'!$Q$33=3, RANK(N43,N$8:N$76,1)+COUNTIF($N$8:N43,N43)-1, IF('Amputation Summary'!$Q$33=2, RANK(M43,M$8:M$76,1)+COUNTIF($M$8:M43,M43)-1, IF('Amputation Summary'!$Q$33=1, RANK(L43,L$8:L$76,1)+COUNTIF($L$8:L43,L43)-1))))</f>
        <v>66</v>
      </c>
      <c r="W43" s="13">
        <f>IF('Amputation Summary'!$Q$33=4, O43, IF('Amputation Summary'!$Q$33=3, N43, IF('Amputation Summary'!$Q$33=2, M43, IF('Amputation Summary'!$Q$33=1, L43))))</f>
        <v>1</v>
      </c>
      <c r="X43" t="s">
        <v>346</v>
      </c>
      <c r="Y43" t="e">
        <v>#VALUE!</v>
      </c>
      <c r="Z43" t="e">
        <f t="shared" si="6"/>
        <v>#VALUE!</v>
      </c>
      <c r="AA43" t="e">
        <v>#VALUE!</v>
      </c>
      <c r="AB43" t="e">
        <f t="shared" si="7"/>
        <v>#VALUE!</v>
      </c>
      <c r="AC43" t="s">
        <v>335</v>
      </c>
      <c r="AD43" t="s">
        <v>346</v>
      </c>
      <c r="AE43" t="e">
        <v>#VALUE!</v>
      </c>
      <c r="AF43" t="e">
        <f t="shared" si="8"/>
        <v>#VALUE!</v>
      </c>
      <c r="AG43" t="e">
        <v>#VALUE!</v>
      </c>
      <c r="AH43" t="e">
        <f t="shared" si="9"/>
        <v>#VALUE!</v>
      </c>
      <c r="AI43" s="2" t="s">
        <v>335</v>
      </c>
      <c r="AJ43" s="53" t="e">
        <f>IF('Amputation Summary'!$O$4=2,RANK(AC43,AC$8:AC$76,1)+COUNTIF($AC$8:AC43,AC43)-1,IF('Amputation Summary'!$O$4=1,RANK(AI43,AI$8:AI$76,1)+COUNTIF($AI$8:AI43,AI43)-1))</f>
        <v>#VALUE!</v>
      </c>
      <c r="AK43" s="16" t="str">
        <f>IF('Amputation Summary'!$O$4=2, X43, IF('Amputation Summary'!$O$4=1, AD43))</f>
        <v>xx</v>
      </c>
      <c r="AL43" s="16" t="e">
        <f>IF('Amputation Summary'!$O$4=2, Z43, IF('Amputation Summary'!$O$4=1, AF43))</f>
        <v>#VALUE!</v>
      </c>
      <c r="AM43" s="16" t="e">
        <f>IF('Amputation Summary'!$O$4=2, AB43, IF('Amputation Summary'!$O$4=1, AH43))</f>
        <v>#VALUE!</v>
      </c>
      <c r="AN43">
        <v>1</v>
      </c>
      <c r="AO43" s="16" t="e">
        <f t="shared" si="10"/>
        <v>#VALUE!</v>
      </c>
      <c r="AP43" s="16" t="e">
        <f t="shared" si="11"/>
        <v>#VALUE!</v>
      </c>
      <c r="AQ43" s="52" t="e">
        <v>#VALUE!</v>
      </c>
    </row>
    <row r="44" spans="1:43" x14ac:dyDescent="0.25">
      <c r="A44" s="85" t="s">
        <v>80</v>
      </c>
      <c r="B44" s="86" t="s">
        <v>81</v>
      </c>
      <c r="C44" s="87">
        <v>53</v>
      </c>
      <c r="D44" s="87">
        <v>85</v>
      </c>
      <c r="E44" s="87">
        <v>207</v>
      </c>
      <c r="F44" s="88" t="s">
        <v>875</v>
      </c>
      <c r="G44" s="88" t="s">
        <v>876</v>
      </c>
      <c r="H44" s="90">
        <v>0.82758623361587524</v>
      </c>
      <c r="I44" s="90">
        <v>0.73469388484954834</v>
      </c>
      <c r="J44" s="89" t="s">
        <v>821</v>
      </c>
      <c r="K44" s="89" t="s">
        <v>877</v>
      </c>
      <c r="L44" s="91">
        <v>0.21</v>
      </c>
      <c r="M44" s="91">
        <v>0.18</v>
      </c>
      <c r="N44" s="92">
        <v>0.98</v>
      </c>
      <c r="O44" s="92">
        <v>0.99</v>
      </c>
      <c r="P44" s="93">
        <v>2.8000000000000001E-2</v>
      </c>
      <c r="Q44" t="str">
        <f t="shared" si="12"/>
        <v>RM1</v>
      </c>
      <c r="R44">
        <f t="shared" si="2"/>
        <v>1</v>
      </c>
      <c r="S44">
        <f t="shared" si="3"/>
        <v>1</v>
      </c>
      <c r="T44">
        <f t="shared" si="4"/>
        <v>4</v>
      </c>
      <c r="U44">
        <f t="shared" si="5"/>
        <v>4</v>
      </c>
      <c r="V44" s="53">
        <f>IF('Amputation Summary'!$Q$33=4, RANK(O44,O$8:O$76,1)+COUNTIF($O$8:O44,O44)-1, IF('Amputation Summary'!$Q$33=3, RANK(N44,N$8:N$76,1)+COUNTIF($N$8:N44,N44)-1, IF('Amputation Summary'!$Q$33=2, RANK(M44,M$8:M$76,1)+COUNTIF($M$8:M44,M44)-1, IF('Amputation Summary'!$Q$33=1, RANK(L44,L$8:L$76,1)+COUNTIF($L$8:L44,L44)-1))))</f>
        <v>59</v>
      </c>
      <c r="W44" s="13">
        <f>IF('Amputation Summary'!$Q$33=4, O44, IF('Amputation Summary'!$Q$33=3, N44, IF('Amputation Summary'!$Q$33=2, M44, IF('Amputation Summary'!$Q$33=1, L44))))</f>
        <v>0.99</v>
      </c>
      <c r="X44" s="16">
        <v>10</v>
      </c>
      <c r="Y44">
        <v>4</v>
      </c>
      <c r="Z44">
        <f t="shared" si="6"/>
        <v>6</v>
      </c>
      <c r="AA44">
        <v>34</v>
      </c>
      <c r="AB44">
        <f t="shared" si="7"/>
        <v>24</v>
      </c>
      <c r="AC44">
        <v>58</v>
      </c>
      <c r="AD44" s="16">
        <v>6</v>
      </c>
      <c r="AE44">
        <v>3</v>
      </c>
      <c r="AF44">
        <f t="shared" si="8"/>
        <v>3</v>
      </c>
      <c r="AG44">
        <v>21</v>
      </c>
      <c r="AH44">
        <f t="shared" si="9"/>
        <v>15</v>
      </c>
      <c r="AI44" s="2">
        <v>26</v>
      </c>
      <c r="AJ44" s="53">
        <f>IF('Amputation Summary'!$O$4=2,RANK(AC44,AC$8:AC$76,1)+COUNTIF($AC$8:AC44,AC44)-1,IF('Amputation Summary'!$O$4=1,RANK(AI44,AI$8:AI$76,1)+COUNTIF($AI$8:AI44,AI44)-1))</f>
        <v>58</v>
      </c>
      <c r="AK44" s="16">
        <f>IF('Amputation Summary'!$O$4=2, X44, IF('Amputation Summary'!$O$4=1, AD44))</f>
        <v>10</v>
      </c>
      <c r="AL44" s="16">
        <f>IF('Amputation Summary'!$O$4=2, Z44, IF('Amputation Summary'!$O$4=1, AF44))</f>
        <v>6</v>
      </c>
      <c r="AM44" s="16">
        <f>IF('Amputation Summary'!$O$4=2, AB44, IF('Amputation Summary'!$O$4=1, AH44))</f>
        <v>24</v>
      </c>
      <c r="AN44">
        <v>1</v>
      </c>
      <c r="AO44" s="16">
        <f t="shared" si="10"/>
        <v>9.2892348766326904E-2</v>
      </c>
      <c r="AP44" s="16">
        <f t="shared" si="11"/>
        <v>0</v>
      </c>
      <c r="AQ44">
        <v>21</v>
      </c>
    </row>
    <row r="45" spans="1:43" x14ac:dyDescent="0.25">
      <c r="A45" s="85" t="s">
        <v>121</v>
      </c>
      <c r="B45" s="86" t="s">
        <v>122</v>
      </c>
      <c r="C45" s="87">
        <v>73</v>
      </c>
      <c r="D45" s="87">
        <v>53</v>
      </c>
      <c r="E45" s="87">
        <v>192</v>
      </c>
      <c r="F45" s="88" t="s">
        <v>223</v>
      </c>
      <c r="G45" s="88" t="s">
        <v>914</v>
      </c>
      <c r="H45" s="90">
        <v>1.0857143402099609</v>
      </c>
      <c r="I45" s="90">
        <v>0.55882352590560913</v>
      </c>
      <c r="J45" s="89" t="s">
        <v>915</v>
      </c>
      <c r="K45" s="89" t="s">
        <v>916</v>
      </c>
      <c r="L45" s="91">
        <v>0.95</v>
      </c>
      <c r="M45" s="91">
        <v>0.87</v>
      </c>
      <c r="N45" s="92">
        <v>0.9</v>
      </c>
      <c r="O45" s="92">
        <v>0.77</v>
      </c>
      <c r="P45" s="93">
        <v>2.3E-2</v>
      </c>
      <c r="Q45" t="str">
        <f t="shared" si="12"/>
        <v>RVJ</v>
      </c>
      <c r="R45">
        <f t="shared" si="2"/>
        <v>3</v>
      </c>
      <c r="S45">
        <f t="shared" si="3"/>
        <v>2</v>
      </c>
      <c r="T45">
        <f t="shared" si="4"/>
        <v>3</v>
      </c>
      <c r="U45">
        <f t="shared" si="5"/>
        <v>2</v>
      </c>
      <c r="V45" s="53">
        <f>IF('Amputation Summary'!$Q$33=4, RANK(O45,O$8:O$76,1)+COUNTIF($O$8:O45,O45)-1, IF('Amputation Summary'!$Q$33=3, RANK(N45,N$8:N$76,1)+COUNTIF($N$8:N45,N45)-1, IF('Amputation Summary'!$Q$33=2, RANK(M45,M$8:M$76,1)+COUNTIF($M$8:M45,M45)-1, IF('Amputation Summary'!$Q$33=1, RANK(L45,L$8:L$76,1)+COUNTIF($L$8:L45,L45)-1))))</f>
        <v>32</v>
      </c>
      <c r="W45" s="13">
        <f>IF('Amputation Summary'!$Q$33=4, O45, IF('Amputation Summary'!$Q$33=3, N45, IF('Amputation Summary'!$Q$33=2, M45, IF('Amputation Summary'!$Q$33=1, L45))))</f>
        <v>0.77</v>
      </c>
      <c r="X45" s="16">
        <v>7</v>
      </c>
      <c r="Y45">
        <v>3</v>
      </c>
      <c r="Z45">
        <f t="shared" si="6"/>
        <v>4</v>
      </c>
      <c r="AA45">
        <v>16</v>
      </c>
      <c r="AB45">
        <f t="shared" si="7"/>
        <v>9</v>
      </c>
      <c r="AC45">
        <v>38</v>
      </c>
      <c r="AD45" s="16">
        <v>5</v>
      </c>
      <c r="AE45">
        <v>3</v>
      </c>
      <c r="AF45">
        <f t="shared" si="8"/>
        <v>2</v>
      </c>
      <c r="AG45">
        <v>9</v>
      </c>
      <c r="AH45">
        <f t="shared" si="9"/>
        <v>4</v>
      </c>
      <c r="AI45" s="2">
        <v>17</v>
      </c>
      <c r="AJ45" s="53">
        <f>IF('Amputation Summary'!$O$4=2,RANK(AC45,AC$8:AC$76,1)+COUNTIF($AC$8:AC45,AC45)-1,IF('Amputation Summary'!$O$4=1,RANK(AI45,AI$8:AI$76,1)+COUNTIF($AI$8:AI45,AI45)-1))</f>
        <v>38</v>
      </c>
      <c r="AK45" s="16">
        <f>IF('Amputation Summary'!$O$4=2, X45, IF('Amputation Summary'!$O$4=1, AD45))</f>
        <v>7</v>
      </c>
      <c r="AL45" s="16">
        <f>IF('Amputation Summary'!$O$4=2, Z45, IF('Amputation Summary'!$O$4=1, AF45))</f>
        <v>4</v>
      </c>
      <c r="AM45" s="16">
        <f>IF('Amputation Summary'!$O$4=2, AB45, IF('Amputation Summary'!$O$4=1, AH45))</f>
        <v>9</v>
      </c>
      <c r="AN45">
        <v>1</v>
      </c>
      <c r="AO45" s="16">
        <f t="shared" si="10"/>
        <v>0.52689081430435181</v>
      </c>
      <c r="AP45" s="16">
        <f t="shared" si="11"/>
        <v>0</v>
      </c>
      <c r="AQ45">
        <v>9</v>
      </c>
    </row>
    <row r="46" spans="1:43" x14ac:dyDescent="0.25">
      <c r="A46" s="85" t="s">
        <v>86</v>
      </c>
      <c r="B46" s="86" t="s">
        <v>694</v>
      </c>
      <c r="C46" s="87">
        <v>43</v>
      </c>
      <c r="D46" s="87">
        <v>37</v>
      </c>
      <c r="E46" s="87">
        <v>127</v>
      </c>
      <c r="F46" s="88" t="s">
        <v>817</v>
      </c>
      <c r="G46" s="88" t="s">
        <v>879</v>
      </c>
      <c r="H46" s="90">
        <v>1.047619104385376</v>
      </c>
      <c r="I46" s="90">
        <v>3.1111111640930176</v>
      </c>
      <c r="J46" s="89" t="s">
        <v>880</v>
      </c>
      <c r="K46" s="89" t="s">
        <v>881</v>
      </c>
      <c r="L46" s="91">
        <v>0.95</v>
      </c>
      <c r="M46" s="91">
        <v>1</v>
      </c>
      <c r="N46" s="92">
        <v>0.33</v>
      </c>
      <c r="O46" s="92">
        <v>0.49</v>
      </c>
      <c r="P46" s="93">
        <v>7.5999999999999998E-2</v>
      </c>
      <c r="Q46" t="str">
        <f t="shared" si="12"/>
        <v>RNL</v>
      </c>
      <c r="R46">
        <f t="shared" si="2"/>
        <v>3</v>
      </c>
      <c r="S46">
        <f t="shared" si="3"/>
        <v>4</v>
      </c>
      <c r="T46">
        <f t="shared" si="4"/>
        <v>1</v>
      </c>
      <c r="U46">
        <f t="shared" si="5"/>
        <v>1</v>
      </c>
      <c r="V46" s="53">
        <f>IF('Amputation Summary'!$Q$33=4, RANK(O46,O$8:O$76,1)+COUNTIF($O$8:O46,O46)-1, IF('Amputation Summary'!$Q$33=3, RANK(N46,N$8:N$76,1)+COUNTIF($N$8:N46,N46)-1, IF('Amputation Summary'!$Q$33=2, RANK(M46,M$8:M$76,1)+COUNTIF($M$8:M46,M46)-1, IF('Amputation Summary'!$Q$33=1, RANK(L46,L$8:L$76,1)+COUNTIF($L$8:L46,L46)-1))))</f>
        <v>12</v>
      </c>
      <c r="W46" s="13">
        <f>IF('Amputation Summary'!$Q$33=4, O46, IF('Amputation Summary'!$Q$33=3, N46, IF('Amputation Summary'!$Q$33=2, M46, IF('Amputation Summary'!$Q$33=1, L46))))</f>
        <v>0.49</v>
      </c>
      <c r="X46" s="16">
        <v>6</v>
      </c>
      <c r="Y46">
        <v>3</v>
      </c>
      <c r="Z46">
        <f t="shared" si="6"/>
        <v>3</v>
      </c>
      <c r="AA46">
        <v>23</v>
      </c>
      <c r="AB46">
        <f t="shared" si="7"/>
        <v>17</v>
      </c>
      <c r="AC46">
        <v>29</v>
      </c>
      <c r="AD46" s="16">
        <v>9</v>
      </c>
      <c r="AE46">
        <v>4</v>
      </c>
      <c r="AF46">
        <f t="shared" si="8"/>
        <v>5</v>
      </c>
      <c r="AG46">
        <v>31</v>
      </c>
      <c r="AH46">
        <f t="shared" si="9"/>
        <v>22</v>
      </c>
      <c r="AI46" s="2">
        <v>45</v>
      </c>
      <c r="AJ46" s="53">
        <f>IF('Amputation Summary'!$O$4=2,RANK(AC46,AC$8:AC$76,1)+COUNTIF($AC$8:AC46,AC46)-1,IF('Amputation Summary'!$O$4=1,RANK(AI46,AI$8:AI$76,1)+COUNTIF($AI$8:AI46,AI46)-1))</f>
        <v>29</v>
      </c>
      <c r="AK46" s="16">
        <f>IF('Amputation Summary'!$O$4=2, X46, IF('Amputation Summary'!$O$4=1, AD46))</f>
        <v>6</v>
      </c>
      <c r="AL46" s="16">
        <f>IF('Amputation Summary'!$O$4=2, Z46, IF('Amputation Summary'!$O$4=1, AF46))</f>
        <v>3</v>
      </c>
      <c r="AM46" s="16">
        <f>IF('Amputation Summary'!$O$4=2, AB46, IF('Amputation Summary'!$O$4=1, AH46))</f>
        <v>17</v>
      </c>
      <c r="AN46">
        <v>1</v>
      </c>
      <c r="AO46" s="16">
        <f t="shared" si="10"/>
        <v>0</v>
      </c>
      <c r="AP46" s="16">
        <f t="shared" si="11"/>
        <v>2.0634920597076416</v>
      </c>
      <c r="AQ46">
        <v>61</v>
      </c>
    </row>
    <row r="47" spans="1:43" x14ac:dyDescent="0.25">
      <c r="A47" s="85" t="s">
        <v>88</v>
      </c>
      <c r="B47" s="86" t="s">
        <v>89</v>
      </c>
      <c r="C47" s="87">
        <v>25</v>
      </c>
      <c r="D47" s="87">
        <v>42</v>
      </c>
      <c r="E47" s="87">
        <v>118</v>
      </c>
      <c r="F47" s="88" t="s">
        <v>220</v>
      </c>
      <c r="G47" s="88" t="s">
        <v>457</v>
      </c>
      <c r="H47" s="90">
        <v>0.66666668653488159</v>
      </c>
      <c r="I47" s="90">
        <v>0.68000000715255737</v>
      </c>
      <c r="J47" s="89" t="s">
        <v>882</v>
      </c>
      <c r="K47" s="89" t="s">
        <v>883</v>
      </c>
      <c r="L47" s="91">
        <v>0.8</v>
      </c>
      <c r="M47" s="91">
        <v>0.79</v>
      </c>
      <c r="N47" s="92">
        <v>0.84</v>
      </c>
      <c r="O47" s="92">
        <v>0.56999999999999995</v>
      </c>
      <c r="P47" s="93">
        <v>3.5999999999999997E-2</v>
      </c>
      <c r="Q47" t="str">
        <f t="shared" si="12"/>
        <v>RNS</v>
      </c>
      <c r="R47">
        <f t="shared" si="2"/>
        <v>2</v>
      </c>
      <c r="S47">
        <f t="shared" si="3"/>
        <v>2</v>
      </c>
      <c r="T47">
        <f t="shared" si="4"/>
        <v>3</v>
      </c>
      <c r="U47">
        <f t="shared" si="5"/>
        <v>2</v>
      </c>
      <c r="V47" s="53">
        <f>IF('Amputation Summary'!$Q$33=4, RANK(O47,O$8:O$76,1)+COUNTIF($O$8:O47,O47)-1, IF('Amputation Summary'!$Q$33=3, RANK(N47,N$8:N$76,1)+COUNTIF($N$8:N47,N47)-1, IF('Amputation Summary'!$Q$33=2, RANK(M47,M$8:M$76,1)+COUNTIF($M$8:M47,M47)-1, IF('Amputation Summary'!$Q$33=1, RANK(L47,L$8:L$76,1)+COUNTIF($L$8:L47,L47)-1))))</f>
        <v>19</v>
      </c>
      <c r="W47" s="13">
        <f>IF('Amputation Summary'!$Q$33=4, O47, IF('Amputation Summary'!$Q$33=3, N47, IF('Amputation Summary'!$Q$33=2, M47, IF('Amputation Summary'!$Q$33=1, L47))))</f>
        <v>0.56999999999999995</v>
      </c>
      <c r="X47" s="16">
        <v>7</v>
      </c>
      <c r="Y47">
        <v>3</v>
      </c>
      <c r="Z47">
        <f t="shared" si="6"/>
        <v>4</v>
      </c>
      <c r="AA47">
        <v>11</v>
      </c>
      <c r="AB47">
        <f t="shared" si="7"/>
        <v>4</v>
      </c>
      <c r="AC47">
        <v>37</v>
      </c>
      <c r="AD47" s="16">
        <v>3</v>
      </c>
      <c r="AE47">
        <v>2</v>
      </c>
      <c r="AF47">
        <f t="shared" si="8"/>
        <v>1</v>
      </c>
      <c r="AG47">
        <v>5</v>
      </c>
      <c r="AH47">
        <f t="shared" si="9"/>
        <v>2</v>
      </c>
      <c r="AI47" s="2">
        <v>3</v>
      </c>
      <c r="AJ47" s="53">
        <f>IF('Amputation Summary'!$O$4=2,RANK(AC47,AC$8:AC$76,1)+COUNTIF($AC$8:AC47,AC47)-1,IF('Amputation Summary'!$O$4=1,RANK(AI47,AI$8:AI$76,1)+COUNTIF($AI$8:AI47,AI47)-1))</f>
        <v>37</v>
      </c>
      <c r="AK47" s="16">
        <f>IF('Amputation Summary'!$O$4=2, X47, IF('Amputation Summary'!$O$4=1, AD47))</f>
        <v>7</v>
      </c>
      <c r="AL47" s="16">
        <f>IF('Amputation Summary'!$O$4=2, Z47, IF('Amputation Summary'!$O$4=1, AF47))</f>
        <v>4</v>
      </c>
      <c r="AM47" s="16">
        <f>IF('Amputation Summary'!$O$4=2, AB47, IF('Amputation Summary'!$O$4=1, AH47))</f>
        <v>4</v>
      </c>
      <c r="AN47">
        <v>1</v>
      </c>
      <c r="AO47" s="16">
        <f t="shared" si="10"/>
        <v>0</v>
      </c>
      <c r="AP47" s="16">
        <f t="shared" si="11"/>
        <v>1.3333320617675781E-2</v>
      </c>
      <c r="AQ47">
        <v>17</v>
      </c>
    </row>
    <row r="48" spans="1:43" x14ac:dyDescent="0.25">
      <c r="A48" s="85" t="s">
        <v>141</v>
      </c>
      <c r="B48" s="86" t="s">
        <v>142</v>
      </c>
      <c r="C48" s="87">
        <v>53</v>
      </c>
      <c r="D48" s="87">
        <v>82</v>
      </c>
      <c r="E48" s="87">
        <v>226</v>
      </c>
      <c r="F48" s="88" t="s">
        <v>280</v>
      </c>
      <c r="G48" s="88" t="s">
        <v>941</v>
      </c>
      <c r="H48" s="90">
        <v>0.65625</v>
      </c>
      <c r="I48" s="90">
        <v>0.90697675943374634</v>
      </c>
      <c r="J48" s="89" t="s">
        <v>942</v>
      </c>
      <c r="K48" s="89" t="s">
        <v>943</v>
      </c>
      <c r="L48" s="91">
        <v>0.3</v>
      </c>
      <c r="M48" s="91">
        <v>0.17</v>
      </c>
      <c r="N48" s="92">
        <v>0.17</v>
      </c>
      <c r="O48" s="92">
        <v>0.39</v>
      </c>
      <c r="P48" s="93">
        <v>7.5999999999999998E-2</v>
      </c>
      <c r="Q48" t="str">
        <f t="shared" si="12"/>
        <v>RX1</v>
      </c>
      <c r="R48">
        <f t="shared" si="2"/>
        <v>1</v>
      </c>
      <c r="S48">
        <f t="shared" si="3"/>
        <v>1</v>
      </c>
      <c r="T48">
        <f t="shared" si="4"/>
        <v>1</v>
      </c>
      <c r="U48">
        <f t="shared" si="5"/>
        <v>1</v>
      </c>
      <c r="V48" s="53">
        <f>IF('Amputation Summary'!$Q$33=4, RANK(O48,O$8:O$76,1)+COUNTIF($O$8:O48,O48)-1, IF('Amputation Summary'!$Q$33=3, RANK(N48,N$8:N$76,1)+COUNTIF($N$8:N48,N48)-1, IF('Amputation Summary'!$Q$33=2, RANK(M48,M$8:M$76,1)+COUNTIF($M$8:M48,M48)-1, IF('Amputation Summary'!$Q$33=1, RANK(L48,L$8:L$76,1)+COUNTIF($L$8:L48,L48)-1))))</f>
        <v>8</v>
      </c>
      <c r="W48" s="13">
        <f>IF('Amputation Summary'!$Q$33=4, O48, IF('Amputation Summary'!$Q$33=3, N48, IF('Amputation Summary'!$Q$33=2, M48, IF('Amputation Summary'!$Q$33=1, L48))))</f>
        <v>0.39</v>
      </c>
      <c r="X48" s="16">
        <v>5</v>
      </c>
      <c r="Y48">
        <v>2</v>
      </c>
      <c r="Z48">
        <f t="shared" si="6"/>
        <v>3</v>
      </c>
      <c r="AA48">
        <v>15</v>
      </c>
      <c r="AB48">
        <f t="shared" si="7"/>
        <v>10</v>
      </c>
      <c r="AC48">
        <v>19</v>
      </c>
      <c r="AD48" s="16">
        <v>5</v>
      </c>
      <c r="AE48">
        <v>2</v>
      </c>
      <c r="AF48">
        <f t="shared" si="8"/>
        <v>3</v>
      </c>
      <c r="AG48">
        <v>12</v>
      </c>
      <c r="AH48">
        <f t="shared" si="9"/>
        <v>7</v>
      </c>
      <c r="AI48" s="2">
        <v>16</v>
      </c>
      <c r="AJ48" s="53">
        <f>IF('Amputation Summary'!$O$4=2,RANK(AC48,AC$8:AC$76,1)+COUNTIF($AC$8:AC48,AC48)-1,IF('Amputation Summary'!$O$4=1,RANK(AI48,AI$8:AI$76,1)+COUNTIF($AI$8:AI48,AI48)-1))</f>
        <v>19</v>
      </c>
      <c r="AK48" s="16">
        <f>IF('Amputation Summary'!$O$4=2, X48, IF('Amputation Summary'!$O$4=1, AD48))</f>
        <v>5</v>
      </c>
      <c r="AL48" s="16">
        <f>IF('Amputation Summary'!$O$4=2, Z48, IF('Amputation Summary'!$O$4=1, AF48))</f>
        <v>3</v>
      </c>
      <c r="AM48" s="16">
        <f>IF('Amputation Summary'!$O$4=2, AB48, IF('Amputation Summary'!$O$4=1, AH48))</f>
        <v>10</v>
      </c>
      <c r="AN48">
        <v>1</v>
      </c>
      <c r="AO48" s="16">
        <f t="shared" si="10"/>
        <v>0</v>
      </c>
      <c r="AP48" s="16">
        <f t="shared" si="11"/>
        <v>0.25072675943374634</v>
      </c>
      <c r="AQ48">
        <v>29</v>
      </c>
    </row>
    <row r="49" spans="1:43" x14ac:dyDescent="0.25">
      <c r="A49" s="85" t="s">
        <v>115</v>
      </c>
      <c r="B49" s="86" t="s">
        <v>424</v>
      </c>
      <c r="C49" s="87">
        <v>58</v>
      </c>
      <c r="D49" s="87">
        <v>28</v>
      </c>
      <c r="E49" s="87">
        <v>125</v>
      </c>
      <c r="F49" s="88" t="s">
        <v>906</v>
      </c>
      <c r="G49" s="88" t="s">
        <v>907</v>
      </c>
      <c r="H49" s="90">
        <v>1.2307692766189575</v>
      </c>
      <c r="I49" s="90">
        <v>1</v>
      </c>
      <c r="J49" s="89" t="s">
        <v>908</v>
      </c>
      <c r="K49" s="89" t="s">
        <v>909</v>
      </c>
      <c r="L49" s="91">
        <v>0.79</v>
      </c>
      <c r="M49" s="91">
        <v>0.93</v>
      </c>
      <c r="N49" s="92">
        <v>0.71</v>
      </c>
      <c r="O49" s="92">
        <v>0.68</v>
      </c>
      <c r="P49" s="93">
        <v>6.4000000000000001E-2</v>
      </c>
      <c r="Q49" t="str">
        <f t="shared" si="12"/>
        <v>RTH</v>
      </c>
      <c r="R49">
        <f t="shared" si="2"/>
        <v>2</v>
      </c>
      <c r="S49">
        <f t="shared" si="3"/>
        <v>3</v>
      </c>
      <c r="T49">
        <f t="shared" si="4"/>
        <v>2</v>
      </c>
      <c r="U49">
        <f t="shared" si="5"/>
        <v>2</v>
      </c>
      <c r="V49" s="53">
        <f>IF('Amputation Summary'!$Q$33=4, RANK(O49,O$8:O$76,1)+COUNTIF($O$8:O49,O49)-1, IF('Amputation Summary'!$Q$33=3, RANK(N49,N$8:N$76,1)+COUNTIF($N$8:N49,N49)-1, IF('Amputation Summary'!$Q$33=2, RANK(M49,M$8:M$76,1)+COUNTIF($M$8:M49,M49)-1, IF('Amputation Summary'!$Q$33=1, RANK(L49,L$8:L$76,1)+COUNTIF($L$8:L49,L49)-1))))</f>
        <v>28</v>
      </c>
      <c r="W49" s="13">
        <f>IF('Amputation Summary'!$Q$33=4, O49, IF('Amputation Summary'!$Q$33=3, N49, IF('Amputation Summary'!$Q$33=2, M49, IF('Amputation Summary'!$Q$33=1, L49))))</f>
        <v>0.68</v>
      </c>
      <c r="X49" s="16">
        <v>5</v>
      </c>
      <c r="Y49">
        <v>2</v>
      </c>
      <c r="Z49">
        <f t="shared" si="6"/>
        <v>3</v>
      </c>
      <c r="AA49">
        <v>14</v>
      </c>
      <c r="AB49">
        <f t="shared" si="7"/>
        <v>9</v>
      </c>
      <c r="AC49">
        <v>18</v>
      </c>
      <c r="AD49" s="16">
        <v>6</v>
      </c>
      <c r="AE49">
        <v>3</v>
      </c>
      <c r="AF49">
        <f t="shared" si="8"/>
        <v>3</v>
      </c>
      <c r="AG49">
        <v>20</v>
      </c>
      <c r="AH49">
        <f t="shared" si="9"/>
        <v>14</v>
      </c>
      <c r="AI49" s="2">
        <v>25</v>
      </c>
      <c r="AJ49" s="53">
        <f>IF('Amputation Summary'!$O$4=2,RANK(AC49,AC$8:AC$76,1)+COUNTIF($AC$8:AC49,AC49)-1,IF('Amputation Summary'!$O$4=1,RANK(AI49,AI$8:AI$76,1)+COUNTIF($AI$8:AI49,AI49)-1))</f>
        <v>18</v>
      </c>
      <c r="AK49" s="16">
        <f>IF('Amputation Summary'!$O$4=2, X49, IF('Amputation Summary'!$O$4=1, AD49))</f>
        <v>5</v>
      </c>
      <c r="AL49" s="16">
        <f>IF('Amputation Summary'!$O$4=2, Z49, IF('Amputation Summary'!$O$4=1, AF49))</f>
        <v>3</v>
      </c>
      <c r="AM49" s="16">
        <f>IF('Amputation Summary'!$O$4=2, AB49, IF('Amputation Summary'!$O$4=1, AH49))</f>
        <v>9</v>
      </c>
      <c r="AN49">
        <v>1</v>
      </c>
      <c r="AO49" s="16">
        <f t="shared" si="10"/>
        <v>0.23076927661895752</v>
      </c>
      <c r="AP49" s="16">
        <f t="shared" si="11"/>
        <v>0</v>
      </c>
      <c r="AQ49">
        <v>32</v>
      </c>
    </row>
    <row r="50" spans="1:43" x14ac:dyDescent="0.25">
      <c r="A50" s="85" t="s">
        <v>125</v>
      </c>
      <c r="B50" s="86" t="s">
        <v>126</v>
      </c>
      <c r="C50" s="87">
        <v>66</v>
      </c>
      <c r="D50" s="87">
        <v>79</v>
      </c>
      <c r="E50" s="87">
        <v>212</v>
      </c>
      <c r="F50" s="88" t="s">
        <v>751</v>
      </c>
      <c r="G50" s="88" t="s">
        <v>225</v>
      </c>
      <c r="H50" s="90">
        <v>1.1290322542190552</v>
      </c>
      <c r="I50" s="90">
        <v>1.3235293626785278</v>
      </c>
      <c r="J50" s="89" t="s">
        <v>921</v>
      </c>
      <c r="K50" s="89" t="s">
        <v>922</v>
      </c>
      <c r="L50" s="91">
        <v>0.91</v>
      </c>
      <c r="M50" s="91">
        <v>0.89</v>
      </c>
      <c r="N50" s="92">
        <v>1</v>
      </c>
      <c r="O50" s="92">
        <v>0.99</v>
      </c>
      <c r="P50" s="93">
        <v>8.4000000000000005E-2</v>
      </c>
      <c r="Q50" t="str">
        <f t="shared" si="12"/>
        <v>RW6</v>
      </c>
      <c r="R50">
        <f t="shared" si="2"/>
        <v>3</v>
      </c>
      <c r="S50">
        <f t="shared" si="3"/>
        <v>2</v>
      </c>
      <c r="T50">
        <f t="shared" si="4"/>
        <v>4</v>
      </c>
      <c r="U50">
        <f t="shared" si="5"/>
        <v>4</v>
      </c>
      <c r="V50" s="53">
        <f>IF('Amputation Summary'!$Q$33=4, RANK(O50,O$8:O$76,1)+COUNTIF($O$8:O50,O50)-1, IF('Amputation Summary'!$Q$33=3, RANK(N50,N$8:N$76,1)+COUNTIF($N$8:N50,N50)-1, IF('Amputation Summary'!$Q$33=2, RANK(M50,M$8:M$76,1)+COUNTIF($M$8:M50,M50)-1, IF('Amputation Summary'!$Q$33=1, RANK(L50,L$8:L$76,1)+COUNTIF($L$8:L50,L50)-1))))</f>
        <v>60</v>
      </c>
      <c r="W50" s="13">
        <f>IF('Amputation Summary'!$Q$33=4, O50, IF('Amputation Summary'!$Q$33=3, N50, IF('Amputation Summary'!$Q$33=2, M50, IF('Amputation Summary'!$Q$33=1, L50))))</f>
        <v>0.99</v>
      </c>
      <c r="X50" s="16">
        <v>4</v>
      </c>
      <c r="Y50">
        <v>2</v>
      </c>
      <c r="Z50">
        <f t="shared" si="6"/>
        <v>2</v>
      </c>
      <c r="AA50">
        <v>7</v>
      </c>
      <c r="AB50">
        <f t="shared" si="7"/>
        <v>3</v>
      </c>
      <c r="AC50">
        <v>9</v>
      </c>
      <c r="AD50" s="16">
        <v>4</v>
      </c>
      <c r="AE50">
        <v>2</v>
      </c>
      <c r="AF50">
        <f t="shared" si="8"/>
        <v>2</v>
      </c>
      <c r="AG50">
        <v>12</v>
      </c>
      <c r="AH50">
        <f t="shared" si="9"/>
        <v>8</v>
      </c>
      <c r="AI50" s="2">
        <v>9</v>
      </c>
      <c r="AJ50" s="53">
        <f>IF('Amputation Summary'!$O$4=2,RANK(AC50,AC$8:AC$76,1)+COUNTIF($AC$8:AC50,AC50)-1,IF('Amputation Summary'!$O$4=1,RANK(AI50,AI$8:AI$76,1)+COUNTIF($AI$8:AI50,AI50)-1))</f>
        <v>9</v>
      </c>
      <c r="AK50" s="16">
        <f>IF('Amputation Summary'!$O$4=2, X50, IF('Amputation Summary'!$O$4=1, AD50))</f>
        <v>4</v>
      </c>
      <c r="AL50" s="16">
        <f>IF('Amputation Summary'!$O$4=2, Z50, IF('Amputation Summary'!$O$4=1, AF50))</f>
        <v>2</v>
      </c>
      <c r="AM50" s="16">
        <f>IF('Amputation Summary'!$O$4=2, AB50, IF('Amputation Summary'!$O$4=1, AH50))</f>
        <v>3</v>
      </c>
      <c r="AN50">
        <v>1</v>
      </c>
      <c r="AO50" s="16">
        <f t="shared" si="10"/>
        <v>0</v>
      </c>
      <c r="AP50" s="16">
        <f t="shared" si="11"/>
        <v>0.19449710845947266</v>
      </c>
      <c r="AQ50">
        <v>48</v>
      </c>
    </row>
    <row r="51" spans="1:43" x14ac:dyDescent="0.25">
      <c r="A51" s="85" t="s">
        <v>98</v>
      </c>
      <c r="B51" s="86" t="s">
        <v>99</v>
      </c>
      <c r="C51" s="87">
        <v>2</v>
      </c>
      <c r="D51" s="87">
        <v>7</v>
      </c>
      <c r="E51" s="87">
        <v>16</v>
      </c>
      <c r="F51" s="88" t="s">
        <v>346</v>
      </c>
      <c r="G51" s="88" t="s">
        <v>890</v>
      </c>
      <c r="H51" s="90">
        <v>1</v>
      </c>
      <c r="I51" s="90">
        <v>1.3333333730697632</v>
      </c>
      <c r="J51" s="89" t="s">
        <v>891</v>
      </c>
      <c r="K51" s="89" t="s">
        <v>892</v>
      </c>
      <c r="L51" s="91">
        <v>1</v>
      </c>
      <c r="M51" s="91">
        <v>1</v>
      </c>
      <c r="N51" s="92">
        <v>0</v>
      </c>
      <c r="O51" s="92">
        <v>0.14000000000000001</v>
      </c>
      <c r="P51" s="93">
        <v>0.248</v>
      </c>
      <c r="Q51" t="str">
        <f t="shared" si="12"/>
        <v>RQW</v>
      </c>
      <c r="R51">
        <f t="shared" si="2"/>
        <v>4</v>
      </c>
      <c r="S51">
        <f t="shared" si="3"/>
        <v>4</v>
      </c>
      <c r="T51">
        <f t="shared" si="4"/>
        <v>1</v>
      </c>
      <c r="U51">
        <f t="shared" si="5"/>
        <v>1</v>
      </c>
      <c r="V51" s="53">
        <f>IF('Amputation Summary'!$Q$33=4, RANK(O51,O$8:O$76,1)+COUNTIF($O$8:O51,O51)-1, IF('Amputation Summary'!$Q$33=3, RANK(N51,N$8:N$76,1)+COUNTIF($N$8:N51,N51)-1, IF('Amputation Summary'!$Q$33=2, RANK(M51,M$8:M$76,1)+COUNTIF($M$8:M51,M51)-1, IF('Amputation Summary'!$Q$33=1, RANK(L51,L$8:L$76,1)+COUNTIF($L$8:L51,L51)-1))))</f>
        <v>4</v>
      </c>
      <c r="W51" s="13">
        <f>IF('Amputation Summary'!$Q$33=4, O51, IF('Amputation Summary'!$Q$33=3, N51, IF('Amputation Summary'!$Q$33=2, M51, IF('Amputation Summary'!$Q$33=1, L51))))</f>
        <v>0.14000000000000001</v>
      </c>
      <c r="X51" s="16">
        <v>7</v>
      </c>
      <c r="Y51">
        <v>2</v>
      </c>
      <c r="Z51">
        <f t="shared" si="6"/>
        <v>5</v>
      </c>
      <c r="AA51">
        <v>9</v>
      </c>
      <c r="AB51">
        <f t="shared" si="7"/>
        <v>2</v>
      </c>
      <c r="AC51">
        <v>31</v>
      </c>
      <c r="AD51" s="16" t="s">
        <v>346</v>
      </c>
      <c r="AE51" t="s">
        <v>346</v>
      </c>
      <c r="AF51" t="e">
        <f t="shared" si="8"/>
        <v>#VALUE!</v>
      </c>
      <c r="AG51" t="s">
        <v>346</v>
      </c>
      <c r="AH51" t="e">
        <f t="shared" si="9"/>
        <v>#VALUE!</v>
      </c>
      <c r="AI51" s="2" t="s">
        <v>335</v>
      </c>
      <c r="AJ51" s="53">
        <f>IF('Amputation Summary'!$O$4=2,RANK(AC51,AC$8:AC$76,1)+COUNTIF($AC$8:AC51,AC51)-1,IF('Amputation Summary'!$O$4=1,RANK(AI51,AI$8:AI$76,1)+COUNTIF($AI$8:AI51,AI51)-1))</f>
        <v>31</v>
      </c>
      <c r="AK51" s="16">
        <f>IF('Amputation Summary'!$O$4=2, X51, IF('Amputation Summary'!$O$4=1, AD51))</f>
        <v>7</v>
      </c>
      <c r="AL51" s="16">
        <f>IF('Amputation Summary'!$O$4=2, Z51, IF('Amputation Summary'!$O$4=1, AF51))</f>
        <v>5</v>
      </c>
      <c r="AM51" s="16">
        <f>IF('Amputation Summary'!$O$4=2, AB51, IF('Amputation Summary'!$O$4=1, AH51))</f>
        <v>2</v>
      </c>
      <c r="AN51">
        <v>1</v>
      </c>
      <c r="AO51" s="16">
        <f t="shared" si="10"/>
        <v>0</v>
      </c>
      <c r="AP51" s="16">
        <f t="shared" si="11"/>
        <v>0.33333337306976318</v>
      </c>
      <c r="AQ51">
        <v>49</v>
      </c>
    </row>
    <row r="52" spans="1:43" x14ac:dyDescent="0.25">
      <c r="A52" s="85" t="s">
        <v>42</v>
      </c>
      <c r="B52" s="86" t="s">
        <v>43</v>
      </c>
      <c r="C52" s="87">
        <v>39</v>
      </c>
      <c r="D52" s="87">
        <v>41</v>
      </c>
      <c r="E52" s="87">
        <v>116</v>
      </c>
      <c r="F52" s="88" t="s">
        <v>832</v>
      </c>
      <c r="G52" s="88" t="s">
        <v>833</v>
      </c>
      <c r="H52" s="90">
        <v>0.3928571343421936</v>
      </c>
      <c r="I52" s="90">
        <v>0.70833331346511841</v>
      </c>
      <c r="J52" s="89" t="s">
        <v>834</v>
      </c>
      <c r="K52" s="89" t="s">
        <v>835</v>
      </c>
      <c r="L52" s="91">
        <v>0.9</v>
      </c>
      <c r="M52" s="91">
        <v>0.93</v>
      </c>
      <c r="N52" s="92">
        <v>0.95</v>
      </c>
      <c r="O52" s="92">
        <v>0.78</v>
      </c>
      <c r="P52" s="93">
        <v>3.5000000000000003E-2</v>
      </c>
      <c r="Q52" t="str">
        <f t="shared" si="12"/>
        <v>REF</v>
      </c>
      <c r="R52">
        <f t="shared" si="2"/>
        <v>2</v>
      </c>
      <c r="S52">
        <f t="shared" si="3"/>
        <v>3</v>
      </c>
      <c r="T52">
        <f t="shared" si="4"/>
        <v>4</v>
      </c>
      <c r="U52">
        <f t="shared" si="5"/>
        <v>3</v>
      </c>
      <c r="V52" s="53">
        <f>IF('Amputation Summary'!$Q$33=4, RANK(O52,O$8:O$76,1)+COUNTIF($O$8:O52,O52)-1, IF('Amputation Summary'!$Q$33=3, RANK(N52,N$8:N$76,1)+COUNTIF($N$8:N52,N52)-1, IF('Amputation Summary'!$Q$33=2, RANK(M52,M$8:M$76,1)+COUNTIF($M$8:M52,M52)-1, IF('Amputation Summary'!$Q$33=1, RANK(L52,L$8:L$76,1)+COUNTIF($L$8:L52,L52)-1))))</f>
        <v>34</v>
      </c>
      <c r="W52" s="13">
        <f>IF('Amputation Summary'!$Q$33=4, O52, IF('Amputation Summary'!$Q$33=3, N52, IF('Amputation Summary'!$Q$33=2, M52, IF('Amputation Summary'!$Q$33=1, L52))))</f>
        <v>0.78</v>
      </c>
      <c r="X52" s="16">
        <v>5</v>
      </c>
      <c r="Y52">
        <v>2</v>
      </c>
      <c r="Z52">
        <f t="shared" si="6"/>
        <v>3</v>
      </c>
      <c r="AA52">
        <v>21</v>
      </c>
      <c r="AB52">
        <f t="shared" si="7"/>
        <v>16</v>
      </c>
      <c r="AC52">
        <v>20</v>
      </c>
      <c r="AD52" s="16">
        <v>12</v>
      </c>
      <c r="AE52">
        <v>6</v>
      </c>
      <c r="AF52">
        <f t="shared" si="8"/>
        <v>6</v>
      </c>
      <c r="AG52">
        <v>26</v>
      </c>
      <c r="AH52">
        <f t="shared" si="9"/>
        <v>14</v>
      </c>
      <c r="AI52" s="2">
        <v>58</v>
      </c>
      <c r="AJ52" s="53">
        <f>IF('Amputation Summary'!$O$4=2,RANK(AC52,AC$8:AC$76,1)+COUNTIF($AC$8:AC52,AC52)-1,IF('Amputation Summary'!$O$4=1,RANK(AI52,AI$8:AI$76,1)+COUNTIF($AI$8:AI52,AI52)-1))</f>
        <v>20</v>
      </c>
      <c r="AK52" s="16">
        <f>IF('Amputation Summary'!$O$4=2, X52, IF('Amputation Summary'!$O$4=1, AD52))</f>
        <v>5</v>
      </c>
      <c r="AL52" s="16">
        <f>IF('Amputation Summary'!$O$4=2, Z52, IF('Amputation Summary'!$O$4=1, AF52))</f>
        <v>3</v>
      </c>
      <c r="AM52" s="16">
        <f>IF('Amputation Summary'!$O$4=2, AB52, IF('Amputation Summary'!$O$4=1, AH52))</f>
        <v>16</v>
      </c>
      <c r="AN52">
        <v>1</v>
      </c>
      <c r="AO52" s="16">
        <f t="shared" si="10"/>
        <v>0</v>
      </c>
      <c r="AP52" s="16">
        <f t="shared" si="11"/>
        <v>0.3154761791229248</v>
      </c>
      <c r="AQ52">
        <v>19</v>
      </c>
    </row>
    <row r="53" spans="1:43" x14ac:dyDescent="0.25">
      <c r="A53" s="85" t="s">
        <v>53</v>
      </c>
      <c r="B53" s="86" t="s">
        <v>54</v>
      </c>
      <c r="C53" s="87">
        <v>35</v>
      </c>
      <c r="D53" s="87">
        <v>46</v>
      </c>
      <c r="E53" s="87">
        <v>120</v>
      </c>
      <c r="F53" s="88" t="s">
        <v>206</v>
      </c>
      <c r="G53" s="88" t="s">
        <v>849</v>
      </c>
      <c r="H53" s="90">
        <v>0.84210526943206787</v>
      </c>
      <c r="I53" s="90">
        <v>0.76923078298568726</v>
      </c>
      <c r="J53" s="89" t="s">
        <v>850</v>
      </c>
      <c r="K53" s="89" t="s">
        <v>851</v>
      </c>
      <c r="L53" s="91">
        <v>0.89</v>
      </c>
      <c r="M53" s="91">
        <v>1</v>
      </c>
      <c r="N53" s="92">
        <v>0.86</v>
      </c>
      <c r="O53" s="92">
        <v>0.76</v>
      </c>
      <c r="P53" s="93">
        <v>3.5999999999999997E-2</v>
      </c>
      <c r="Q53" t="str">
        <f t="shared" si="12"/>
        <v>RH8</v>
      </c>
      <c r="R53">
        <f t="shared" si="2"/>
        <v>2</v>
      </c>
      <c r="S53">
        <f t="shared" si="3"/>
        <v>4</v>
      </c>
      <c r="T53">
        <f t="shared" si="4"/>
        <v>3</v>
      </c>
      <c r="U53">
        <f t="shared" si="5"/>
        <v>2</v>
      </c>
      <c r="V53" s="53">
        <f>IF('Amputation Summary'!$Q$33=4, RANK(O53,O$8:O$76,1)+COUNTIF($O$8:O53,O53)-1, IF('Amputation Summary'!$Q$33=3, RANK(N53,N$8:N$76,1)+COUNTIF($N$8:N53,N53)-1, IF('Amputation Summary'!$Q$33=2, RANK(M53,M$8:M$76,1)+COUNTIF($M$8:M53,M53)-1, IF('Amputation Summary'!$Q$33=1, RANK(L53,L$8:L$76,1)+COUNTIF($L$8:L53,L53)-1))))</f>
        <v>31</v>
      </c>
      <c r="W53" s="13">
        <f>IF('Amputation Summary'!$Q$33=4, O53, IF('Amputation Summary'!$Q$33=3, N53, IF('Amputation Summary'!$Q$33=2, M53, IF('Amputation Summary'!$Q$33=1, L53))))</f>
        <v>0.76</v>
      </c>
      <c r="X53" s="16">
        <v>7</v>
      </c>
      <c r="Y53">
        <v>5</v>
      </c>
      <c r="Z53">
        <f t="shared" si="6"/>
        <v>2</v>
      </c>
      <c r="AA53">
        <v>29</v>
      </c>
      <c r="AB53">
        <f t="shared" si="7"/>
        <v>22</v>
      </c>
      <c r="AC53">
        <v>44</v>
      </c>
      <c r="AD53" s="16">
        <v>7</v>
      </c>
      <c r="AE53">
        <v>4</v>
      </c>
      <c r="AF53">
        <f t="shared" si="8"/>
        <v>3</v>
      </c>
      <c r="AG53">
        <v>13</v>
      </c>
      <c r="AH53">
        <f t="shared" si="9"/>
        <v>6</v>
      </c>
      <c r="AI53" s="2">
        <v>34</v>
      </c>
      <c r="AJ53" s="53">
        <f>IF('Amputation Summary'!$O$4=2,RANK(AC53,AC$8:AC$76,1)+COUNTIF($AC$8:AC53,AC53)-1,IF('Amputation Summary'!$O$4=1,RANK(AI53,AI$8:AI$76,1)+COUNTIF($AI$8:AI53,AI53)-1))</f>
        <v>44</v>
      </c>
      <c r="AK53" s="16">
        <f>IF('Amputation Summary'!$O$4=2, X53, IF('Amputation Summary'!$O$4=1, AD53))</f>
        <v>7</v>
      </c>
      <c r="AL53" s="16">
        <f>IF('Amputation Summary'!$O$4=2, Z53, IF('Amputation Summary'!$O$4=1, AF53))</f>
        <v>2</v>
      </c>
      <c r="AM53" s="16">
        <f>IF('Amputation Summary'!$O$4=2, AB53, IF('Amputation Summary'!$O$4=1, AH53))</f>
        <v>22</v>
      </c>
      <c r="AN53">
        <v>1</v>
      </c>
      <c r="AO53" s="16">
        <f t="shared" si="10"/>
        <v>7.2874486446380615E-2</v>
      </c>
      <c r="AP53" s="16">
        <f t="shared" si="11"/>
        <v>0</v>
      </c>
      <c r="AQ53">
        <v>23</v>
      </c>
    </row>
    <row r="54" spans="1:43" x14ac:dyDescent="0.25">
      <c r="A54" s="85" t="s">
        <v>21</v>
      </c>
      <c r="B54" s="86" t="s">
        <v>22</v>
      </c>
      <c r="C54" s="87">
        <v>54</v>
      </c>
      <c r="D54" s="87">
        <v>54</v>
      </c>
      <c r="E54" s="87">
        <v>167</v>
      </c>
      <c r="F54" s="88" t="s">
        <v>817</v>
      </c>
      <c r="G54" s="88" t="s">
        <v>818</v>
      </c>
      <c r="H54" s="90">
        <v>1.7000000476837158</v>
      </c>
      <c r="I54" s="90">
        <v>1</v>
      </c>
      <c r="J54" s="89" t="s">
        <v>819</v>
      </c>
      <c r="K54" s="89" t="s">
        <v>820</v>
      </c>
      <c r="L54" s="91">
        <v>0.85</v>
      </c>
      <c r="M54" s="91">
        <v>0.93</v>
      </c>
      <c r="N54" s="92">
        <v>0.93</v>
      </c>
      <c r="O54" s="92">
        <v>0.87</v>
      </c>
      <c r="P54" s="93">
        <v>7.1999999999999995E-2</v>
      </c>
      <c r="Q54" t="str">
        <f t="shared" si="12"/>
        <v>RAL</v>
      </c>
      <c r="R54">
        <f t="shared" si="2"/>
        <v>2</v>
      </c>
      <c r="S54">
        <f t="shared" si="3"/>
        <v>3</v>
      </c>
      <c r="T54">
        <f t="shared" si="4"/>
        <v>4</v>
      </c>
      <c r="U54">
        <f t="shared" si="5"/>
        <v>3</v>
      </c>
      <c r="V54" s="53">
        <f>IF('Amputation Summary'!$Q$33=4, RANK(O54,O$8:O$76,1)+COUNTIF($O$8:O54,O54)-1, IF('Amputation Summary'!$Q$33=3, RANK(N54,N$8:N$76,1)+COUNTIF($N$8:N54,N54)-1, IF('Amputation Summary'!$Q$33=2, RANK(M54,M$8:M$76,1)+COUNTIF($M$8:M54,M54)-1, IF('Amputation Summary'!$Q$33=1, RANK(L54,L$8:L$76,1)+COUNTIF($L$8:L54,L54)-1))))</f>
        <v>45</v>
      </c>
      <c r="W54" s="13">
        <f>IF('Amputation Summary'!$Q$33=4, O54, IF('Amputation Summary'!$Q$33=3, N54, IF('Amputation Summary'!$Q$33=2, M54, IF('Amputation Summary'!$Q$33=1, L54))))</f>
        <v>0.87</v>
      </c>
      <c r="X54" s="16">
        <v>10</v>
      </c>
      <c r="Y54">
        <v>5</v>
      </c>
      <c r="Z54">
        <f t="shared" si="6"/>
        <v>5</v>
      </c>
      <c r="AA54">
        <v>26</v>
      </c>
      <c r="AB54">
        <f t="shared" si="7"/>
        <v>16</v>
      </c>
      <c r="AC54">
        <v>59</v>
      </c>
      <c r="AD54" s="16">
        <v>9</v>
      </c>
      <c r="AE54">
        <v>4</v>
      </c>
      <c r="AF54">
        <f t="shared" si="8"/>
        <v>5</v>
      </c>
      <c r="AG54">
        <v>31</v>
      </c>
      <c r="AH54">
        <f t="shared" si="9"/>
        <v>22</v>
      </c>
      <c r="AI54" s="2">
        <v>46</v>
      </c>
      <c r="AJ54" s="53">
        <f>IF('Amputation Summary'!$O$4=2,RANK(AC54,AC$8:AC$76,1)+COUNTIF($AC$8:AC54,AC54)-1,IF('Amputation Summary'!$O$4=1,RANK(AI54,AI$8:AI$76,1)+COUNTIF($AI$8:AI54,AI54)-1))</f>
        <v>59</v>
      </c>
      <c r="AK54" s="16">
        <f>IF('Amputation Summary'!$O$4=2, X54, IF('Amputation Summary'!$O$4=1, AD54))</f>
        <v>10</v>
      </c>
      <c r="AL54" s="16">
        <f>IF('Amputation Summary'!$O$4=2, Z54, IF('Amputation Summary'!$O$4=1, AF54))</f>
        <v>5</v>
      </c>
      <c r="AM54" s="16">
        <f>IF('Amputation Summary'!$O$4=2, AB54, IF('Amputation Summary'!$O$4=1, AH54))</f>
        <v>16</v>
      </c>
      <c r="AN54">
        <v>1</v>
      </c>
      <c r="AO54" s="16">
        <f t="shared" si="10"/>
        <v>0.70000004768371582</v>
      </c>
      <c r="AP54" s="16">
        <f t="shared" si="11"/>
        <v>0</v>
      </c>
      <c r="AQ54">
        <v>33</v>
      </c>
    </row>
    <row r="55" spans="1:43" x14ac:dyDescent="0.25">
      <c r="A55" s="85" t="s">
        <v>57</v>
      </c>
      <c r="B55" s="86" t="s">
        <v>58</v>
      </c>
      <c r="C55" s="87">
        <v>16</v>
      </c>
      <c r="D55" s="87">
        <v>11</v>
      </c>
      <c r="E55" s="87">
        <v>67</v>
      </c>
      <c r="F55" s="88" t="s">
        <v>225</v>
      </c>
      <c r="G55" s="88" t="s">
        <v>852</v>
      </c>
      <c r="H55" s="90">
        <v>1.6666666269302368</v>
      </c>
      <c r="I55" s="90">
        <v>1.75</v>
      </c>
      <c r="J55" s="89" t="s">
        <v>853</v>
      </c>
      <c r="K55" s="89" t="s">
        <v>854</v>
      </c>
      <c r="L55" s="91">
        <v>1</v>
      </c>
      <c r="M55" s="91">
        <v>1</v>
      </c>
      <c r="N55" s="92">
        <v>0.88</v>
      </c>
      <c r="O55" s="92">
        <v>0.91</v>
      </c>
      <c r="P55" s="93">
        <v>3.5000000000000003E-2</v>
      </c>
      <c r="Q55" t="str">
        <f t="shared" si="12"/>
        <v>RHQ</v>
      </c>
      <c r="R55">
        <f t="shared" si="2"/>
        <v>4</v>
      </c>
      <c r="S55">
        <f t="shared" si="3"/>
        <v>4</v>
      </c>
      <c r="T55">
        <f t="shared" si="4"/>
        <v>3</v>
      </c>
      <c r="U55">
        <f t="shared" si="5"/>
        <v>3</v>
      </c>
      <c r="V55" s="53">
        <f>IF('Amputation Summary'!$Q$33=4, RANK(O55,O$8:O$76,1)+COUNTIF($O$8:O55,O55)-1, IF('Amputation Summary'!$Q$33=3, RANK(N55,N$8:N$76,1)+COUNTIF($N$8:N55,N55)-1, IF('Amputation Summary'!$Q$33=2, RANK(M55,M$8:M$76,1)+COUNTIF($M$8:M55,M55)-1, IF('Amputation Summary'!$Q$33=1, RANK(L55,L$8:L$76,1)+COUNTIF($L$8:L55,L55)-1))))</f>
        <v>49</v>
      </c>
      <c r="W55" s="13">
        <f>IF('Amputation Summary'!$Q$33=4, O55, IF('Amputation Summary'!$Q$33=3, N55, IF('Amputation Summary'!$Q$33=2, M55, IF('Amputation Summary'!$Q$33=1, L55))))</f>
        <v>0.91</v>
      </c>
      <c r="X55" s="16">
        <v>7</v>
      </c>
      <c r="Y55">
        <v>7</v>
      </c>
      <c r="Z55">
        <f t="shared" si="6"/>
        <v>0</v>
      </c>
      <c r="AA55">
        <v>42</v>
      </c>
      <c r="AB55">
        <f t="shared" si="7"/>
        <v>35</v>
      </c>
      <c r="AC55">
        <v>45</v>
      </c>
      <c r="AD55" s="16">
        <v>4</v>
      </c>
      <c r="AE55">
        <v>2</v>
      </c>
      <c r="AF55">
        <f t="shared" si="8"/>
        <v>2</v>
      </c>
      <c r="AG55">
        <v>7</v>
      </c>
      <c r="AH55">
        <f t="shared" si="9"/>
        <v>3</v>
      </c>
      <c r="AI55" s="2">
        <v>6</v>
      </c>
      <c r="AJ55" s="53">
        <f>IF('Amputation Summary'!$O$4=2,RANK(AC55,AC$8:AC$76,1)+COUNTIF($AC$8:AC55,AC55)-1,IF('Amputation Summary'!$O$4=1,RANK(AI55,AI$8:AI$76,1)+COUNTIF($AI$8:AI55,AI55)-1))</f>
        <v>45</v>
      </c>
      <c r="AK55" s="16">
        <f>IF('Amputation Summary'!$O$4=2, X55, IF('Amputation Summary'!$O$4=1, AD55))</f>
        <v>7</v>
      </c>
      <c r="AL55" s="16">
        <f>IF('Amputation Summary'!$O$4=2, Z55, IF('Amputation Summary'!$O$4=1, AF55))</f>
        <v>0</v>
      </c>
      <c r="AM55" s="16">
        <f>IF('Amputation Summary'!$O$4=2, AB55, IF('Amputation Summary'!$O$4=1, AH55))</f>
        <v>35</v>
      </c>
      <c r="AN55">
        <v>1</v>
      </c>
      <c r="AO55" s="16">
        <f t="shared" si="10"/>
        <v>0</v>
      </c>
      <c r="AP55" s="16">
        <f t="shared" si="11"/>
        <v>8.3333373069763184E-2</v>
      </c>
      <c r="AQ55">
        <v>54</v>
      </c>
    </row>
    <row r="56" spans="1:43" x14ac:dyDescent="0.25">
      <c r="A56" s="85" t="s">
        <v>151</v>
      </c>
      <c r="B56" s="86" t="s">
        <v>152</v>
      </c>
      <c r="C56" s="87">
        <v>38</v>
      </c>
      <c r="D56" s="87">
        <v>29</v>
      </c>
      <c r="E56" s="87">
        <v>106</v>
      </c>
      <c r="F56" s="88" t="s">
        <v>786</v>
      </c>
      <c r="G56" s="88" t="s">
        <v>950</v>
      </c>
      <c r="H56" s="90">
        <v>0.89999997615814209</v>
      </c>
      <c r="I56" s="90">
        <v>1.4166666269302368</v>
      </c>
      <c r="J56" s="89" t="s">
        <v>951</v>
      </c>
      <c r="K56" s="89" t="s">
        <v>952</v>
      </c>
      <c r="L56" s="91">
        <v>1</v>
      </c>
      <c r="M56" s="91">
        <v>1</v>
      </c>
      <c r="N56" s="92">
        <v>0.87</v>
      </c>
      <c r="O56" s="92">
        <v>0.9</v>
      </c>
      <c r="P56" s="93">
        <v>5.0999999999999997E-2</v>
      </c>
      <c r="Q56" t="str">
        <f t="shared" si="12"/>
        <v>RXW</v>
      </c>
      <c r="R56">
        <f t="shared" si="2"/>
        <v>4</v>
      </c>
      <c r="S56">
        <f t="shared" si="3"/>
        <v>4</v>
      </c>
      <c r="T56">
        <f t="shared" si="4"/>
        <v>3</v>
      </c>
      <c r="U56">
        <f t="shared" si="5"/>
        <v>3</v>
      </c>
      <c r="V56" s="53">
        <f>IF('Amputation Summary'!$Q$33=4, RANK(O56,O$8:O$76,1)+COUNTIF($O$8:O56,O56)-1, IF('Amputation Summary'!$Q$33=3, RANK(N56,N$8:N$76,1)+COUNTIF($N$8:N56,N56)-1, IF('Amputation Summary'!$Q$33=2, RANK(M56,M$8:M$76,1)+COUNTIF($M$8:M56,M56)-1, IF('Amputation Summary'!$Q$33=1, RANK(L56,L$8:L$76,1)+COUNTIF($L$8:L56,L56)-1))))</f>
        <v>47</v>
      </c>
      <c r="W56" s="13">
        <f>IF('Amputation Summary'!$Q$33=4, O56, IF('Amputation Summary'!$Q$33=3, N56, IF('Amputation Summary'!$Q$33=2, M56, IF('Amputation Summary'!$Q$33=1, L56))))</f>
        <v>0.9</v>
      </c>
      <c r="X56" s="16">
        <v>5</v>
      </c>
      <c r="Y56">
        <v>2</v>
      </c>
      <c r="Z56">
        <f t="shared" si="6"/>
        <v>3</v>
      </c>
      <c r="AA56">
        <v>26</v>
      </c>
      <c r="AB56">
        <f t="shared" si="7"/>
        <v>21</v>
      </c>
      <c r="AC56">
        <v>21</v>
      </c>
      <c r="AD56" s="16">
        <v>7</v>
      </c>
      <c r="AE56">
        <v>2</v>
      </c>
      <c r="AF56">
        <f t="shared" si="8"/>
        <v>5</v>
      </c>
      <c r="AG56">
        <v>16</v>
      </c>
      <c r="AH56">
        <f t="shared" si="9"/>
        <v>9</v>
      </c>
      <c r="AI56" s="2">
        <v>29</v>
      </c>
      <c r="AJ56" s="53">
        <f>IF('Amputation Summary'!$O$4=2,RANK(AC56,AC$8:AC$76,1)+COUNTIF($AC$8:AC56,AC56)-1,IF('Amputation Summary'!$O$4=1,RANK(AI56,AI$8:AI$76,1)+COUNTIF($AI$8:AI56,AI56)-1))</f>
        <v>21</v>
      </c>
      <c r="AK56" s="16">
        <f>IF('Amputation Summary'!$O$4=2, X56, IF('Amputation Summary'!$O$4=1, AD56))</f>
        <v>5</v>
      </c>
      <c r="AL56" s="16">
        <f>IF('Amputation Summary'!$O$4=2, Z56, IF('Amputation Summary'!$O$4=1, AF56))</f>
        <v>3</v>
      </c>
      <c r="AM56" s="16">
        <f>IF('Amputation Summary'!$O$4=2, AB56, IF('Amputation Summary'!$O$4=1, AH56))</f>
        <v>21</v>
      </c>
      <c r="AN56">
        <v>1</v>
      </c>
      <c r="AO56" s="16">
        <f t="shared" si="10"/>
        <v>0</v>
      </c>
      <c r="AP56" s="16">
        <f t="shared" si="11"/>
        <v>0.51666665077209473</v>
      </c>
      <c r="AQ56">
        <v>50</v>
      </c>
    </row>
    <row r="57" spans="1:43" x14ac:dyDescent="0.25">
      <c r="A57" s="85" t="s">
        <v>689</v>
      </c>
      <c r="B57" s="86" t="s">
        <v>690</v>
      </c>
      <c r="C57" s="87">
        <v>19</v>
      </c>
      <c r="D57" s="87">
        <v>23</v>
      </c>
      <c r="E57" s="87">
        <v>64</v>
      </c>
      <c r="F57" s="88" t="s">
        <v>845</v>
      </c>
      <c r="G57" s="88" t="s">
        <v>846</v>
      </c>
      <c r="H57" s="90">
        <v>0.58333331346511841</v>
      </c>
      <c r="I57" s="90">
        <v>1.0909091234207153</v>
      </c>
      <c r="J57" s="89" t="s">
        <v>847</v>
      </c>
      <c r="K57" s="89" t="s">
        <v>848</v>
      </c>
      <c r="L57" s="91">
        <v>0.89</v>
      </c>
      <c r="M57" s="91">
        <v>1</v>
      </c>
      <c r="N57" s="92">
        <v>0.95</v>
      </c>
      <c r="O57" s="92">
        <v>0.91</v>
      </c>
      <c r="P57" s="93">
        <v>5.5E-2</v>
      </c>
      <c r="Q57" t="str">
        <f t="shared" si="12"/>
        <v>RH5</v>
      </c>
      <c r="R57">
        <f t="shared" si="2"/>
        <v>2</v>
      </c>
      <c r="S57">
        <f t="shared" si="3"/>
        <v>4</v>
      </c>
      <c r="T57">
        <f t="shared" si="4"/>
        <v>4</v>
      </c>
      <c r="U57">
        <f t="shared" si="5"/>
        <v>3</v>
      </c>
      <c r="V57" s="53">
        <f>IF('Amputation Summary'!$Q$33=4, RANK(O57,O$8:O$76,1)+COUNTIF($O$8:O57,O57)-1, IF('Amputation Summary'!$Q$33=3, RANK(N57,N$8:N$76,1)+COUNTIF($N$8:N57,N57)-1, IF('Amputation Summary'!$Q$33=2, RANK(M57,M$8:M$76,1)+COUNTIF($M$8:M57,M57)-1, IF('Amputation Summary'!$Q$33=1, RANK(L57,L$8:L$76,1)+COUNTIF($L$8:L57,L57)-1))))</f>
        <v>50</v>
      </c>
      <c r="W57" s="13">
        <f>IF('Amputation Summary'!$Q$33=4, O57, IF('Amputation Summary'!$Q$33=3, N57, IF('Amputation Summary'!$Q$33=2, M57, IF('Amputation Summary'!$Q$33=1, L57))))</f>
        <v>0.91</v>
      </c>
      <c r="X57" s="16">
        <v>5</v>
      </c>
      <c r="Y57">
        <v>1</v>
      </c>
      <c r="Z57">
        <f t="shared" si="6"/>
        <v>4</v>
      </c>
      <c r="AA57">
        <v>35</v>
      </c>
      <c r="AB57">
        <f t="shared" si="7"/>
        <v>30</v>
      </c>
      <c r="AC57">
        <v>16</v>
      </c>
      <c r="AD57" s="16">
        <v>10</v>
      </c>
      <c r="AE57">
        <v>3</v>
      </c>
      <c r="AF57">
        <f t="shared" si="8"/>
        <v>7</v>
      </c>
      <c r="AG57">
        <v>13</v>
      </c>
      <c r="AH57">
        <f t="shared" si="9"/>
        <v>3</v>
      </c>
      <c r="AI57" s="2">
        <v>49</v>
      </c>
      <c r="AJ57" s="53">
        <f>IF('Amputation Summary'!$O$4=2,RANK(AC57,AC$8:AC$76,1)+COUNTIF($AC$8:AC57,AC57)-1,IF('Amputation Summary'!$O$4=1,RANK(AI57,AI$8:AI$76,1)+COUNTIF($AI$8:AI57,AI57)-1))</f>
        <v>16</v>
      </c>
      <c r="AK57" s="16">
        <f>IF('Amputation Summary'!$O$4=2, X57, IF('Amputation Summary'!$O$4=1, AD57))</f>
        <v>5</v>
      </c>
      <c r="AL57" s="16">
        <f>IF('Amputation Summary'!$O$4=2, Z57, IF('Amputation Summary'!$O$4=1, AF57))</f>
        <v>4</v>
      </c>
      <c r="AM57" s="16">
        <f>IF('Amputation Summary'!$O$4=2, AB57, IF('Amputation Summary'!$O$4=1, AH57))</f>
        <v>30</v>
      </c>
      <c r="AN57">
        <v>1</v>
      </c>
      <c r="AO57" s="16">
        <f t="shared" si="10"/>
        <v>0</v>
      </c>
      <c r="AP57" s="16">
        <f t="shared" si="11"/>
        <v>0.50757580995559692</v>
      </c>
      <c r="AQ57">
        <v>37</v>
      </c>
    </row>
    <row r="58" spans="1:43" x14ac:dyDescent="0.25">
      <c r="A58" s="85" t="s">
        <v>119</v>
      </c>
      <c r="B58" s="86" t="s">
        <v>120</v>
      </c>
      <c r="C58" s="87">
        <v>76</v>
      </c>
      <c r="D58" s="87">
        <v>67</v>
      </c>
      <c r="E58" s="87">
        <v>177</v>
      </c>
      <c r="F58" s="88" t="s">
        <v>910</v>
      </c>
      <c r="G58" s="88" t="s">
        <v>911</v>
      </c>
      <c r="H58" s="90">
        <v>2.4545454978942871</v>
      </c>
      <c r="I58" s="90">
        <v>2.9411764144897461</v>
      </c>
      <c r="J58" s="89" t="s">
        <v>912</v>
      </c>
      <c r="K58" s="89" t="s">
        <v>913</v>
      </c>
      <c r="L58" s="91">
        <v>0.89</v>
      </c>
      <c r="M58" s="91">
        <v>0.9</v>
      </c>
      <c r="N58" s="92">
        <v>0.76</v>
      </c>
      <c r="O58" s="92">
        <v>0.67</v>
      </c>
      <c r="P58" s="93">
        <v>1.9E-2</v>
      </c>
      <c r="Q58" t="str">
        <f t="shared" si="12"/>
        <v>RTR</v>
      </c>
      <c r="R58">
        <f t="shared" si="2"/>
        <v>2</v>
      </c>
      <c r="S58">
        <f t="shared" si="3"/>
        <v>2</v>
      </c>
      <c r="T58">
        <f t="shared" si="4"/>
        <v>2</v>
      </c>
      <c r="U58">
        <f t="shared" si="5"/>
        <v>2</v>
      </c>
      <c r="V58" s="53">
        <f>IF('Amputation Summary'!$Q$33=4, RANK(O58,O$8:O$76,1)+COUNTIF($O$8:O58,O58)-1, IF('Amputation Summary'!$Q$33=3, RANK(N58,N$8:N$76,1)+COUNTIF($N$8:N58,N58)-1, IF('Amputation Summary'!$Q$33=2, RANK(M58,M$8:M$76,1)+COUNTIF($M$8:M58,M58)-1, IF('Amputation Summary'!$Q$33=1, RANK(L58,L$8:L$76,1)+COUNTIF($L$8:L58,L58)-1))))</f>
        <v>26</v>
      </c>
      <c r="W58" s="13">
        <f>IF('Amputation Summary'!$Q$33=4, O58, IF('Amputation Summary'!$Q$33=3, N58, IF('Amputation Summary'!$Q$33=2, M58, IF('Amputation Summary'!$Q$33=1, L58))))</f>
        <v>0.67</v>
      </c>
      <c r="X58" s="16">
        <v>8</v>
      </c>
      <c r="Y58">
        <v>3</v>
      </c>
      <c r="Z58">
        <f t="shared" si="6"/>
        <v>5</v>
      </c>
      <c r="AA58">
        <v>26</v>
      </c>
      <c r="AB58">
        <f t="shared" si="7"/>
        <v>18</v>
      </c>
      <c r="AC58">
        <v>47</v>
      </c>
      <c r="AD58" s="16">
        <v>7</v>
      </c>
      <c r="AE58">
        <v>3</v>
      </c>
      <c r="AF58">
        <f t="shared" si="8"/>
        <v>4</v>
      </c>
      <c r="AG58">
        <v>14</v>
      </c>
      <c r="AH58">
        <f t="shared" si="9"/>
        <v>7</v>
      </c>
      <c r="AI58" s="2">
        <v>31</v>
      </c>
      <c r="AJ58" s="53">
        <f>IF('Amputation Summary'!$O$4=2,RANK(AC58,AC$8:AC$76,1)+COUNTIF($AC$8:AC58,AC58)-1,IF('Amputation Summary'!$O$4=1,RANK(AI58,AI$8:AI$76,1)+COUNTIF($AI$8:AI58,AI58)-1))</f>
        <v>47</v>
      </c>
      <c r="AK58" s="16">
        <f>IF('Amputation Summary'!$O$4=2, X58, IF('Amputation Summary'!$O$4=1, AD58))</f>
        <v>8</v>
      </c>
      <c r="AL58" s="16">
        <f>IF('Amputation Summary'!$O$4=2, Z58, IF('Amputation Summary'!$O$4=1, AF58))</f>
        <v>5</v>
      </c>
      <c r="AM58" s="16">
        <f>IF('Amputation Summary'!$O$4=2, AB58, IF('Amputation Summary'!$O$4=1, AH58))</f>
        <v>18</v>
      </c>
      <c r="AN58">
        <v>1</v>
      </c>
      <c r="AO58" s="16">
        <f t="shared" si="10"/>
        <v>0</v>
      </c>
      <c r="AP58" s="16">
        <f t="shared" si="11"/>
        <v>0.48663091659545898</v>
      </c>
      <c r="AQ58">
        <v>60</v>
      </c>
    </row>
    <row r="59" spans="1:43" x14ac:dyDescent="0.25">
      <c r="A59" s="85" t="s">
        <v>674</v>
      </c>
      <c r="B59" s="86" t="s">
        <v>675</v>
      </c>
      <c r="C59" s="87">
        <v>91</v>
      </c>
      <c r="D59" s="87">
        <v>91</v>
      </c>
      <c r="E59" s="87">
        <v>221</v>
      </c>
      <c r="F59" s="88" t="s">
        <v>796</v>
      </c>
      <c r="G59" s="88" t="s">
        <v>797</v>
      </c>
      <c r="H59" s="90">
        <v>1.3947368860244751</v>
      </c>
      <c r="I59" s="90">
        <v>0.89583331346511841</v>
      </c>
      <c r="J59" s="89" t="s">
        <v>798</v>
      </c>
      <c r="K59" s="89" t="s">
        <v>799</v>
      </c>
      <c r="L59" s="91">
        <v>0.73</v>
      </c>
      <c r="M59" s="91">
        <v>0.54</v>
      </c>
      <c r="N59" s="92">
        <v>0.74</v>
      </c>
      <c r="O59" s="92">
        <v>0.52</v>
      </c>
      <c r="P59" s="93">
        <v>4.5999999999999999E-2</v>
      </c>
      <c r="Q59" t="str">
        <f t="shared" si="12"/>
        <v>R0B</v>
      </c>
      <c r="R59">
        <f t="shared" si="2"/>
        <v>1</v>
      </c>
      <c r="S59">
        <f t="shared" si="3"/>
        <v>1</v>
      </c>
      <c r="T59">
        <f t="shared" si="4"/>
        <v>2</v>
      </c>
      <c r="U59">
        <f t="shared" si="5"/>
        <v>1</v>
      </c>
      <c r="V59" s="53">
        <f>IF('Amputation Summary'!$Q$33=4, RANK(O59,O$8:O$76,1)+COUNTIF($O$8:O59,O59)-1, IF('Amputation Summary'!$Q$33=3, RANK(N59,N$8:N$76,1)+COUNTIF($N$8:N59,N59)-1, IF('Amputation Summary'!$Q$33=2, RANK(M59,M$8:M$76,1)+COUNTIF($M$8:M59,M59)-1, IF('Amputation Summary'!$Q$33=1, RANK(L59,L$8:L$76,1)+COUNTIF($L$8:L59,L59)-1))))</f>
        <v>15</v>
      </c>
      <c r="W59" s="13">
        <f>IF('Amputation Summary'!$Q$33=4, O59, IF('Amputation Summary'!$Q$33=3, N59, IF('Amputation Summary'!$Q$33=2, M59, IF('Amputation Summary'!$Q$33=1, L59))))</f>
        <v>0.52</v>
      </c>
      <c r="X59" s="16">
        <v>7</v>
      </c>
      <c r="Y59">
        <v>3</v>
      </c>
      <c r="Z59">
        <f t="shared" si="6"/>
        <v>4</v>
      </c>
      <c r="AA59">
        <v>19</v>
      </c>
      <c r="AB59">
        <f t="shared" si="7"/>
        <v>12</v>
      </c>
      <c r="AC59">
        <v>40</v>
      </c>
      <c r="AD59" s="16">
        <v>6</v>
      </c>
      <c r="AE59">
        <v>2</v>
      </c>
      <c r="AF59">
        <f t="shared" si="8"/>
        <v>4</v>
      </c>
      <c r="AG59">
        <v>14</v>
      </c>
      <c r="AH59">
        <f t="shared" si="9"/>
        <v>8</v>
      </c>
      <c r="AI59" s="2">
        <v>20</v>
      </c>
      <c r="AJ59" s="53">
        <f>IF('Amputation Summary'!$O$4=2,RANK(AC59,AC$8:AC$76,1)+COUNTIF($AC$8:AC59,AC59)-1,IF('Amputation Summary'!$O$4=1,RANK(AI59,AI$8:AI$76,1)+COUNTIF($AI$8:AI59,AI59)-1))</f>
        <v>40</v>
      </c>
      <c r="AK59" s="16">
        <f>IF('Amputation Summary'!$O$4=2, X59, IF('Amputation Summary'!$O$4=1, AD59))</f>
        <v>7</v>
      </c>
      <c r="AL59" s="16">
        <f>IF('Amputation Summary'!$O$4=2, Z59, IF('Amputation Summary'!$O$4=1, AF59))</f>
        <v>4</v>
      </c>
      <c r="AM59" s="16">
        <f>IF('Amputation Summary'!$O$4=2, AB59, IF('Amputation Summary'!$O$4=1, AH59))</f>
        <v>12</v>
      </c>
      <c r="AN59">
        <v>1</v>
      </c>
      <c r="AO59" s="16">
        <f t="shared" si="10"/>
        <v>0.49890357255935669</v>
      </c>
      <c r="AP59" s="16">
        <f t="shared" si="11"/>
        <v>0</v>
      </c>
      <c r="AQ59">
        <v>28</v>
      </c>
    </row>
    <row r="60" spans="1:43" x14ac:dyDescent="0.25">
      <c r="A60" s="85" t="s">
        <v>65</v>
      </c>
      <c r="B60" s="86" t="s">
        <v>66</v>
      </c>
      <c r="C60" s="87">
        <v>46</v>
      </c>
      <c r="D60" s="87">
        <v>45</v>
      </c>
      <c r="E60" s="87">
        <v>132</v>
      </c>
      <c r="F60" s="88" t="s">
        <v>670</v>
      </c>
      <c r="G60" s="88" t="s">
        <v>283</v>
      </c>
      <c r="H60" s="90">
        <v>2.2857143878936768</v>
      </c>
      <c r="I60" s="90">
        <v>1.25</v>
      </c>
      <c r="J60" s="89" t="s">
        <v>858</v>
      </c>
      <c r="K60" s="89" t="s">
        <v>859</v>
      </c>
      <c r="L60" s="91">
        <v>1</v>
      </c>
      <c r="M60" s="91">
        <v>0.98</v>
      </c>
      <c r="N60" s="92">
        <v>0.93</v>
      </c>
      <c r="O60" s="92">
        <v>0.84</v>
      </c>
      <c r="P60" s="93">
        <v>0.04</v>
      </c>
      <c r="Q60" t="str">
        <f t="shared" si="12"/>
        <v>RJ7</v>
      </c>
      <c r="R60">
        <f t="shared" si="2"/>
        <v>4</v>
      </c>
      <c r="S60">
        <f t="shared" si="3"/>
        <v>3</v>
      </c>
      <c r="T60">
        <f t="shared" si="4"/>
        <v>4</v>
      </c>
      <c r="U60">
        <f t="shared" si="5"/>
        <v>3</v>
      </c>
      <c r="V60" s="53">
        <f>IF('Amputation Summary'!$Q$33=4, RANK(O60,O$8:O$76,1)+COUNTIF($O$8:O60,O60)-1, IF('Amputation Summary'!$Q$33=3, RANK(N60,N$8:N$76,1)+COUNTIF($N$8:N60,N60)-1, IF('Amputation Summary'!$Q$33=2, RANK(M60,M$8:M$76,1)+COUNTIF($M$8:M60,M60)-1, IF('Amputation Summary'!$Q$33=1, RANK(L60,L$8:L$76,1)+COUNTIF($L$8:L60,L60)-1))))</f>
        <v>41</v>
      </c>
      <c r="W60" s="13">
        <f>IF('Amputation Summary'!$Q$33=4, O60, IF('Amputation Summary'!$Q$33=3, N60, IF('Amputation Summary'!$Q$33=2, M60, IF('Amputation Summary'!$Q$33=1, L60))))</f>
        <v>0.84</v>
      </c>
      <c r="X60" s="16">
        <v>2</v>
      </c>
      <c r="Y60">
        <v>2</v>
      </c>
      <c r="Z60">
        <f t="shared" si="6"/>
        <v>0</v>
      </c>
      <c r="AA60">
        <v>6</v>
      </c>
      <c r="AB60">
        <f t="shared" si="7"/>
        <v>4</v>
      </c>
      <c r="AC60">
        <v>3</v>
      </c>
      <c r="AD60" s="16">
        <v>8</v>
      </c>
      <c r="AE60">
        <v>3</v>
      </c>
      <c r="AF60">
        <f t="shared" si="8"/>
        <v>5</v>
      </c>
      <c r="AG60">
        <v>16</v>
      </c>
      <c r="AH60">
        <f t="shared" si="9"/>
        <v>8</v>
      </c>
      <c r="AI60" s="2">
        <v>39</v>
      </c>
      <c r="AJ60" s="53">
        <f>IF('Amputation Summary'!$O$4=2,RANK(AC60,AC$8:AC$76,1)+COUNTIF($AC$8:AC60,AC60)-1,IF('Amputation Summary'!$O$4=1,RANK(AI60,AI$8:AI$76,1)+COUNTIF($AI$8:AI60,AI60)-1))</f>
        <v>3</v>
      </c>
      <c r="AK60" s="16">
        <f>IF('Amputation Summary'!$O$4=2, X60, IF('Amputation Summary'!$O$4=1, AD60))</f>
        <v>2</v>
      </c>
      <c r="AL60" s="16">
        <f>IF('Amputation Summary'!$O$4=2, Z60, IF('Amputation Summary'!$O$4=1, AF60))</f>
        <v>0</v>
      </c>
      <c r="AM60" s="16">
        <f>IF('Amputation Summary'!$O$4=2, AB60, IF('Amputation Summary'!$O$4=1, AH60))</f>
        <v>4</v>
      </c>
      <c r="AN60">
        <v>1</v>
      </c>
      <c r="AO60" s="16">
        <f t="shared" si="10"/>
        <v>1.0357143878936768</v>
      </c>
      <c r="AP60" s="16">
        <f t="shared" si="11"/>
        <v>0</v>
      </c>
      <c r="AQ60">
        <v>47</v>
      </c>
    </row>
    <row r="61" spans="1:43" x14ac:dyDescent="0.25">
      <c r="A61" s="85" t="s">
        <v>2</v>
      </c>
      <c r="B61" s="86" t="s">
        <v>196</v>
      </c>
      <c r="C61" s="87">
        <v>114</v>
      </c>
      <c r="D61" s="87">
        <v>95</v>
      </c>
      <c r="E61" s="87">
        <v>309</v>
      </c>
      <c r="F61" s="88" t="s">
        <v>781</v>
      </c>
      <c r="G61" s="88" t="s">
        <v>782</v>
      </c>
      <c r="H61" s="90">
        <v>1.5333333015441895</v>
      </c>
      <c r="I61" s="90">
        <v>1.5675675868988037</v>
      </c>
      <c r="J61" s="89" t="s">
        <v>783</v>
      </c>
      <c r="K61" s="89" t="s">
        <v>784</v>
      </c>
      <c r="L61" s="91">
        <v>0.82</v>
      </c>
      <c r="M61" s="91">
        <v>0.47</v>
      </c>
      <c r="N61" s="92">
        <v>0.78</v>
      </c>
      <c r="O61" s="92">
        <v>0.82</v>
      </c>
      <c r="P61" s="93">
        <v>6.8000000000000005E-2</v>
      </c>
      <c r="Q61" t="str">
        <f t="shared" si="12"/>
        <v>7A3</v>
      </c>
      <c r="R61">
        <f t="shared" si="2"/>
        <v>2</v>
      </c>
      <c r="S61">
        <f t="shared" si="3"/>
        <v>1</v>
      </c>
      <c r="T61">
        <f t="shared" si="4"/>
        <v>2</v>
      </c>
      <c r="U61">
        <f t="shared" si="5"/>
        <v>3</v>
      </c>
      <c r="V61" s="53">
        <f>IF('Amputation Summary'!$Q$33=4, RANK(O61,O$8:O$76,1)+COUNTIF($O$8:O61,O61)-1, IF('Amputation Summary'!$Q$33=3, RANK(N61,N$8:N$76,1)+COUNTIF($N$8:N61,N61)-1, IF('Amputation Summary'!$Q$33=2, RANK(M61,M$8:M$76,1)+COUNTIF($M$8:M61,M61)-1, IF('Amputation Summary'!$Q$33=1, RANK(L61,L$8:L$76,1)+COUNTIF($L$8:L61,L61)-1))))</f>
        <v>39</v>
      </c>
      <c r="W61" s="13">
        <f>IF('Amputation Summary'!$Q$33=4, O61, IF('Amputation Summary'!$Q$33=3, N61, IF('Amputation Summary'!$Q$33=2, M61, IF('Amputation Summary'!$Q$33=1, L61))))</f>
        <v>0.82</v>
      </c>
      <c r="X61" s="16">
        <v>12</v>
      </c>
      <c r="Y61">
        <v>5</v>
      </c>
      <c r="Z61">
        <f t="shared" si="6"/>
        <v>7</v>
      </c>
      <c r="AA61">
        <v>22</v>
      </c>
      <c r="AB61">
        <f t="shared" si="7"/>
        <v>10</v>
      </c>
      <c r="AC61">
        <v>63</v>
      </c>
      <c r="AD61" s="16">
        <v>8</v>
      </c>
      <c r="AE61">
        <v>4</v>
      </c>
      <c r="AF61">
        <f t="shared" si="8"/>
        <v>4</v>
      </c>
      <c r="AG61">
        <v>21</v>
      </c>
      <c r="AH61">
        <f t="shared" si="9"/>
        <v>13</v>
      </c>
      <c r="AI61" s="2">
        <v>41</v>
      </c>
      <c r="AJ61" s="53">
        <f>IF('Amputation Summary'!$O$4=2,RANK(AC61,AC$8:AC$76,1)+COUNTIF($AC$8:AC61,AC61)-1,IF('Amputation Summary'!$O$4=1,RANK(AI61,AI$8:AI$76,1)+COUNTIF($AI$8:AI61,AI61)-1))</f>
        <v>63</v>
      </c>
      <c r="AK61" s="16">
        <f>IF('Amputation Summary'!$O$4=2, X61, IF('Amputation Summary'!$O$4=1, AD61))</f>
        <v>12</v>
      </c>
      <c r="AL61" s="16">
        <f>IF('Amputation Summary'!$O$4=2, Z61, IF('Amputation Summary'!$O$4=1, AF61))</f>
        <v>7</v>
      </c>
      <c r="AM61" s="16">
        <f>IF('Amputation Summary'!$O$4=2, AB61, IF('Amputation Summary'!$O$4=1, AH61))</f>
        <v>10</v>
      </c>
      <c r="AN61">
        <v>1</v>
      </c>
      <c r="AO61" s="16">
        <f t="shared" si="10"/>
        <v>0</v>
      </c>
      <c r="AP61" s="16">
        <f t="shared" si="11"/>
        <v>3.4234285354614258E-2</v>
      </c>
      <c r="AQ61">
        <v>52</v>
      </c>
    </row>
    <row r="62" spans="1:43" x14ac:dyDescent="0.25">
      <c r="A62" s="85" t="s">
        <v>84</v>
      </c>
      <c r="B62" s="86" t="s">
        <v>85</v>
      </c>
      <c r="C62" s="87">
        <v>59</v>
      </c>
      <c r="D62" s="87">
        <v>73</v>
      </c>
      <c r="E62" s="87">
        <v>187</v>
      </c>
      <c r="F62" s="88" t="s">
        <v>292</v>
      </c>
      <c r="G62" s="88" t="s">
        <v>814</v>
      </c>
      <c r="H62" s="90">
        <v>0.90322577953338623</v>
      </c>
      <c r="I62" s="90">
        <v>0.73809522390365601</v>
      </c>
      <c r="J62" s="89" t="s">
        <v>865</v>
      </c>
      <c r="K62" s="89" t="s">
        <v>878</v>
      </c>
      <c r="L62" s="91">
        <v>0.8</v>
      </c>
      <c r="M62" s="91">
        <v>0.68</v>
      </c>
      <c r="N62" s="92">
        <v>0.81</v>
      </c>
      <c r="O62" s="92">
        <v>0.71</v>
      </c>
      <c r="P62" s="93">
        <v>8.1000000000000003E-2</v>
      </c>
      <c r="Q62" t="str">
        <f t="shared" si="12"/>
        <v>RNA</v>
      </c>
      <c r="R62">
        <f t="shared" si="2"/>
        <v>2</v>
      </c>
      <c r="S62">
        <f t="shared" si="3"/>
        <v>1</v>
      </c>
      <c r="T62">
        <f t="shared" si="4"/>
        <v>2</v>
      </c>
      <c r="U62">
        <f t="shared" si="5"/>
        <v>2</v>
      </c>
      <c r="V62" s="53">
        <f>IF('Amputation Summary'!$Q$33=4, RANK(O62,O$8:O$76,1)+COUNTIF($O$8:O62,O62)-1, IF('Amputation Summary'!$Q$33=3, RANK(N62,N$8:N$76,1)+COUNTIF($N$8:N62,N62)-1, IF('Amputation Summary'!$Q$33=2, RANK(M62,M$8:M$76,1)+COUNTIF($M$8:M62,M62)-1, IF('Amputation Summary'!$Q$33=1, RANK(L62,L$8:L$76,1)+COUNTIF($L$8:L62,L62)-1))))</f>
        <v>29</v>
      </c>
      <c r="W62" s="13">
        <f>IF('Amputation Summary'!$Q$33=4, O62, IF('Amputation Summary'!$Q$33=3, N62, IF('Amputation Summary'!$Q$33=2, M62, IF('Amputation Summary'!$Q$33=1, L62))))</f>
        <v>0.71</v>
      </c>
      <c r="X62" s="16">
        <v>4</v>
      </c>
      <c r="Y62">
        <v>1</v>
      </c>
      <c r="Z62">
        <f t="shared" si="6"/>
        <v>3</v>
      </c>
      <c r="AA62">
        <v>15</v>
      </c>
      <c r="AB62">
        <f t="shared" si="7"/>
        <v>11</v>
      </c>
      <c r="AC62">
        <v>7</v>
      </c>
      <c r="AD62" s="16">
        <v>5</v>
      </c>
      <c r="AE62">
        <v>2</v>
      </c>
      <c r="AF62">
        <f t="shared" si="8"/>
        <v>3</v>
      </c>
      <c r="AG62">
        <v>10</v>
      </c>
      <c r="AH62">
        <f t="shared" si="9"/>
        <v>5</v>
      </c>
      <c r="AI62" s="2">
        <v>14</v>
      </c>
      <c r="AJ62" s="53">
        <f>IF('Amputation Summary'!$O$4=2,RANK(AC62,AC$8:AC$76,1)+COUNTIF($AC$8:AC62,AC62)-1,IF('Amputation Summary'!$O$4=1,RANK(AI62,AI$8:AI$76,1)+COUNTIF($AI$8:AI62,AI62)-1))</f>
        <v>7</v>
      </c>
      <c r="AK62" s="16">
        <f>IF('Amputation Summary'!$O$4=2, X62, IF('Amputation Summary'!$O$4=1, AD62))</f>
        <v>4</v>
      </c>
      <c r="AL62" s="16">
        <f>IF('Amputation Summary'!$O$4=2, Z62, IF('Amputation Summary'!$O$4=1, AF62))</f>
        <v>3</v>
      </c>
      <c r="AM62" s="16">
        <f>IF('Amputation Summary'!$O$4=2, AB62, IF('Amputation Summary'!$O$4=1, AH62))</f>
        <v>11</v>
      </c>
      <c r="AN62">
        <v>1</v>
      </c>
      <c r="AO62" s="16">
        <f t="shared" si="10"/>
        <v>0.16513055562973022</v>
      </c>
      <c r="AP62" s="16">
        <f t="shared" si="11"/>
        <v>0</v>
      </c>
      <c r="AQ62">
        <v>22</v>
      </c>
    </row>
    <row r="63" spans="1:43" x14ac:dyDescent="0.25">
      <c r="A63" s="85" t="s">
        <v>15</v>
      </c>
      <c r="B63" s="86" t="s">
        <v>16</v>
      </c>
      <c r="C63" s="87">
        <v>1</v>
      </c>
      <c r="D63" s="87">
        <v>0</v>
      </c>
      <c r="E63" s="87">
        <v>7</v>
      </c>
      <c r="F63" s="94" t="s">
        <v>346</v>
      </c>
      <c r="G63" s="94" t="s">
        <v>346</v>
      </c>
      <c r="H63" s="94" t="e">
        <v>#VALUE!</v>
      </c>
      <c r="I63" s="94" t="e">
        <v>#VALUE!</v>
      </c>
      <c r="J63" s="89" t="s">
        <v>346</v>
      </c>
      <c r="K63" s="89" t="s">
        <v>346</v>
      </c>
      <c r="L63" s="94" t="s">
        <v>346</v>
      </c>
      <c r="M63" s="94" t="s">
        <v>346</v>
      </c>
      <c r="N63" s="94" t="s">
        <v>346</v>
      </c>
      <c r="O63" s="94" t="s">
        <v>346</v>
      </c>
      <c r="P63" s="93">
        <v>0.188</v>
      </c>
      <c r="Q63" t="str">
        <f t="shared" si="12"/>
        <v>RA9</v>
      </c>
      <c r="R63">
        <f t="shared" si="2"/>
        <v>4</v>
      </c>
      <c r="S63">
        <f t="shared" si="3"/>
        <v>4</v>
      </c>
      <c r="T63">
        <f t="shared" si="4"/>
        <v>4</v>
      </c>
      <c r="U63">
        <f t="shared" si="5"/>
        <v>4</v>
      </c>
      <c r="V63" s="53" t="e">
        <f>IF('Amputation Summary'!$Q$33=4, RANK(O63,O$8:O$76,1)+COUNTIF($O$8:O63,O63)-1, IF('Amputation Summary'!$Q$33=3, RANK(N63,N$8:N$76,1)+COUNTIF($N$8:N63,N63)-1, IF('Amputation Summary'!$Q$33=2, RANK(M63,M$8:M$76,1)+COUNTIF($M$8:M63,M63)-1, IF('Amputation Summary'!$Q$33=1, RANK(L63,L$8:L$76,1)+COUNTIF($L$8:L63,L63)-1))))</f>
        <v>#VALUE!</v>
      </c>
      <c r="W63" s="13" t="str">
        <f>IF('Amputation Summary'!$Q$33=4, O63, IF('Amputation Summary'!$Q$33=3, N63, IF('Amputation Summary'!$Q$33=2, M63, IF('Amputation Summary'!$Q$33=1, L63))))</f>
        <v>xx</v>
      </c>
      <c r="X63" t="s">
        <v>346</v>
      </c>
      <c r="Y63" t="e">
        <v>#VALUE!</v>
      </c>
      <c r="Z63" t="e">
        <f t="shared" si="6"/>
        <v>#VALUE!</v>
      </c>
      <c r="AA63" t="e">
        <v>#VALUE!</v>
      </c>
      <c r="AB63" t="e">
        <f t="shared" si="7"/>
        <v>#VALUE!</v>
      </c>
      <c r="AC63" t="s">
        <v>335</v>
      </c>
      <c r="AD63" t="s">
        <v>346</v>
      </c>
      <c r="AE63" t="e">
        <v>#VALUE!</v>
      </c>
      <c r="AF63" t="e">
        <f t="shared" si="8"/>
        <v>#VALUE!</v>
      </c>
      <c r="AG63" t="e">
        <v>#VALUE!</v>
      </c>
      <c r="AH63" t="e">
        <f t="shared" si="9"/>
        <v>#VALUE!</v>
      </c>
      <c r="AI63" s="2" t="s">
        <v>335</v>
      </c>
      <c r="AJ63" s="53" t="e">
        <f>IF('Amputation Summary'!$O$4=2,RANK(AC63,AC$8:AC$76,1)+COUNTIF($AC$8:AC63,AC63)-1,IF('Amputation Summary'!$O$4=1,RANK(AI63,AI$8:AI$76,1)+COUNTIF($AI$8:AI63,AI63)-1))</f>
        <v>#VALUE!</v>
      </c>
      <c r="AK63" s="16" t="str">
        <f>IF('Amputation Summary'!$O$4=2, X63, IF('Amputation Summary'!$O$4=1, AD63))</f>
        <v>xx</v>
      </c>
      <c r="AL63" s="16" t="e">
        <f>IF('Amputation Summary'!$O$4=2, Z63, IF('Amputation Summary'!$O$4=1, AF63))</f>
        <v>#VALUE!</v>
      </c>
      <c r="AM63" s="16" t="e">
        <f>IF('Amputation Summary'!$O$4=2, AB63, IF('Amputation Summary'!$O$4=1, AH63))</f>
        <v>#VALUE!</v>
      </c>
      <c r="AN63">
        <v>1</v>
      </c>
      <c r="AO63" s="16" t="e">
        <f t="shared" si="10"/>
        <v>#VALUE!</v>
      </c>
      <c r="AP63" s="16" t="e">
        <f t="shared" si="11"/>
        <v>#VALUE!</v>
      </c>
      <c r="AQ63" s="52" t="e">
        <v>#VALUE!</v>
      </c>
    </row>
    <row r="64" spans="1:43" x14ac:dyDescent="0.25">
      <c r="A64" s="85" t="s">
        <v>129</v>
      </c>
      <c r="B64" s="86" t="s">
        <v>130</v>
      </c>
      <c r="C64" s="87">
        <v>40</v>
      </c>
      <c r="D64" s="87">
        <v>38</v>
      </c>
      <c r="E64" s="87">
        <v>131</v>
      </c>
      <c r="F64" s="88" t="s">
        <v>926</v>
      </c>
      <c r="G64" s="88" t="s">
        <v>839</v>
      </c>
      <c r="H64" s="90">
        <v>1.8571428060531616</v>
      </c>
      <c r="I64" s="90">
        <v>3.75</v>
      </c>
      <c r="J64" s="89" t="s">
        <v>927</v>
      </c>
      <c r="K64" s="89" t="s">
        <v>928</v>
      </c>
      <c r="L64" s="91">
        <v>0.6</v>
      </c>
      <c r="M64" s="91">
        <v>0.74</v>
      </c>
      <c r="N64" s="92">
        <v>0.93</v>
      </c>
      <c r="O64" s="92">
        <v>0.97</v>
      </c>
      <c r="P64" s="93">
        <v>8.2000000000000003E-2</v>
      </c>
      <c r="Q64" t="str">
        <f t="shared" si="12"/>
        <v>RWD</v>
      </c>
      <c r="R64">
        <f t="shared" si="2"/>
        <v>1</v>
      </c>
      <c r="S64">
        <f t="shared" si="3"/>
        <v>1</v>
      </c>
      <c r="T64">
        <f t="shared" si="4"/>
        <v>4</v>
      </c>
      <c r="U64">
        <f t="shared" si="5"/>
        <v>4</v>
      </c>
      <c r="V64" s="53">
        <f>IF('Amputation Summary'!$Q$33=4, RANK(O64,O$8:O$76,1)+COUNTIF($O$8:O64,O64)-1, IF('Amputation Summary'!$Q$33=3, RANK(N64,N$8:N$76,1)+COUNTIF($N$8:N64,N64)-1, IF('Amputation Summary'!$Q$33=2, RANK(M64,M$8:M$76,1)+COUNTIF($M$8:M64,M64)-1, IF('Amputation Summary'!$Q$33=1, RANK(L64,L$8:L$76,1)+COUNTIF($L$8:L64,L64)-1))))</f>
        <v>58</v>
      </c>
      <c r="W64" s="13">
        <f>IF('Amputation Summary'!$Q$33=4, O64, IF('Amputation Summary'!$Q$33=3, N64, IF('Amputation Summary'!$Q$33=2, M64, IF('Amputation Summary'!$Q$33=1, L64))))</f>
        <v>0.97</v>
      </c>
      <c r="X64" s="16">
        <v>6</v>
      </c>
      <c r="Y64">
        <v>2</v>
      </c>
      <c r="Z64">
        <f t="shared" si="6"/>
        <v>4</v>
      </c>
      <c r="AA64">
        <v>18</v>
      </c>
      <c r="AB64">
        <f t="shared" si="7"/>
        <v>12</v>
      </c>
      <c r="AC64">
        <v>25</v>
      </c>
      <c r="AD64" s="16">
        <v>12</v>
      </c>
      <c r="AE64">
        <v>4</v>
      </c>
      <c r="AF64">
        <f t="shared" si="8"/>
        <v>8</v>
      </c>
      <c r="AG64">
        <v>25</v>
      </c>
      <c r="AH64">
        <f t="shared" si="9"/>
        <v>13</v>
      </c>
      <c r="AI64" s="2">
        <v>56</v>
      </c>
      <c r="AJ64" s="53">
        <f>IF('Amputation Summary'!$O$4=2,RANK(AC64,AC$8:AC$76,1)+COUNTIF($AC$8:AC64,AC64)-1,IF('Amputation Summary'!$O$4=1,RANK(AI64,AI$8:AI$76,1)+COUNTIF($AI$8:AI64,AI64)-1))</f>
        <v>25</v>
      </c>
      <c r="AK64" s="16">
        <f>IF('Amputation Summary'!$O$4=2, X64, IF('Amputation Summary'!$O$4=1, AD64))</f>
        <v>6</v>
      </c>
      <c r="AL64" s="16">
        <f>IF('Amputation Summary'!$O$4=2, Z64, IF('Amputation Summary'!$O$4=1, AF64))</f>
        <v>4</v>
      </c>
      <c r="AM64" s="16">
        <f>IF('Amputation Summary'!$O$4=2, AB64, IF('Amputation Summary'!$O$4=1, AH64))</f>
        <v>12</v>
      </c>
      <c r="AN64">
        <v>1</v>
      </c>
      <c r="AO64" s="16">
        <f t="shared" si="10"/>
        <v>0</v>
      </c>
      <c r="AP64" s="16">
        <f t="shared" si="11"/>
        <v>1.8928571939468384</v>
      </c>
      <c r="AQ64">
        <v>62</v>
      </c>
    </row>
    <row r="65" spans="1:43" x14ac:dyDescent="0.25">
      <c r="A65" s="85" t="s">
        <v>67</v>
      </c>
      <c r="B65" s="86" t="s">
        <v>68</v>
      </c>
      <c r="C65" s="87">
        <v>82</v>
      </c>
      <c r="D65" s="87">
        <v>85</v>
      </c>
      <c r="E65" s="87">
        <v>258</v>
      </c>
      <c r="F65" s="88" t="s">
        <v>212</v>
      </c>
      <c r="G65" s="88" t="s">
        <v>860</v>
      </c>
      <c r="H65" s="90">
        <v>1.1025640964508057</v>
      </c>
      <c r="I65" s="90">
        <v>0.84782606363296509</v>
      </c>
      <c r="J65" s="89" t="s">
        <v>861</v>
      </c>
      <c r="K65" s="89" t="s">
        <v>862</v>
      </c>
      <c r="L65" s="91">
        <v>1</v>
      </c>
      <c r="M65" s="91">
        <v>0.95</v>
      </c>
      <c r="N65" s="92">
        <v>0.94</v>
      </c>
      <c r="O65" s="92">
        <v>0.94</v>
      </c>
      <c r="P65" s="93">
        <v>7.2999999999999995E-2</v>
      </c>
      <c r="Q65" t="str">
        <f t="shared" si="12"/>
        <v>RJE</v>
      </c>
      <c r="R65">
        <f t="shared" si="2"/>
        <v>4</v>
      </c>
      <c r="S65">
        <f t="shared" si="3"/>
        <v>3</v>
      </c>
      <c r="T65">
        <f t="shared" si="4"/>
        <v>4</v>
      </c>
      <c r="U65">
        <f t="shared" si="5"/>
        <v>4</v>
      </c>
      <c r="V65" s="53">
        <f>IF('Amputation Summary'!$Q$33=4, RANK(O65,O$8:O$76,1)+COUNTIF($O$8:O65,O65)-1, IF('Amputation Summary'!$Q$33=3, RANK(N65,N$8:N$76,1)+COUNTIF($N$8:N65,N65)-1, IF('Amputation Summary'!$Q$33=2, RANK(M65,M$8:M$76,1)+COUNTIF($M$8:M65,M65)-1, IF('Amputation Summary'!$Q$33=1, RANK(L65,L$8:L$76,1)+COUNTIF($L$8:L65,L65)-1))))</f>
        <v>52</v>
      </c>
      <c r="W65" s="13">
        <f>IF('Amputation Summary'!$Q$33=4, O65, IF('Amputation Summary'!$Q$33=3, N65, IF('Amputation Summary'!$Q$33=2, M65, IF('Amputation Summary'!$Q$33=1, L65))))</f>
        <v>0.94</v>
      </c>
      <c r="X65" s="16">
        <v>5</v>
      </c>
      <c r="Y65">
        <v>1</v>
      </c>
      <c r="Z65">
        <f t="shared" si="6"/>
        <v>4</v>
      </c>
      <c r="AA65">
        <v>10</v>
      </c>
      <c r="AB65">
        <f t="shared" si="7"/>
        <v>5</v>
      </c>
      <c r="AC65">
        <v>15</v>
      </c>
      <c r="AD65" s="16">
        <v>4</v>
      </c>
      <c r="AE65">
        <v>2</v>
      </c>
      <c r="AF65">
        <f t="shared" si="8"/>
        <v>2</v>
      </c>
      <c r="AG65">
        <v>8</v>
      </c>
      <c r="AH65">
        <f t="shared" si="9"/>
        <v>4</v>
      </c>
      <c r="AI65" s="2">
        <v>8</v>
      </c>
      <c r="AJ65" s="53">
        <f>IF('Amputation Summary'!$O$4=2,RANK(AC65,AC$8:AC$76,1)+COUNTIF($AC$8:AC65,AC65)-1,IF('Amputation Summary'!$O$4=1,RANK(AI65,AI$8:AI$76,1)+COUNTIF($AI$8:AI65,AI65)-1))</f>
        <v>15</v>
      </c>
      <c r="AK65" s="16">
        <f>IF('Amputation Summary'!$O$4=2, X65, IF('Amputation Summary'!$O$4=1, AD65))</f>
        <v>5</v>
      </c>
      <c r="AL65" s="16">
        <f>IF('Amputation Summary'!$O$4=2, Z65, IF('Amputation Summary'!$O$4=1, AF65))</f>
        <v>4</v>
      </c>
      <c r="AM65" s="16">
        <f>IF('Amputation Summary'!$O$4=2, AB65, IF('Amputation Summary'!$O$4=1, AH65))</f>
        <v>5</v>
      </c>
      <c r="AN65">
        <v>1</v>
      </c>
      <c r="AO65" s="16">
        <f t="shared" si="10"/>
        <v>0.25473803281784058</v>
      </c>
      <c r="AP65" s="16">
        <f t="shared" si="11"/>
        <v>0</v>
      </c>
      <c r="AQ65">
        <v>26</v>
      </c>
    </row>
    <row r="66" spans="1:43" x14ac:dyDescent="0.25">
      <c r="A66" s="85" t="s">
        <v>55</v>
      </c>
      <c r="B66" s="86" t="s">
        <v>56</v>
      </c>
      <c r="C66" s="87">
        <v>71</v>
      </c>
      <c r="D66" s="87">
        <v>45</v>
      </c>
      <c r="E66" s="87">
        <v>223</v>
      </c>
      <c r="F66" s="88" t="s">
        <v>240</v>
      </c>
      <c r="G66" s="88" t="s">
        <v>332</v>
      </c>
      <c r="H66" s="90">
        <v>0.9189189076423645</v>
      </c>
      <c r="I66" s="90">
        <v>0.5</v>
      </c>
      <c r="J66" s="89" t="s">
        <v>466</v>
      </c>
      <c r="K66" s="89" t="s">
        <v>728</v>
      </c>
      <c r="L66" s="91">
        <v>0.96</v>
      </c>
      <c r="M66" s="91">
        <v>0.91</v>
      </c>
      <c r="N66" s="92">
        <v>0.3</v>
      </c>
      <c r="O66" s="92">
        <v>0.4</v>
      </c>
      <c r="P66" s="93">
        <v>2.3E-2</v>
      </c>
      <c r="Q66" t="str">
        <f t="shared" si="12"/>
        <v>RHM</v>
      </c>
      <c r="R66">
        <f t="shared" si="2"/>
        <v>3</v>
      </c>
      <c r="S66">
        <f t="shared" si="3"/>
        <v>3</v>
      </c>
      <c r="T66">
        <f t="shared" si="4"/>
        <v>1</v>
      </c>
      <c r="U66">
        <f t="shared" si="5"/>
        <v>1</v>
      </c>
      <c r="V66" s="53">
        <f>IF('Amputation Summary'!$Q$33=4, RANK(O66,O$8:O$76,1)+COUNTIF($O$8:O66,O66)-1, IF('Amputation Summary'!$Q$33=3, RANK(N66,N$8:N$76,1)+COUNTIF($N$8:N66,N66)-1, IF('Amputation Summary'!$Q$33=2, RANK(M66,M$8:M$76,1)+COUNTIF($M$8:M66,M66)-1, IF('Amputation Summary'!$Q$33=1, RANK(L66,L$8:L$76,1)+COUNTIF($L$8:L66,L66)-1))))</f>
        <v>9</v>
      </c>
      <c r="W66" s="13">
        <f>IF('Amputation Summary'!$Q$33=4, O66, IF('Amputation Summary'!$Q$33=3, N66, IF('Amputation Summary'!$Q$33=2, M66, IF('Amputation Summary'!$Q$33=1, L66))))</f>
        <v>0.4</v>
      </c>
      <c r="X66" s="16">
        <v>7</v>
      </c>
      <c r="Y66">
        <v>3</v>
      </c>
      <c r="Z66">
        <f t="shared" si="6"/>
        <v>4</v>
      </c>
      <c r="AA66">
        <v>10</v>
      </c>
      <c r="AB66">
        <f t="shared" si="7"/>
        <v>3</v>
      </c>
      <c r="AC66">
        <v>36</v>
      </c>
      <c r="AD66" s="16">
        <v>7</v>
      </c>
      <c r="AE66">
        <v>4</v>
      </c>
      <c r="AF66">
        <f t="shared" si="8"/>
        <v>3</v>
      </c>
      <c r="AG66">
        <v>16</v>
      </c>
      <c r="AH66">
        <f t="shared" si="9"/>
        <v>9</v>
      </c>
      <c r="AI66" s="2">
        <v>35</v>
      </c>
      <c r="AJ66" s="53">
        <f>IF('Amputation Summary'!$O$4=2,RANK(AC66,AC$8:AC$76,1)+COUNTIF($AC$8:AC66,AC66)-1,IF('Amputation Summary'!$O$4=1,RANK(AI66,AI$8:AI$76,1)+COUNTIF($AI$8:AI66,AI66)-1))</f>
        <v>36</v>
      </c>
      <c r="AK66" s="16">
        <f>IF('Amputation Summary'!$O$4=2, X66, IF('Amputation Summary'!$O$4=1, AD66))</f>
        <v>7</v>
      </c>
      <c r="AL66" s="16">
        <f>IF('Amputation Summary'!$O$4=2, Z66, IF('Amputation Summary'!$O$4=1, AF66))</f>
        <v>4</v>
      </c>
      <c r="AM66" s="16">
        <f>IF('Amputation Summary'!$O$4=2, AB66, IF('Amputation Summary'!$O$4=1, AH66))</f>
        <v>3</v>
      </c>
      <c r="AN66">
        <v>1</v>
      </c>
      <c r="AO66" s="16">
        <f t="shared" si="10"/>
        <v>0.4189189076423645</v>
      </c>
      <c r="AP66" s="16">
        <f t="shared" si="11"/>
        <v>0</v>
      </c>
      <c r="AQ66">
        <v>8</v>
      </c>
    </row>
    <row r="67" spans="1:43" x14ac:dyDescent="0.25">
      <c r="A67" s="85" t="s">
        <v>701</v>
      </c>
      <c r="B67" s="86" t="s">
        <v>702</v>
      </c>
      <c r="C67" s="87">
        <v>91</v>
      </c>
      <c r="D67" s="87">
        <v>96</v>
      </c>
      <c r="E67" s="87">
        <v>281</v>
      </c>
      <c r="F67" s="88" t="s">
        <v>957</v>
      </c>
      <c r="G67" s="88" t="s">
        <v>240</v>
      </c>
      <c r="H67" s="90">
        <v>1.2195122241973877</v>
      </c>
      <c r="I67" s="90">
        <v>2.4285714626312256</v>
      </c>
      <c r="J67" s="89" t="s">
        <v>958</v>
      </c>
      <c r="K67" s="89" t="s">
        <v>959</v>
      </c>
      <c r="L67" s="91">
        <v>0.49</v>
      </c>
      <c r="M67" s="91">
        <v>0.31</v>
      </c>
      <c r="N67" s="92">
        <v>0.99</v>
      </c>
      <c r="O67" s="92">
        <v>0.99</v>
      </c>
      <c r="P67" s="93">
        <v>2.1999999999999999E-2</v>
      </c>
      <c r="Q67" t="str">
        <f t="shared" si="12"/>
        <v>RYR</v>
      </c>
      <c r="R67">
        <f t="shared" si="2"/>
        <v>1</v>
      </c>
      <c r="S67">
        <f t="shared" si="3"/>
        <v>1</v>
      </c>
      <c r="T67">
        <f t="shared" si="4"/>
        <v>4</v>
      </c>
      <c r="U67">
        <f t="shared" si="5"/>
        <v>4</v>
      </c>
      <c r="V67" s="53">
        <f>IF('Amputation Summary'!$Q$33=4, RANK(O67,O$8:O$76,1)+COUNTIF($O$8:O67,O67)-1, IF('Amputation Summary'!$Q$33=3, RANK(N67,N$8:N$76,1)+COUNTIF($N$8:N67,N67)-1, IF('Amputation Summary'!$Q$33=2, RANK(M67,M$8:M$76,1)+COUNTIF($M$8:M67,M67)-1, IF('Amputation Summary'!$Q$33=1, RANK(L67,L$8:L$76,1)+COUNTIF($L$8:L67,L67)-1))))</f>
        <v>61</v>
      </c>
      <c r="W67" s="13">
        <f>IF('Amputation Summary'!$Q$33=4, O67, IF('Amputation Summary'!$Q$33=3, N67, IF('Amputation Summary'!$Q$33=2, M67, IF('Amputation Summary'!$Q$33=1, L67))))</f>
        <v>0.99</v>
      </c>
      <c r="X67" s="16">
        <v>7</v>
      </c>
      <c r="Y67">
        <v>4</v>
      </c>
      <c r="Z67">
        <f t="shared" si="6"/>
        <v>3</v>
      </c>
      <c r="AA67">
        <v>16</v>
      </c>
      <c r="AB67">
        <f t="shared" si="7"/>
        <v>9</v>
      </c>
      <c r="AC67">
        <v>43</v>
      </c>
      <c r="AD67" s="16">
        <v>11</v>
      </c>
      <c r="AE67">
        <v>4</v>
      </c>
      <c r="AF67">
        <f t="shared" si="8"/>
        <v>7</v>
      </c>
      <c r="AG67">
        <v>38</v>
      </c>
      <c r="AH67">
        <f t="shared" si="9"/>
        <v>27</v>
      </c>
      <c r="AI67" s="2">
        <v>53</v>
      </c>
      <c r="AJ67" s="53">
        <f>IF('Amputation Summary'!$O$4=2,RANK(AC67,AC$8:AC$76,1)+COUNTIF($AC$8:AC67,AC67)-1,IF('Amputation Summary'!$O$4=1,RANK(AI67,AI$8:AI$76,1)+COUNTIF($AI$8:AI67,AI67)-1))</f>
        <v>43</v>
      </c>
      <c r="AK67" s="16">
        <f>IF('Amputation Summary'!$O$4=2, X67, IF('Amputation Summary'!$O$4=1, AD67))</f>
        <v>7</v>
      </c>
      <c r="AL67" s="16">
        <f>IF('Amputation Summary'!$O$4=2, Z67, IF('Amputation Summary'!$O$4=1, AF67))</f>
        <v>3</v>
      </c>
      <c r="AM67" s="16">
        <f>IF('Amputation Summary'!$O$4=2, AB67, IF('Amputation Summary'!$O$4=1, AH67))</f>
        <v>9</v>
      </c>
      <c r="AN67">
        <v>1</v>
      </c>
      <c r="AO67" s="16">
        <f t="shared" si="10"/>
        <v>0</v>
      </c>
      <c r="AP67" s="16">
        <f t="shared" si="11"/>
        <v>1.2090592384338379</v>
      </c>
      <c r="AQ67">
        <v>57</v>
      </c>
    </row>
    <row r="68" spans="1:43" x14ac:dyDescent="0.25">
      <c r="A68" s="85" t="s">
        <v>104</v>
      </c>
      <c r="B68" s="86" t="s">
        <v>105</v>
      </c>
      <c r="C68" s="87">
        <v>104</v>
      </c>
      <c r="D68" s="87">
        <v>95</v>
      </c>
      <c r="E68" s="87">
        <v>296</v>
      </c>
      <c r="F68" s="88" t="s">
        <v>240</v>
      </c>
      <c r="G68" s="88" t="s">
        <v>896</v>
      </c>
      <c r="H68" s="90">
        <v>1</v>
      </c>
      <c r="I68" s="90">
        <v>0.72727274894714355</v>
      </c>
      <c r="J68" s="89" t="s">
        <v>897</v>
      </c>
      <c r="K68" s="89" t="s">
        <v>851</v>
      </c>
      <c r="L68" s="91">
        <v>0.82</v>
      </c>
      <c r="M68" s="91">
        <v>0.82</v>
      </c>
      <c r="N68" s="92">
        <v>0.87</v>
      </c>
      <c r="O68" s="92">
        <v>0.51</v>
      </c>
      <c r="P68" s="93">
        <v>7.4999999999999997E-2</v>
      </c>
      <c r="Q68" t="str">
        <f t="shared" si="12"/>
        <v>RRK</v>
      </c>
      <c r="R68">
        <f t="shared" si="2"/>
        <v>2</v>
      </c>
      <c r="S68">
        <f t="shared" si="3"/>
        <v>2</v>
      </c>
      <c r="T68">
        <f t="shared" si="4"/>
        <v>3</v>
      </c>
      <c r="U68">
        <f t="shared" si="5"/>
        <v>1</v>
      </c>
      <c r="V68" s="53">
        <f>IF('Amputation Summary'!$Q$33=4, RANK(O68,O$8:O$76,1)+COUNTIF($O$8:O68,O68)-1, IF('Amputation Summary'!$Q$33=3, RANK(N68,N$8:N$76,1)+COUNTIF($N$8:N68,N68)-1, IF('Amputation Summary'!$Q$33=2, RANK(M68,M$8:M$76,1)+COUNTIF($M$8:M68,M68)-1, IF('Amputation Summary'!$Q$33=1, RANK(L68,L$8:L$76,1)+COUNTIF($L$8:L68,L68)-1))))</f>
        <v>13</v>
      </c>
      <c r="W68" s="13">
        <f>IF('Amputation Summary'!$Q$33=4, O68, IF('Amputation Summary'!$Q$33=3, N68, IF('Amputation Summary'!$Q$33=2, M68, IF('Amputation Summary'!$Q$33=1, L68))))</f>
        <v>0.51</v>
      </c>
      <c r="X68" s="16">
        <v>6</v>
      </c>
      <c r="Y68">
        <v>2</v>
      </c>
      <c r="Z68">
        <f t="shared" si="6"/>
        <v>4</v>
      </c>
      <c r="AA68">
        <v>16</v>
      </c>
      <c r="AB68">
        <f t="shared" si="7"/>
        <v>10</v>
      </c>
      <c r="AC68">
        <v>24</v>
      </c>
      <c r="AD68" s="16">
        <v>7</v>
      </c>
      <c r="AE68">
        <v>4</v>
      </c>
      <c r="AF68">
        <f t="shared" si="8"/>
        <v>3</v>
      </c>
      <c r="AG68">
        <v>16</v>
      </c>
      <c r="AH68">
        <f t="shared" si="9"/>
        <v>9</v>
      </c>
      <c r="AI68" s="2">
        <v>36</v>
      </c>
      <c r="AJ68" s="53">
        <f>IF('Amputation Summary'!$O$4=2,RANK(AC68,AC$8:AC$76,1)+COUNTIF($AC$8:AC68,AC68)-1,IF('Amputation Summary'!$O$4=1,RANK(AI68,AI$8:AI$76,1)+COUNTIF($AI$8:AI68,AI68)-1))</f>
        <v>24</v>
      </c>
      <c r="AK68" s="16">
        <f>IF('Amputation Summary'!$O$4=2, X68, IF('Amputation Summary'!$O$4=1, AD68))</f>
        <v>6</v>
      </c>
      <c r="AL68" s="16">
        <f>IF('Amputation Summary'!$O$4=2, Z68, IF('Amputation Summary'!$O$4=1, AF68))</f>
        <v>4</v>
      </c>
      <c r="AM68" s="16">
        <f>IF('Amputation Summary'!$O$4=2, AB68, IF('Amputation Summary'!$O$4=1, AH68))</f>
        <v>10</v>
      </c>
      <c r="AN68">
        <v>1</v>
      </c>
      <c r="AO68" s="16">
        <f t="shared" si="10"/>
        <v>0.27272725105285645</v>
      </c>
      <c r="AP68" s="16">
        <f t="shared" si="11"/>
        <v>0</v>
      </c>
      <c r="AQ68">
        <v>20</v>
      </c>
    </row>
    <row r="69" spans="1:43" x14ac:dyDescent="0.25">
      <c r="A69" s="85" t="s">
        <v>74</v>
      </c>
      <c r="B69" s="86" t="s">
        <v>75</v>
      </c>
      <c r="C69" s="87">
        <v>32</v>
      </c>
      <c r="D69" s="87">
        <v>29</v>
      </c>
      <c r="E69" s="87">
        <v>86</v>
      </c>
      <c r="F69" s="88" t="s">
        <v>242</v>
      </c>
      <c r="G69" s="88" t="s">
        <v>872</v>
      </c>
      <c r="H69" s="90">
        <v>0.39130434393882751</v>
      </c>
      <c r="I69" s="90">
        <v>0.44999998807907104</v>
      </c>
      <c r="J69" s="89" t="s">
        <v>873</v>
      </c>
      <c r="K69" s="89" t="s">
        <v>874</v>
      </c>
      <c r="L69" s="91">
        <v>0.63</v>
      </c>
      <c r="M69" s="91">
        <v>0.76</v>
      </c>
      <c r="N69" s="92">
        <v>0.91</v>
      </c>
      <c r="O69" s="92">
        <v>0.86</v>
      </c>
      <c r="P69" s="93">
        <v>0.128</v>
      </c>
      <c r="Q69" t="str">
        <f t="shared" si="12"/>
        <v>RKB</v>
      </c>
      <c r="R69">
        <f t="shared" si="2"/>
        <v>1</v>
      </c>
      <c r="S69">
        <f t="shared" si="3"/>
        <v>2</v>
      </c>
      <c r="T69">
        <f t="shared" si="4"/>
        <v>3</v>
      </c>
      <c r="U69">
        <f t="shared" si="5"/>
        <v>3</v>
      </c>
      <c r="V69" s="53">
        <f>IF('Amputation Summary'!$Q$33=4, RANK(O69,O$8:O$76,1)+COUNTIF($O$8:O69,O69)-1, IF('Amputation Summary'!$Q$33=3, RANK(N69,N$8:N$76,1)+COUNTIF($N$8:N69,N69)-1, IF('Amputation Summary'!$Q$33=2, RANK(M69,M$8:M$76,1)+COUNTIF($M$8:M69,M69)-1, IF('Amputation Summary'!$Q$33=1, RANK(L69,L$8:L$76,1)+COUNTIF($L$8:L69,L69)-1))))</f>
        <v>43</v>
      </c>
      <c r="W69" s="13">
        <f>IF('Amputation Summary'!$Q$33=4, O69, IF('Amputation Summary'!$Q$33=3, N69, IF('Amputation Summary'!$Q$33=2, M69, IF('Amputation Summary'!$Q$33=1, L69))))</f>
        <v>0.86</v>
      </c>
      <c r="X69" s="16">
        <v>9</v>
      </c>
      <c r="Y69">
        <v>4</v>
      </c>
      <c r="Z69">
        <f t="shared" si="6"/>
        <v>5</v>
      </c>
      <c r="AA69">
        <v>28</v>
      </c>
      <c r="AB69">
        <f t="shared" si="7"/>
        <v>19</v>
      </c>
      <c r="AC69">
        <v>54</v>
      </c>
      <c r="AD69" s="16">
        <v>6</v>
      </c>
      <c r="AE69">
        <v>3</v>
      </c>
      <c r="AF69">
        <f t="shared" si="8"/>
        <v>3</v>
      </c>
      <c r="AG69">
        <v>11</v>
      </c>
      <c r="AH69">
        <f t="shared" si="9"/>
        <v>5</v>
      </c>
      <c r="AI69" s="2">
        <v>23</v>
      </c>
      <c r="AJ69" s="53">
        <f>IF('Amputation Summary'!$O$4=2,RANK(AC69,AC$8:AC$76,1)+COUNTIF($AC$8:AC69,AC69)-1,IF('Amputation Summary'!$O$4=1,RANK(AI69,AI$8:AI$76,1)+COUNTIF($AI$8:AI69,AI69)-1))</f>
        <v>54</v>
      </c>
      <c r="AK69" s="16">
        <f>IF('Amputation Summary'!$O$4=2, X69, IF('Amputation Summary'!$O$4=1, AD69))</f>
        <v>9</v>
      </c>
      <c r="AL69" s="16">
        <f>IF('Amputation Summary'!$O$4=2, Z69, IF('Amputation Summary'!$O$4=1, AF69))</f>
        <v>5</v>
      </c>
      <c r="AM69" s="16">
        <f>IF('Amputation Summary'!$O$4=2, AB69, IF('Amputation Summary'!$O$4=1, AH69))</f>
        <v>19</v>
      </c>
      <c r="AN69">
        <v>1</v>
      </c>
      <c r="AO69" s="16">
        <f t="shared" si="10"/>
        <v>0</v>
      </c>
      <c r="AP69" s="16">
        <f t="shared" si="11"/>
        <v>5.869564414024353E-2</v>
      </c>
      <c r="AQ69">
        <v>6</v>
      </c>
    </row>
    <row r="70" spans="1:43" x14ac:dyDescent="0.25">
      <c r="A70" s="85" t="s">
        <v>677</v>
      </c>
      <c r="B70" s="86" t="s">
        <v>678</v>
      </c>
      <c r="C70" s="87">
        <v>29</v>
      </c>
      <c r="D70" s="87">
        <v>29</v>
      </c>
      <c r="E70" s="87">
        <v>87</v>
      </c>
      <c r="F70" s="88" t="s">
        <v>225</v>
      </c>
      <c r="G70" s="88" t="s">
        <v>217</v>
      </c>
      <c r="H70" s="90">
        <v>0.380952388048172</v>
      </c>
      <c r="I70" s="90">
        <v>0.8125</v>
      </c>
      <c r="J70" s="89" t="s">
        <v>800</v>
      </c>
      <c r="K70" s="89" t="s">
        <v>801</v>
      </c>
      <c r="L70" s="91">
        <v>1</v>
      </c>
      <c r="M70" s="91">
        <v>1</v>
      </c>
      <c r="N70" s="92">
        <v>0.72</v>
      </c>
      <c r="O70" s="92">
        <v>0.83</v>
      </c>
      <c r="P70" s="93">
        <v>2.4E-2</v>
      </c>
      <c r="Q70" t="str">
        <f t="shared" si="12"/>
        <v>R0D</v>
      </c>
      <c r="R70">
        <f t="shared" si="2"/>
        <v>4</v>
      </c>
      <c r="S70">
        <f t="shared" si="3"/>
        <v>4</v>
      </c>
      <c r="T70">
        <f t="shared" si="4"/>
        <v>2</v>
      </c>
      <c r="U70">
        <f t="shared" si="5"/>
        <v>3</v>
      </c>
      <c r="V70" s="53">
        <f>IF('Amputation Summary'!$Q$33=4, RANK(O70,O$8:O$76,1)+COUNTIF($O$8:O70,O70)-1, IF('Amputation Summary'!$Q$33=3, RANK(N70,N$8:N$76,1)+COUNTIF($N$8:N70,N70)-1, IF('Amputation Summary'!$Q$33=2, RANK(M70,M$8:M$76,1)+COUNTIF($M$8:M70,M70)-1, IF('Amputation Summary'!$Q$33=1, RANK(L70,L$8:L$76,1)+COUNTIF($L$8:L70,L70)-1))))</f>
        <v>40</v>
      </c>
      <c r="W70" s="13">
        <f>IF('Amputation Summary'!$Q$33=4, O70, IF('Amputation Summary'!$Q$33=3, N70, IF('Amputation Summary'!$Q$33=2, M70, IF('Amputation Summary'!$Q$33=1, L70))))</f>
        <v>0.83</v>
      </c>
      <c r="X70" s="16">
        <v>3</v>
      </c>
      <c r="Y70">
        <v>1</v>
      </c>
      <c r="Z70">
        <f t="shared" si="6"/>
        <v>2</v>
      </c>
      <c r="AA70">
        <v>9</v>
      </c>
      <c r="AB70">
        <f t="shared" si="7"/>
        <v>6</v>
      </c>
      <c r="AC70">
        <v>5</v>
      </c>
      <c r="AD70" s="16">
        <v>4</v>
      </c>
      <c r="AE70">
        <v>2</v>
      </c>
      <c r="AF70">
        <f t="shared" si="8"/>
        <v>2</v>
      </c>
      <c r="AG70">
        <v>7</v>
      </c>
      <c r="AH70">
        <f t="shared" si="9"/>
        <v>3</v>
      </c>
      <c r="AI70" s="2">
        <v>7</v>
      </c>
      <c r="AJ70" s="53">
        <f>IF('Amputation Summary'!$O$4=2,RANK(AC70,AC$8:AC$76,1)+COUNTIF($AC$8:AC70,AC70)-1,IF('Amputation Summary'!$O$4=1,RANK(AI70,AI$8:AI$76,1)+COUNTIF($AI$8:AI70,AI70)-1))</f>
        <v>5</v>
      </c>
      <c r="AK70" s="16">
        <f>IF('Amputation Summary'!$O$4=2, X70, IF('Amputation Summary'!$O$4=1, AD70))</f>
        <v>3</v>
      </c>
      <c r="AL70" s="16">
        <f>IF('Amputation Summary'!$O$4=2, Z70, IF('Amputation Summary'!$O$4=1, AF70))</f>
        <v>2</v>
      </c>
      <c r="AM70" s="16">
        <f>IF('Amputation Summary'!$O$4=2, AB70, IF('Amputation Summary'!$O$4=1, AH70))</f>
        <v>6</v>
      </c>
      <c r="AN70">
        <v>1</v>
      </c>
      <c r="AO70" s="16">
        <f t="shared" si="10"/>
        <v>0</v>
      </c>
      <c r="AP70" s="16">
        <f t="shared" si="11"/>
        <v>0.431547611951828</v>
      </c>
      <c r="AQ70">
        <v>24</v>
      </c>
    </row>
    <row r="71" spans="1:43" x14ac:dyDescent="0.25">
      <c r="A71" s="85" t="s">
        <v>114</v>
      </c>
      <c r="B71" s="86" t="s">
        <v>347</v>
      </c>
      <c r="C71" s="87">
        <v>34</v>
      </c>
      <c r="D71" s="87">
        <v>45</v>
      </c>
      <c r="E71" s="87">
        <v>111</v>
      </c>
      <c r="F71" s="88" t="s">
        <v>221</v>
      </c>
      <c r="G71" s="88" t="s">
        <v>284</v>
      </c>
      <c r="H71" s="90">
        <v>0.61904764175415039</v>
      </c>
      <c r="I71" s="90">
        <v>1.1428571939468384</v>
      </c>
      <c r="J71" s="89" t="s">
        <v>904</v>
      </c>
      <c r="K71" s="89" t="s">
        <v>905</v>
      </c>
      <c r="L71" s="91">
        <v>0.91</v>
      </c>
      <c r="M71" s="91">
        <v>0.98</v>
      </c>
      <c r="N71" s="92">
        <v>0.91</v>
      </c>
      <c r="O71" s="92">
        <v>0.96</v>
      </c>
      <c r="P71" s="93">
        <v>0.05</v>
      </c>
      <c r="Q71" t="str">
        <f t="shared" si="12"/>
        <v>RTG</v>
      </c>
      <c r="R71">
        <f t="shared" si="2"/>
        <v>3</v>
      </c>
      <c r="S71">
        <f t="shared" si="3"/>
        <v>3</v>
      </c>
      <c r="T71">
        <f t="shared" si="4"/>
        <v>3</v>
      </c>
      <c r="U71">
        <f t="shared" si="5"/>
        <v>4</v>
      </c>
      <c r="V71" s="53">
        <f>IF('Amputation Summary'!$Q$33=4, RANK(O71,O$8:O$76,1)+COUNTIF($O$8:O71,O71)-1, IF('Amputation Summary'!$Q$33=3, RANK(N71,N$8:N$76,1)+COUNTIF($N$8:N71,N71)-1, IF('Amputation Summary'!$Q$33=2, RANK(M71,M$8:M$76,1)+COUNTIF($M$8:M71,M71)-1, IF('Amputation Summary'!$Q$33=1, RANK(L71,L$8:L$76,1)+COUNTIF($L$8:L71,L71)-1))))</f>
        <v>57</v>
      </c>
      <c r="W71" s="13">
        <f>IF('Amputation Summary'!$Q$33=4, O71, IF('Amputation Summary'!$Q$33=3, N71, IF('Amputation Summary'!$Q$33=2, M71, IF('Amputation Summary'!$Q$33=1, L71))))</f>
        <v>0.96</v>
      </c>
      <c r="X71" s="16">
        <v>2</v>
      </c>
      <c r="Y71">
        <v>1</v>
      </c>
      <c r="Z71">
        <f t="shared" si="6"/>
        <v>1</v>
      </c>
      <c r="AA71">
        <v>3</v>
      </c>
      <c r="AB71">
        <f t="shared" si="7"/>
        <v>1</v>
      </c>
      <c r="AC71">
        <v>2</v>
      </c>
      <c r="AD71" s="16">
        <v>2</v>
      </c>
      <c r="AE71">
        <v>1</v>
      </c>
      <c r="AF71">
        <f t="shared" si="8"/>
        <v>1</v>
      </c>
      <c r="AG71">
        <v>4</v>
      </c>
      <c r="AH71">
        <f t="shared" si="9"/>
        <v>2</v>
      </c>
      <c r="AI71" s="2">
        <v>1</v>
      </c>
      <c r="AJ71" s="53">
        <f>IF('Amputation Summary'!$O$4=2,RANK(AC71,AC$8:AC$76,1)+COUNTIF($AC$8:AC71,AC71)-1,IF('Amputation Summary'!$O$4=1,RANK(AI71,AI$8:AI$76,1)+COUNTIF($AI$8:AI71,AI71)-1))</f>
        <v>2</v>
      </c>
      <c r="AK71" s="16">
        <f>IF('Amputation Summary'!$O$4=2, X71, IF('Amputation Summary'!$O$4=1, AD71))</f>
        <v>2</v>
      </c>
      <c r="AL71" s="16">
        <f>IF('Amputation Summary'!$O$4=2, Z71, IF('Amputation Summary'!$O$4=1, AF71))</f>
        <v>1</v>
      </c>
      <c r="AM71" s="16">
        <f>IF('Amputation Summary'!$O$4=2, AB71, IF('Amputation Summary'!$O$4=1, AH71))</f>
        <v>1</v>
      </c>
      <c r="AN71">
        <v>1</v>
      </c>
      <c r="AO71" s="16">
        <f t="shared" si="10"/>
        <v>0</v>
      </c>
      <c r="AP71" s="16">
        <f t="shared" si="11"/>
        <v>0.52380955219268799</v>
      </c>
      <c r="AQ71">
        <v>40</v>
      </c>
    </row>
    <row r="72" spans="1:43" x14ac:dyDescent="0.25">
      <c r="A72" s="85" t="s">
        <v>131</v>
      </c>
      <c r="B72" s="86" t="s">
        <v>132</v>
      </c>
      <c r="C72" s="87">
        <v>55</v>
      </c>
      <c r="D72" s="87">
        <v>41</v>
      </c>
      <c r="E72" s="87">
        <v>114</v>
      </c>
      <c r="F72" s="88" t="s">
        <v>929</v>
      </c>
      <c r="G72" s="88" t="s">
        <v>930</v>
      </c>
      <c r="H72" s="90">
        <v>1.2000000476837158</v>
      </c>
      <c r="I72" s="90">
        <v>0.57692307233810425</v>
      </c>
      <c r="J72" s="89" t="s">
        <v>931</v>
      </c>
      <c r="K72" s="89" t="s">
        <v>932</v>
      </c>
      <c r="L72" s="91">
        <v>0.6</v>
      </c>
      <c r="M72" s="91">
        <v>0.8</v>
      </c>
      <c r="N72" s="92">
        <v>0.69</v>
      </c>
      <c r="O72" s="92">
        <v>0.59</v>
      </c>
      <c r="P72" s="93">
        <v>5.8999999999999997E-2</v>
      </c>
      <c r="Q72" t="str">
        <f t="shared" si="12"/>
        <v>RWE</v>
      </c>
      <c r="R72">
        <f t="shared" si="2"/>
        <v>1</v>
      </c>
      <c r="S72">
        <f t="shared" si="3"/>
        <v>2</v>
      </c>
      <c r="T72">
        <f t="shared" si="4"/>
        <v>2</v>
      </c>
      <c r="U72">
        <f t="shared" si="5"/>
        <v>2</v>
      </c>
      <c r="V72" s="53">
        <f>IF('Amputation Summary'!$Q$33=4, RANK(O72,O$8:O$76,1)+COUNTIF($O$8:O72,O72)-1, IF('Amputation Summary'!$Q$33=3, RANK(N72,N$8:N$76,1)+COUNTIF($N$8:N72,N72)-1, IF('Amputation Summary'!$Q$33=2, RANK(M72,M$8:M$76,1)+COUNTIF($M$8:M72,M72)-1, IF('Amputation Summary'!$Q$33=1, RANK(L72,L$8:L$76,1)+COUNTIF($L$8:L72,L72)-1))))</f>
        <v>23</v>
      </c>
      <c r="W72" s="13">
        <f>IF('Amputation Summary'!$Q$33=4, O72, IF('Amputation Summary'!$Q$33=3, N72, IF('Amputation Summary'!$Q$33=2, M72, IF('Amputation Summary'!$Q$33=1, L72))))</f>
        <v>0.59</v>
      </c>
      <c r="X72" s="16">
        <v>7</v>
      </c>
      <c r="Y72">
        <v>3</v>
      </c>
      <c r="Z72">
        <f t="shared" si="6"/>
        <v>4</v>
      </c>
      <c r="AA72">
        <v>18</v>
      </c>
      <c r="AB72">
        <f t="shared" si="7"/>
        <v>11</v>
      </c>
      <c r="AC72">
        <v>39</v>
      </c>
      <c r="AD72" s="16">
        <v>9</v>
      </c>
      <c r="AE72">
        <v>3</v>
      </c>
      <c r="AF72">
        <f t="shared" si="8"/>
        <v>6</v>
      </c>
      <c r="AG72">
        <v>28</v>
      </c>
      <c r="AH72">
        <f t="shared" si="9"/>
        <v>19</v>
      </c>
      <c r="AI72" s="2">
        <v>43</v>
      </c>
      <c r="AJ72" s="53">
        <f>IF('Amputation Summary'!$O$4=2,RANK(AC72,AC$8:AC$76,1)+COUNTIF($AC$8:AC72,AC72)-1,IF('Amputation Summary'!$O$4=1,RANK(AI72,AI$8:AI$76,1)+COUNTIF($AI$8:AI72,AI72)-1))</f>
        <v>39</v>
      </c>
      <c r="AK72" s="16">
        <f>IF('Amputation Summary'!$O$4=2, X72, IF('Amputation Summary'!$O$4=1, AD72))</f>
        <v>7</v>
      </c>
      <c r="AL72" s="16">
        <f>IF('Amputation Summary'!$O$4=2, Z72, IF('Amputation Summary'!$O$4=1, AF72))</f>
        <v>4</v>
      </c>
      <c r="AM72" s="16">
        <f>IF('Amputation Summary'!$O$4=2, AB72, IF('Amputation Summary'!$O$4=1, AH72))</f>
        <v>11</v>
      </c>
      <c r="AN72">
        <v>1</v>
      </c>
      <c r="AO72" s="16">
        <f t="shared" si="10"/>
        <v>0.62307697534561157</v>
      </c>
      <c r="AP72" s="16">
        <f t="shared" si="11"/>
        <v>0</v>
      </c>
      <c r="AQ72">
        <v>11</v>
      </c>
    </row>
    <row r="73" spans="1:43" x14ac:dyDescent="0.25">
      <c r="A73" s="85" t="s">
        <v>73</v>
      </c>
      <c r="B73" s="86" t="s">
        <v>197</v>
      </c>
      <c r="C73" s="87">
        <v>31</v>
      </c>
      <c r="D73" s="87">
        <v>15</v>
      </c>
      <c r="E73" s="87">
        <v>78</v>
      </c>
      <c r="F73" s="88" t="s">
        <v>868</v>
      </c>
      <c r="G73" s="88" t="s">
        <v>869</v>
      </c>
      <c r="H73" s="90">
        <v>0.9375</v>
      </c>
      <c r="I73" s="90">
        <v>0.36363637447357178</v>
      </c>
      <c r="J73" s="89" t="s">
        <v>870</v>
      </c>
      <c r="K73" s="89" t="s">
        <v>871</v>
      </c>
      <c r="L73" s="91">
        <v>1</v>
      </c>
      <c r="M73" s="91">
        <v>1</v>
      </c>
      <c r="N73" s="92">
        <v>0.94</v>
      </c>
      <c r="O73" s="92">
        <v>0.93</v>
      </c>
      <c r="P73" s="93">
        <v>5.6000000000000001E-2</v>
      </c>
      <c r="Q73" t="str">
        <f t="shared" si="12"/>
        <v>RK9</v>
      </c>
      <c r="R73">
        <f t="shared" ref="R73:R76" si="13">+IF(L73&lt;L$2,1,IF(L73&lt;L$3,2,IF(L73&lt;L$4,3,4)))</f>
        <v>4</v>
      </c>
      <c r="S73">
        <f t="shared" ref="S73:S76" si="14">+IF(M73&lt;M$2,1,IF(M73&lt;M$3,2,IF(M73&lt;M$4,3,4)))</f>
        <v>4</v>
      </c>
      <c r="T73">
        <f t="shared" ref="T73:T76" si="15">+IF(N73&lt;N$2,1,IF(N73&lt;N$3,2,IF(N73&lt;N$4,3,4)))</f>
        <v>4</v>
      </c>
      <c r="U73">
        <f t="shared" ref="U73:U76" si="16">+IF(O73&lt;O$2,1,IF(O73&lt;O$3,2,IF(O73&lt;O$4,3,4)))</f>
        <v>4</v>
      </c>
      <c r="V73" s="53">
        <f>IF('Amputation Summary'!$Q$33=4, RANK(O73,O$8:O$76,1)+COUNTIF($O$8:O73,O73)-1, IF('Amputation Summary'!$Q$33=3, RANK(N73,N$8:N$76,1)+COUNTIF($N$8:N73,N73)-1, IF('Amputation Summary'!$Q$33=2, RANK(M73,M$8:M$76,1)+COUNTIF($M$8:M73,M73)-1, IF('Amputation Summary'!$Q$33=1, RANK(L73,L$8:L$76,1)+COUNTIF($L$8:L73,L73)-1))))</f>
        <v>51</v>
      </c>
      <c r="W73" s="13">
        <f>IF('Amputation Summary'!$Q$33=4, O73, IF('Amputation Summary'!$Q$33=3, N73, IF('Amputation Summary'!$Q$33=2, M73, IF('Amputation Summary'!$Q$33=1, L73))))</f>
        <v>0.93</v>
      </c>
      <c r="X73" s="16">
        <v>12</v>
      </c>
      <c r="Y73">
        <v>4</v>
      </c>
      <c r="Z73">
        <f t="shared" ref="Z73:Z76" si="17">X73-Y73</f>
        <v>8</v>
      </c>
      <c r="AA73">
        <v>41</v>
      </c>
      <c r="AB73">
        <f t="shared" ref="AB73:AB76" si="18">AA73-X73</f>
        <v>29</v>
      </c>
      <c r="AC73">
        <v>62</v>
      </c>
      <c r="AD73" s="16">
        <v>13</v>
      </c>
      <c r="AE73">
        <v>5</v>
      </c>
      <c r="AF73">
        <f t="shared" ref="AF73:AF76" si="19">AD73-AE73</f>
        <v>8</v>
      </c>
      <c r="AG73">
        <v>25</v>
      </c>
      <c r="AH73">
        <f t="shared" ref="AH73:AH76" si="20">AG73-AD73</f>
        <v>12</v>
      </c>
      <c r="AI73" s="2">
        <v>60</v>
      </c>
      <c r="AJ73" s="53">
        <f>IF('Amputation Summary'!$O$4=2,RANK(AC73,AC$8:AC$76,1)+COUNTIF($AC$8:AC73,AC73)-1,IF('Amputation Summary'!$O$4=1,RANK(AI73,AI$8:AI$76,1)+COUNTIF($AI$8:AI73,AI73)-1))</f>
        <v>62</v>
      </c>
      <c r="AK73" s="16">
        <f>IF('Amputation Summary'!$O$4=2, X73, IF('Amputation Summary'!$O$4=1, AD73))</f>
        <v>12</v>
      </c>
      <c r="AL73" s="16">
        <f>IF('Amputation Summary'!$O$4=2, Z73, IF('Amputation Summary'!$O$4=1, AF73))</f>
        <v>8</v>
      </c>
      <c r="AM73" s="16">
        <f>IF('Amputation Summary'!$O$4=2, AB73, IF('Amputation Summary'!$O$4=1, AH73))</f>
        <v>29</v>
      </c>
      <c r="AN73">
        <v>1</v>
      </c>
      <c r="AO73" s="16">
        <f t="shared" ref="AO73:AO76" si="21">IF(I73&gt;H73,0,H73-I73)</f>
        <v>0.57386362552642822</v>
      </c>
      <c r="AP73" s="16">
        <f t="shared" ref="AP73:AP76" si="22">IF(I73&gt;H73,I73-H73,0)</f>
        <v>0</v>
      </c>
      <c r="AQ73">
        <v>4</v>
      </c>
    </row>
    <row r="74" spans="1:43" x14ac:dyDescent="0.25">
      <c r="A74" s="85" t="s">
        <v>133</v>
      </c>
      <c r="B74" s="86" t="s">
        <v>134</v>
      </c>
      <c r="C74" s="87">
        <v>2</v>
      </c>
      <c r="D74" s="87">
        <v>11</v>
      </c>
      <c r="E74" s="87">
        <v>17</v>
      </c>
      <c r="F74" s="88" t="s">
        <v>933</v>
      </c>
      <c r="G74" s="88" t="s">
        <v>934</v>
      </c>
      <c r="H74" s="94" t="e">
        <v>#VALUE!</v>
      </c>
      <c r="I74" s="94" t="e">
        <v>#VALUE!</v>
      </c>
      <c r="J74" s="89" t="s">
        <v>935</v>
      </c>
      <c r="K74" s="89" t="s">
        <v>936</v>
      </c>
      <c r="L74" s="91">
        <v>1</v>
      </c>
      <c r="M74" s="91">
        <v>0.91</v>
      </c>
      <c r="N74" s="92">
        <v>0</v>
      </c>
      <c r="O74" s="92">
        <v>0.45</v>
      </c>
      <c r="P74" s="93">
        <v>7.0999999999999994E-2</v>
      </c>
      <c r="Q74" t="str">
        <f t="shared" si="12"/>
        <v>RWG</v>
      </c>
      <c r="R74">
        <f t="shared" si="13"/>
        <v>4</v>
      </c>
      <c r="S74">
        <f t="shared" si="14"/>
        <v>3</v>
      </c>
      <c r="T74">
        <f t="shared" si="15"/>
        <v>1</v>
      </c>
      <c r="U74">
        <f t="shared" si="16"/>
        <v>1</v>
      </c>
      <c r="V74" s="53">
        <f>IF('Amputation Summary'!$Q$33=4, RANK(O74,O$8:O$76,1)+COUNTIF($O$8:O74,O74)-1, IF('Amputation Summary'!$Q$33=3, RANK(N74,N$8:N$76,1)+COUNTIF($N$8:N74,N74)-1, IF('Amputation Summary'!$Q$33=2, RANK(M74,M$8:M$76,1)+COUNTIF($M$8:M74,M74)-1, IF('Amputation Summary'!$Q$33=1, RANK(L74,L$8:L$76,1)+COUNTIF($L$8:L74,L74)-1))))</f>
        <v>11</v>
      </c>
      <c r="W74" s="13">
        <f>IF('Amputation Summary'!$Q$33=4, O74, IF('Amputation Summary'!$Q$33=3, N74, IF('Amputation Summary'!$Q$33=2, M74, IF('Amputation Summary'!$Q$33=1, L74))))</f>
        <v>0.45</v>
      </c>
      <c r="X74" s="16">
        <v>9</v>
      </c>
      <c r="Y74">
        <v>3</v>
      </c>
      <c r="Z74">
        <f t="shared" si="17"/>
        <v>6</v>
      </c>
      <c r="AA74">
        <v>31</v>
      </c>
      <c r="AB74">
        <f t="shared" si="18"/>
        <v>22</v>
      </c>
      <c r="AC74">
        <v>52</v>
      </c>
      <c r="AD74" s="16">
        <v>5</v>
      </c>
      <c r="AE74">
        <v>5</v>
      </c>
      <c r="AF74">
        <f t="shared" si="19"/>
        <v>0</v>
      </c>
      <c r="AG74">
        <v>5</v>
      </c>
      <c r="AH74">
        <f t="shared" si="20"/>
        <v>0</v>
      </c>
      <c r="AI74" s="2">
        <v>18</v>
      </c>
      <c r="AJ74" s="53">
        <f>IF('Amputation Summary'!$O$4=2,RANK(AC74,AC$8:AC$76,1)+COUNTIF($AC$8:AC74,AC74)-1,IF('Amputation Summary'!$O$4=1,RANK(AI74,AI$8:AI$76,1)+COUNTIF($AI$8:AI74,AI74)-1))</f>
        <v>52</v>
      </c>
      <c r="AK74" s="16">
        <f>IF('Amputation Summary'!$O$4=2, X74, IF('Amputation Summary'!$O$4=1, AD74))</f>
        <v>9</v>
      </c>
      <c r="AL74" s="16">
        <f>IF('Amputation Summary'!$O$4=2, Z74, IF('Amputation Summary'!$O$4=1, AF74))</f>
        <v>6</v>
      </c>
      <c r="AM74" s="16">
        <f>IF('Amputation Summary'!$O$4=2, AB74, IF('Amputation Summary'!$O$4=1, AH74))</f>
        <v>22</v>
      </c>
      <c r="AN74">
        <v>1</v>
      </c>
      <c r="AO74" s="16" t="e">
        <f t="shared" si="21"/>
        <v>#VALUE!</v>
      </c>
      <c r="AP74" s="16" t="e">
        <f t="shared" si="22"/>
        <v>#VALUE!</v>
      </c>
      <c r="AQ74" s="52" t="e">
        <v>#VALUE!</v>
      </c>
    </row>
    <row r="75" spans="1:43" x14ac:dyDescent="0.25">
      <c r="A75" s="85" t="s">
        <v>137</v>
      </c>
      <c r="B75" s="86" t="s">
        <v>138</v>
      </c>
      <c r="C75" s="87">
        <v>34</v>
      </c>
      <c r="D75" s="87">
        <v>42</v>
      </c>
      <c r="E75" s="87">
        <v>113</v>
      </c>
      <c r="F75" s="88" t="s">
        <v>299</v>
      </c>
      <c r="G75" s="88" t="s">
        <v>225</v>
      </c>
      <c r="H75" s="90">
        <v>1.125</v>
      </c>
      <c r="I75" s="90">
        <v>1.2105263471603394</v>
      </c>
      <c r="J75" s="89" t="s">
        <v>940</v>
      </c>
      <c r="K75" s="89" t="s">
        <v>902</v>
      </c>
      <c r="L75" s="91">
        <v>0.97</v>
      </c>
      <c r="M75" s="91">
        <v>0.98</v>
      </c>
      <c r="N75" s="92">
        <v>0.91</v>
      </c>
      <c r="O75" s="92">
        <v>1</v>
      </c>
      <c r="P75" s="93">
        <v>7.0000000000000007E-2</v>
      </c>
      <c r="Q75" t="str">
        <f t="shared" si="12"/>
        <v>RWP</v>
      </c>
      <c r="R75">
        <f t="shared" si="13"/>
        <v>3</v>
      </c>
      <c r="S75">
        <f t="shared" si="14"/>
        <v>3</v>
      </c>
      <c r="T75">
        <f t="shared" si="15"/>
        <v>3</v>
      </c>
      <c r="U75">
        <f t="shared" si="16"/>
        <v>4</v>
      </c>
      <c r="V75" s="53">
        <f>IF('Amputation Summary'!$Q$33=4, RANK(O75,O$8:O$76,1)+COUNTIF($O$8:O75,O75)-1, IF('Amputation Summary'!$Q$33=3, RANK(N75,N$8:N$76,1)+COUNTIF($N$8:N75,N75)-1, IF('Amputation Summary'!$Q$33=2, RANK(M75,M$8:M$76,1)+COUNTIF($M$8:M75,M75)-1, IF('Amputation Summary'!$Q$33=1, RANK(L75,L$8:L$76,1)+COUNTIF($L$8:L75,L75)-1))))</f>
        <v>67</v>
      </c>
      <c r="W75" s="13">
        <f>IF('Amputation Summary'!$Q$33=4, O75, IF('Amputation Summary'!$Q$33=3, N75, IF('Amputation Summary'!$Q$33=2, M75, IF('Amputation Summary'!$Q$33=1, L75))))</f>
        <v>1</v>
      </c>
      <c r="X75" s="16">
        <v>4</v>
      </c>
      <c r="Y75">
        <v>2</v>
      </c>
      <c r="Z75">
        <f t="shared" si="17"/>
        <v>2</v>
      </c>
      <c r="AA75">
        <v>7</v>
      </c>
      <c r="AB75">
        <f t="shared" si="18"/>
        <v>3</v>
      </c>
      <c r="AC75">
        <v>10</v>
      </c>
      <c r="AD75" s="16">
        <v>3</v>
      </c>
      <c r="AE75">
        <v>1</v>
      </c>
      <c r="AF75">
        <f t="shared" si="19"/>
        <v>2</v>
      </c>
      <c r="AG75">
        <v>6</v>
      </c>
      <c r="AH75">
        <f t="shared" si="20"/>
        <v>3</v>
      </c>
      <c r="AI75" s="2">
        <v>2</v>
      </c>
      <c r="AJ75" s="53">
        <f>IF('Amputation Summary'!$O$4=2,RANK(AC75,AC$8:AC$76,1)+COUNTIF($AC$8:AC75,AC75)-1,IF('Amputation Summary'!$O$4=1,RANK(AI75,AI$8:AI$76,1)+COUNTIF($AI$8:AI75,AI75)-1))</f>
        <v>10</v>
      </c>
      <c r="AK75" s="16">
        <f>IF('Amputation Summary'!$O$4=2, X75, IF('Amputation Summary'!$O$4=1, AD75))</f>
        <v>4</v>
      </c>
      <c r="AL75" s="16">
        <f>IF('Amputation Summary'!$O$4=2, Z75, IF('Amputation Summary'!$O$4=1, AF75))</f>
        <v>2</v>
      </c>
      <c r="AM75" s="16">
        <f>IF('Amputation Summary'!$O$4=2, AB75, IF('Amputation Summary'!$O$4=1, AH75))</f>
        <v>3</v>
      </c>
      <c r="AN75">
        <v>1</v>
      </c>
      <c r="AO75" s="16">
        <f t="shared" si="21"/>
        <v>0</v>
      </c>
      <c r="AP75" s="16">
        <f t="shared" si="22"/>
        <v>8.5526347160339355E-2</v>
      </c>
      <c r="AQ75">
        <v>45</v>
      </c>
    </row>
    <row r="76" spans="1:43" x14ac:dyDescent="0.25">
      <c r="A76" s="85" t="s">
        <v>33</v>
      </c>
      <c r="B76" s="86" t="s">
        <v>34</v>
      </c>
      <c r="C76" s="87">
        <v>30</v>
      </c>
      <c r="D76" s="87">
        <v>37</v>
      </c>
      <c r="E76" s="87">
        <v>91</v>
      </c>
      <c r="F76" s="88" t="s">
        <v>822</v>
      </c>
      <c r="G76" s="88" t="s">
        <v>823</v>
      </c>
      <c r="H76" s="90">
        <v>0.57894736528396606</v>
      </c>
      <c r="I76" s="90">
        <v>1.0555555820465088</v>
      </c>
      <c r="J76" s="89" t="s">
        <v>824</v>
      </c>
      <c r="K76" s="89" t="s">
        <v>825</v>
      </c>
      <c r="L76" s="91">
        <v>0.97</v>
      </c>
      <c r="M76" s="91">
        <v>0.95</v>
      </c>
      <c r="N76" s="92">
        <v>0.83</v>
      </c>
      <c r="O76" s="92">
        <v>0.78</v>
      </c>
      <c r="P76" s="93">
        <v>8.3000000000000004E-2</v>
      </c>
      <c r="Q76" t="str">
        <f t="shared" si="12"/>
        <v>RCB</v>
      </c>
      <c r="R76">
        <f t="shared" si="13"/>
        <v>3</v>
      </c>
      <c r="S76">
        <f t="shared" si="14"/>
        <v>3</v>
      </c>
      <c r="T76">
        <f t="shared" si="15"/>
        <v>3</v>
      </c>
      <c r="U76">
        <f t="shared" si="16"/>
        <v>3</v>
      </c>
      <c r="V76" s="53">
        <f>IF('Amputation Summary'!$Q$33=4, RANK(O76,O$8:O$76,1)+COUNTIF($O$8:O76,O76)-1, IF('Amputation Summary'!$Q$33=3, RANK(N76,N$8:N$76,1)+COUNTIF($N$8:N76,N76)-1, IF('Amputation Summary'!$Q$33=2, RANK(M76,M$8:M$76,1)+COUNTIF($M$8:M76,M76)-1, IF('Amputation Summary'!$Q$33=1, RANK(L76,L$8:L$76,1)+COUNTIF($L$8:L76,L76)-1))))</f>
        <v>35</v>
      </c>
      <c r="W76" s="13">
        <f>IF('Amputation Summary'!$Q$33=4, O76, IF('Amputation Summary'!$Q$33=3, N76, IF('Amputation Summary'!$Q$33=2, M76, IF('Amputation Summary'!$Q$33=1, L76))))</f>
        <v>0.78</v>
      </c>
      <c r="X76" s="16">
        <v>4</v>
      </c>
      <c r="Y76">
        <v>1</v>
      </c>
      <c r="Z76">
        <f t="shared" si="17"/>
        <v>3</v>
      </c>
      <c r="AA76">
        <v>16</v>
      </c>
      <c r="AB76">
        <f t="shared" si="18"/>
        <v>12</v>
      </c>
      <c r="AC76">
        <v>8</v>
      </c>
      <c r="AD76" s="16">
        <v>11</v>
      </c>
      <c r="AE76">
        <v>4</v>
      </c>
      <c r="AF76">
        <f t="shared" si="19"/>
        <v>7</v>
      </c>
      <c r="AG76">
        <v>124</v>
      </c>
      <c r="AH76">
        <f t="shared" si="20"/>
        <v>113</v>
      </c>
      <c r="AI76" s="2">
        <v>54</v>
      </c>
      <c r="AJ76" s="53">
        <f>IF('Amputation Summary'!$O$4=2,RANK(AC76,AC$8:AC$76,1)+COUNTIF($AC$8:AC76,AC76)-1,IF('Amputation Summary'!$O$4=1,RANK(AI76,AI$8:AI$76,1)+COUNTIF($AI$8:AI76,AI76)-1))</f>
        <v>8</v>
      </c>
      <c r="AK76" s="16">
        <f>IF('Amputation Summary'!$O$4=2, X76, IF('Amputation Summary'!$O$4=1, AD76))</f>
        <v>4</v>
      </c>
      <c r="AL76" s="16">
        <f>IF('Amputation Summary'!$O$4=2, Z76, IF('Amputation Summary'!$O$4=1, AF76))</f>
        <v>3</v>
      </c>
      <c r="AM76" s="16">
        <f>IF('Amputation Summary'!$O$4=2, AB76, IF('Amputation Summary'!$O$4=1, AH76))</f>
        <v>12</v>
      </c>
      <c r="AN76">
        <v>1</v>
      </c>
      <c r="AO76" s="16">
        <f t="shared" si="21"/>
        <v>0</v>
      </c>
      <c r="AP76" s="16">
        <f t="shared" si="22"/>
        <v>0.47660821676254272</v>
      </c>
      <c r="AQ76">
        <v>34</v>
      </c>
    </row>
  </sheetData>
  <autoFilter ref="A7:AQ76"/>
  <sortState ref="A2:P79">
    <sortCondition ref="B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C6" sqref="C6"/>
    </sheetView>
  </sheetViews>
  <sheetFormatPr defaultRowHeight="15" x14ac:dyDescent="0.25"/>
  <cols>
    <col min="1" max="1" width="15.28515625" bestFit="1" customWidth="1"/>
    <col min="2" max="2" width="11" style="86" bestFit="1" customWidth="1"/>
    <col min="3" max="3" width="8.5703125" style="86" bestFit="1" customWidth="1"/>
    <col min="4" max="4" width="8.5703125" bestFit="1" customWidth="1"/>
  </cols>
  <sheetData>
    <row r="1" spans="1:5" x14ac:dyDescent="0.25">
      <c r="A1" t="s">
        <v>360</v>
      </c>
      <c r="B1" s="86" t="s">
        <v>361</v>
      </c>
      <c r="C1" s="86" t="s">
        <v>363</v>
      </c>
      <c r="D1" t="s">
        <v>364</v>
      </c>
      <c r="E1" t="s">
        <v>415</v>
      </c>
    </row>
    <row r="2" spans="1:5" x14ac:dyDescent="0.25">
      <c r="A2" t="s">
        <v>408</v>
      </c>
      <c r="B2" s="86">
        <v>0</v>
      </c>
      <c r="C2" s="38">
        <v>0.6</v>
      </c>
      <c r="D2" s="13">
        <v>6.0999999999999999E-2</v>
      </c>
    </row>
    <row r="3" spans="1:5" x14ac:dyDescent="0.25">
      <c r="A3" t="s">
        <v>408</v>
      </c>
      <c r="B3" s="87">
        <v>7</v>
      </c>
      <c r="C3" s="119">
        <v>0.5</v>
      </c>
      <c r="D3" s="13">
        <v>6.0999999999999999E-2</v>
      </c>
    </row>
    <row r="4" spans="1:5" x14ac:dyDescent="0.25">
      <c r="A4" t="s">
        <v>408</v>
      </c>
      <c r="B4" s="87">
        <v>16</v>
      </c>
      <c r="C4" s="119">
        <v>0.4</v>
      </c>
      <c r="D4" s="13">
        <v>6.0999999999999999E-2</v>
      </c>
    </row>
    <row r="5" spans="1:5" x14ac:dyDescent="0.25">
      <c r="A5" t="s">
        <v>408</v>
      </c>
      <c r="B5" s="87">
        <v>17</v>
      </c>
      <c r="C5" s="119">
        <v>0.3</v>
      </c>
      <c r="D5" s="13">
        <v>6.0999999999999999E-2</v>
      </c>
    </row>
    <row r="6" spans="1:5" x14ac:dyDescent="0.25">
      <c r="A6" t="s">
        <v>408</v>
      </c>
      <c r="B6" s="87">
        <v>22</v>
      </c>
      <c r="C6" s="119">
        <v>0.29399999999999998</v>
      </c>
      <c r="D6" s="13">
        <v>6.0999999999999999E-2</v>
      </c>
    </row>
    <row r="7" spans="1:5" x14ac:dyDescent="0.25">
      <c r="A7" t="s">
        <v>408</v>
      </c>
      <c r="B7" s="87">
        <v>23</v>
      </c>
      <c r="C7" s="119">
        <v>0.29399999999999998</v>
      </c>
      <c r="D7" s="13">
        <v>6.0999999999999999E-2</v>
      </c>
    </row>
    <row r="8" spans="1:5" x14ac:dyDescent="0.25">
      <c r="A8" t="s">
        <v>408</v>
      </c>
      <c r="B8" s="87">
        <v>39</v>
      </c>
      <c r="C8" s="119">
        <v>0.223</v>
      </c>
      <c r="D8" s="13">
        <v>6.0999999999999999E-2</v>
      </c>
    </row>
    <row r="9" spans="1:5" x14ac:dyDescent="0.25">
      <c r="A9" t="s">
        <v>408</v>
      </c>
      <c r="B9" s="87">
        <v>52</v>
      </c>
      <c r="C9" s="119">
        <v>0.19600000000000001</v>
      </c>
      <c r="D9" s="13">
        <v>6.0999999999999999E-2</v>
      </c>
    </row>
    <row r="10" spans="1:5" x14ac:dyDescent="0.25">
      <c r="A10" t="s">
        <v>408</v>
      </c>
      <c r="B10" s="87">
        <v>64</v>
      </c>
      <c r="C10" s="119">
        <v>0.18099999999999999</v>
      </c>
      <c r="D10" s="13">
        <v>6.0999999999999999E-2</v>
      </c>
    </row>
    <row r="11" spans="1:5" x14ac:dyDescent="0.25">
      <c r="A11" t="s">
        <v>408</v>
      </c>
      <c r="B11" s="87">
        <v>66</v>
      </c>
      <c r="C11" s="119">
        <v>0.183</v>
      </c>
      <c r="D11" s="13">
        <v>6.0999999999999999E-2</v>
      </c>
    </row>
    <row r="12" spans="1:5" x14ac:dyDescent="0.25">
      <c r="A12" t="s">
        <v>408</v>
      </c>
      <c r="B12" s="87">
        <v>67</v>
      </c>
      <c r="C12" s="119">
        <v>0.17699999999999999</v>
      </c>
      <c r="D12" s="13">
        <v>6.0999999999999999E-2</v>
      </c>
    </row>
    <row r="13" spans="1:5" x14ac:dyDescent="0.25">
      <c r="A13" t="s">
        <v>408</v>
      </c>
      <c r="B13" s="87">
        <v>75</v>
      </c>
      <c r="C13" s="119">
        <v>0.17100000000000001</v>
      </c>
      <c r="D13" s="13">
        <v>6.0999999999999999E-2</v>
      </c>
    </row>
    <row r="14" spans="1:5" x14ac:dyDescent="0.25">
      <c r="A14" t="s">
        <v>408</v>
      </c>
      <c r="B14" s="87">
        <v>78</v>
      </c>
      <c r="C14" s="119">
        <v>0.16800000000000001</v>
      </c>
      <c r="D14" s="13">
        <v>6.0999999999999999E-2</v>
      </c>
    </row>
    <row r="15" spans="1:5" x14ac:dyDescent="0.25">
      <c r="A15" t="s">
        <v>408</v>
      </c>
      <c r="B15" s="87">
        <v>85</v>
      </c>
      <c r="C15" s="119">
        <v>0.16300000000000001</v>
      </c>
      <c r="D15" s="13">
        <v>6.0999999999999999E-2</v>
      </c>
    </row>
    <row r="16" spans="1:5" x14ac:dyDescent="0.25">
      <c r="A16" t="s">
        <v>408</v>
      </c>
      <c r="B16" s="87">
        <v>86</v>
      </c>
      <c r="C16" s="119">
        <v>0.161</v>
      </c>
      <c r="D16" s="13">
        <v>6.0999999999999999E-2</v>
      </c>
    </row>
    <row r="17" spans="1:5" x14ac:dyDescent="0.25">
      <c r="A17" t="s">
        <v>408</v>
      </c>
      <c r="B17" s="87">
        <v>87</v>
      </c>
      <c r="C17" s="119">
        <v>0.16</v>
      </c>
      <c r="D17" s="13">
        <v>6.0999999999999999E-2</v>
      </c>
    </row>
    <row r="18" spans="1:5" x14ac:dyDescent="0.25">
      <c r="A18" t="s">
        <v>408</v>
      </c>
      <c r="B18" s="87">
        <v>89</v>
      </c>
      <c r="C18" s="119">
        <v>0.159</v>
      </c>
      <c r="D18" s="13">
        <v>6.0999999999999999E-2</v>
      </c>
    </row>
    <row r="19" spans="1:5" x14ac:dyDescent="0.25">
      <c r="A19" t="s">
        <v>408</v>
      </c>
      <c r="B19" s="87">
        <v>91</v>
      </c>
      <c r="C19" s="119">
        <v>0.159</v>
      </c>
      <c r="D19" s="13">
        <v>6.0999999999999999E-2</v>
      </c>
    </row>
    <row r="20" spans="1:5" x14ac:dyDescent="0.25">
      <c r="A20" t="s">
        <v>408</v>
      </c>
      <c r="B20" s="87">
        <v>96</v>
      </c>
      <c r="C20" s="119">
        <v>0.155</v>
      </c>
      <c r="D20" s="13">
        <v>6.0999999999999999E-2</v>
      </c>
    </row>
    <row r="21" spans="1:5" x14ac:dyDescent="0.25">
      <c r="A21" t="s">
        <v>408</v>
      </c>
      <c r="B21" s="87">
        <v>98</v>
      </c>
      <c r="C21" s="119">
        <v>0.153</v>
      </c>
      <c r="D21" s="13">
        <v>6.0999999999999999E-2</v>
      </c>
    </row>
    <row r="22" spans="1:5" x14ac:dyDescent="0.25">
      <c r="A22" t="s">
        <v>408</v>
      </c>
      <c r="B22" s="87">
        <v>103</v>
      </c>
      <c r="C22" s="119">
        <v>0.153</v>
      </c>
      <c r="D22" s="13">
        <v>6.0999999999999999E-2</v>
      </c>
    </row>
    <row r="23" spans="1:5" x14ac:dyDescent="0.25">
      <c r="A23" t="s">
        <v>408</v>
      </c>
      <c r="B23" s="87">
        <v>106</v>
      </c>
      <c r="C23" s="119">
        <v>0.152</v>
      </c>
      <c r="D23" s="13">
        <v>6.0999999999999999E-2</v>
      </c>
    </row>
    <row r="24" spans="1:5" x14ac:dyDescent="0.25">
      <c r="A24" t="s">
        <v>408</v>
      </c>
      <c r="B24" s="87">
        <v>111</v>
      </c>
      <c r="C24" s="119">
        <v>0.14799999999999999</v>
      </c>
      <c r="D24" s="13">
        <v>6.0999999999999999E-2</v>
      </c>
    </row>
    <row r="25" spans="1:5" x14ac:dyDescent="0.25">
      <c r="A25" t="s">
        <v>408</v>
      </c>
      <c r="B25" s="87">
        <v>112</v>
      </c>
      <c r="C25" s="119">
        <v>0.14699999999999999</v>
      </c>
      <c r="D25" s="13">
        <v>6.0999999999999999E-2</v>
      </c>
    </row>
    <row r="26" spans="1:5" x14ac:dyDescent="0.25">
      <c r="A26" t="s">
        <v>408</v>
      </c>
      <c r="B26" s="87">
        <v>113</v>
      </c>
      <c r="C26" s="119">
        <v>0.14799999999999999</v>
      </c>
      <c r="D26" s="13">
        <v>6.0999999999999999E-2</v>
      </c>
    </row>
    <row r="27" spans="1:5" x14ac:dyDescent="0.25">
      <c r="A27" t="s">
        <v>408</v>
      </c>
      <c r="B27" s="87">
        <v>114</v>
      </c>
      <c r="C27" s="119">
        <v>0.14599999999999999</v>
      </c>
      <c r="D27" s="13">
        <v>6.0999999999999999E-2</v>
      </c>
    </row>
    <row r="28" spans="1:5" x14ac:dyDescent="0.25">
      <c r="A28" t="s">
        <v>408</v>
      </c>
      <c r="B28" s="87">
        <v>116</v>
      </c>
      <c r="C28" s="119">
        <v>0.14699999999999999</v>
      </c>
      <c r="D28" s="13">
        <v>6.0999999999999999E-2</v>
      </c>
    </row>
    <row r="29" spans="1:5" x14ac:dyDescent="0.25">
      <c r="A29" t="s">
        <v>408</v>
      </c>
      <c r="B29" s="87">
        <v>118</v>
      </c>
      <c r="C29" s="119">
        <v>0.14399999999999999</v>
      </c>
      <c r="D29" s="13">
        <v>6.0999999999999999E-2</v>
      </c>
      <c r="E29" s="119">
        <v>1E-3</v>
      </c>
    </row>
    <row r="30" spans="1:5" x14ac:dyDescent="0.25">
      <c r="A30" t="s">
        <v>408</v>
      </c>
      <c r="B30" s="87">
        <v>119</v>
      </c>
      <c r="C30" s="119">
        <v>0.14699999999999999</v>
      </c>
      <c r="D30" s="13">
        <v>6.0999999999999999E-2</v>
      </c>
      <c r="E30" s="119">
        <v>0</v>
      </c>
    </row>
    <row r="31" spans="1:5" x14ac:dyDescent="0.25">
      <c r="A31" t="s">
        <v>408</v>
      </c>
      <c r="B31" s="87">
        <v>120</v>
      </c>
      <c r="C31" s="119">
        <v>0.14299999999999999</v>
      </c>
      <c r="D31" s="13">
        <v>6.0999999999999999E-2</v>
      </c>
      <c r="E31" s="119">
        <v>1E-3</v>
      </c>
    </row>
    <row r="32" spans="1:5" x14ac:dyDescent="0.25">
      <c r="A32" t="s">
        <v>408</v>
      </c>
      <c r="B32" s="87">
        <v>125</v>
      </c>
      <c r="C32" s="119">
        <v>0.14299999999999999</v>
      </c>
      <c r="D32" s="13">
        <v>6.0999999999999999E-2</v>
      </c>
      <c r="E32" s="119">
        <v>1E-3</v>
      </c>
    </row>
    <row r="33" spans="1:5" x14ac:dyDescent="0.25">
      <c r="A33" t="s">
        <v>408</v>
      </c>
      <c r="B33" s="87">
        <v>127</v>
      </c>
      <c r="C33" s="119">
        <v>0.14199999999999999</v>
      </c>
      <c r="D33" s="13">
        <v>6.0999999999999999E-2</v>
      </c>
      <c r="E33" s="119">
        <v>1E-3</v>
      </c>
    </row>
    <row r="34" spans="1:5" x14ac:dyDescent="0.25">
      <c r="A34" t="s">
        <v>408</v>
      </c>
      <c r="B34" s="87">
        <v>131</v>
      </c>
      <c r="C34" s="119">
        <v>0.14000000000000001</v>
      </c>
      <c r="D34" s="13">
        <v>6.0999999999999999E-2</v>
      </c>
      <c r="E34" s="119">
        <v>2E-3</v>
      </c>
    </row>
    <row r="35" spans="1:5" x14ac:dyDescent="0.25">
      <c r="A35" t="s">
        <v>408</v>
      </c>
      <c r="B35" s="87">
        <v>131</v>
      </c>
      <c r="C35" s="119">
        <v>0.14199999999999999</v>
      </c>
      <c r="D35" s="13">
        <v>6.0999999999999999E-2</v>
      </c>
      <c r="E35" s="119">
        <v>1E-3</v>
      </c>
    </row>
    <row r="36" spans="1:5" x14ac:dyDescent="0.25">
      <c r="A36" t="s">
        <v>408</v>
      </c>
      <c r="B36" s="87">
        <v>131</v>
      </c>
      <c r="C36" s="119">
        <v>0.13900000000000001</v>
      </c>
      <c r="D36" s="13">
        <v>6.0999999999999999E-2</v>
      </c>
      <c r="E36" s="119">
        <v>2E-3</v>
      </c>
    </row>
    <row r="37" spans="1:5" x14ac:dyDescent="0.25">
      <c r="A37" t="s">
        <v>408</v>
      </c>
      <c r="B37" s="87">
        <v>132</v>
      </c>
      <c r="C37" s="119">
        <v>0.13900000000000001</v>
      </c>
      <c r="D37" s="13">
        <v>6.0999999999999999E-2</v>
      </c>
      <c r="E37" s="119">
        <v>2E-3</v>
      </c>
    </row>
    <row r="38" spans="1:5" x14ac:dyDescent="0.25">
      <c r="A38" t="s">
        <v>408</v>
      </c>
      <c r="B38" s="87">
        <v>133</v>
      </c>
      <c r="C38" s="119">
        <v>0.13800000000000001</v>
      </c>
      <c r="D38" s="13">
        <v>6.0999999999999999E-2</v>
      </c>
      <c r="E38" s="119">
        <v>3.0000000000000001E-3</v>
      </c>
    </row>
    <row r="39" spans="1:5" x14ac:dyDescent="0.25">
      <c r="A39" t="s">
        <v>408</v>
      </c>
      <c r="B39" s="87">
        <v>138</v>
      </c>
      <c r="C39" s="119">
        <v>0.13700000000000001</v>
      </c>
      <c r="D39" s="13">
        <v>6.0999999999999999E-2</v>
      </c>
      <c r="E39" s="119">
        <v>4.0000000000000001E-3</v>
      </c>
    </row>
    <row r="40" spans="1:5" x14ac:dyDescent="0.25">
      <c r="A40" t="s">
        <v>408</v>
      </c>
      <c r="B40" s="87">
        <v>146</v>
      </c>
      <c r="C40" s="119">
        <v>0.13600000000000001</v>
      </c>
      <c r="D40" s="13">
        <v>6.0999999999999999E-2</v>
      </c>
      <c r="E40" s="119">
        <v>5.0000000000000001E-3</v>
      </c>
    </row>
    <row r="41" spans="1:5" x14ac:dyDescent="0.25">
      <c r="A41" t="s">
        <v>408</v>
      </c>
      <c r="B41" s="87">
        <v>151</v>
      </c>
      <c r="C41" s="119">
        <v>0.13300000000000001</v>
      </c>
      <c r="D41" s="13">
        <v>6.0999999999999999E-2</v>
      </c>
      <c r="E41" s="119">
        <v>7.0000000000000001E-3</v>
      </c>
    </row>
    <row r="42" spans="1:5" x14ac:dyDescent="0.25">
      <c r="A42" t="s">
        <v>408</v>
      </c>
      <c r="B42" s="87">
        <v>164</v>
      </c>
      <c r="C42" s="119">
        <v>0.13</v>
      </c>
      <c r="D42" s="13">
        <v>6.0999999999999999E-2</v>
      </c>
      <c r="E42" s="119">
        <v>8.0000000000000002E-3</v>
      </c>
    </row>
    <row r="43" spans="1:5" x14ac:dyDescent="0.25">
      <c r="A43" t="s">
        <v>408</v>
      </c>
      <c r="B43" s="87">
        <v>167</v>
      </c>
      <c r="C43" s="119">
        <v>0.13</v>
      </c>
      <c r="D43" s="13">
        <v>6.0999999999999999E-2</v>
      </c>
      <c r="E43" s="119">
        <v>8.0000000000000002E-3</v>
      </c>
    </row>
    <row r="44" spans="1:5" x14ac:dyDescent="0.25">
      <c r="A44" t="s">
        <v>408</v>
      </c>
      <c r="B44" s="87">
        <v>168</v>
      </c>
      <c r="C44" s="119">
        <v>0.129</v>
      </c>
      <c r="D44" s="13">
        <v>6.0999999999999999E-2</v>
      </c>
      <c r="E44" s="119">
        <v>8.9999999999999993E-3</v>
      </c>
    </row>
    <row r="45" spans="1:5" x14ac:dyDescent="0.25">
      <c r="A45" t="s">
        <v>408</v>
      </c>
      <c r="B45" s="87">
        <v>173</v>
      </c>
      <c r="C45" s="119">
        <v>0.13</v>
      </c>
      <c r="D45" s="13">
        <v>6.0999999999999999E-2</v>
      </c>
      <c r="E45" s="119">
        <v>8.0000000000000002E-3</v>
      </c>
    </row>
    <row r="46" spans="1:5" x14ac:dyDescent="0.25">
      <c r="A46" t="s">
        <v>408</v>
      </c>
      <c r="B46" s="87">
        <v>177</v>
      </c>
      <c r="C46" s="119">
        <v>0.127</v>
      </c>
      <c r="D46" s="13">
        <v>6.0999999999999999E-2</v>
      </c>
      <c r="E46" s="119">
        <v>1.0999999999999999E-2</v>
      </c>
    </row>
    <row r="47" spans="1:5" x14ac:dyDescent="0.25">
      <c r="A47" t="s">
        <v>408</v>
      </c>
      <c r="B47" s="87">
        <v>187</v>
      </c>
      <c r="C47" s="119">
        <v>0.126</v>
      </c>
      <c r="D47" s="13">
        <v>6.0999999999999999E-2</v>
      </c>
      <c r="E47" s="119">
        <v>1.0999999999999999E-2</v>
      </c>
    </row>
    <row r="48" spans="1:5" x14ac:dyDescent="0.25">
      <c r="A48" t="s">
        <v>408</v>
      </c>
      <c r="B48" s="87">
        <v>192</v>
      </c>
      <c r="C48" s="119">
        <v>0.125</v>
      </c>
      <c r="D48" s="13">
        <v>6.0999999999999999E-2</v>
      </c>
      <c r="E48" s="119">
        <v>1.2E-2</v>
      </c>
    </row>
    <row r="49" spans="1:5" x14ac:dyDescent="0.25">
      <c r="A49" t="s">
        <v>408</v>
      </c>
      <c r="B49" s="87">
        <v>197</v>
      </c>
      <c r="C49" s="119">
        <v>0.123</v>
      </c>
      <c r="D49" s="13">
        <v>6.0999999999999999E-2</v>
      </c>
      <c r="E49" s="119">
        <v>1.2E-2</v>
      </c>
    </row>
    <row r="50" spans="1:5" x14ac:dyDescent="0.25">
      <c r="A50" t="s">
        <v>408</v>
      </c>
      <c r="B50" s="87">
        <v>207</v>
      </c>
      <c r="C50" s="119">
        <v>0.121</v>
      </c>
      <c r="D50" s="13">
        <v>6.0999999999999999E-2</v>
      </c>
      <c r="E50" s="119">
        <v>1.4E-2</v>
      </c>
    </row>
    <row r="51" spans="1:5" x14ac:dyDescent="0.25">
      <c r="A51" t="s">
        <v>408</v>
      </c>
      <c r="B51" s="87">
        <v>212</v>
      </c>
      <c r="C51" s="119">
        <v>0.121</v>
      </c>
      <c r="D51" s="13">
        <v>6.0999999999999999E-2</v>
      </c>
      <c r="E51" s="119">
        <v>1.4999999999999999E-2</v>
      </c>
    </row>
    <row r="52" spans="1:5" x14ac:dyDescent="0.25">
      <c r="A52" t="s">
        <v>408</v>
      </c>
      <c r="B52" s="87">
        <v>213</v>
      </c>
      <c r="C52" s="119">
        <v>0.121</v>
      </c>
      <c r="D52" s="13">
        <v>6.0999999999999999E-2</v>
      </c>
      <c r="E52" s="119">
        <v>1.4999999999999999E-2</v>
      </c>
    </row>
    <row r="53" spans="1:5" x14ac:dyDescent="0.25">
      <c r="A53" t="s">
        <v>408</v>
      </c>
      <c r="B53" s="87">
        <v>221</v>
      </c>
      <c r="C53" s="119">
        <v>0.11899999999999999</v>
      </c>
      <c r="D53" s="13">
        <v>6.0999999999999999E-2</v>
      </c>
      <c r="E53" s="119">
        <v>1.4999999999999999E-2</v>
      </c>
    </row>
    <row r="54" spans="1:5" x14ac:dyDescent="0.25">
      <c r="A54" t="s">
        <v>408</v>
      </c>
      <c r="B54" s="87">
        <v>223</v>
      </c>
      <c r="C54" s="119">
        <v>0.11899999999999999</v>
      </c>
      <c r="D54" s="13">
        <v>6.0999999999999999E-2</v>
      </c>
      <c r="E54" s="119">
        <v>1.4999999999999999E-2</v>
      </c>
    </row>
    <row r="55" spans="1:5" x14ac:dyDescent="0.25">
      <c r="A55" t="s">
        <v>408</v>
      </c>
      <c r="B55" s="87">
        <v>225</v>
      </c>
      <c r="C55" s="119">
        <v>0.11799999999999999</v>
      </c>
      <c r="D55" s="13">
        <v>6.0999999999999999E-2</v>
      </c>
      <c r="E55" s="119">
        <v>1.4999999999999999E-2</v>
      </c>
    </row>
    <row r="56" spans="1:5" x14ac:dyDescent="0.25">
      <c r="A56" t="s">
        <v>408</v>
      </c>
      <c r="B56" s="87">
        <v>226</v>
      </c>
      <c r="C56" s="119">
        <v>0.11899999999999999</v>
      </c>
      <c r="D56" s="13">
        <v>6.0999999999999999E-2</v>
      </c>
      <c r="E56" s="119">
        <v>1.4999999999999999E-2</v>
      </c>
    </row>
    <row r="57" spans="1:5" x14ac:dyDescent="0.25">
      <c r="A57" t="s">
        <v>408</v>
      </c>
      <c r="B57" s="87">
        <v>228</v>
      </c>
      <c r="C57" s="119">
        <v>0.11899999999999999</v>
      </c>
      <c r="D57" s="13">
        <v>6.0999999999999999E-2</v>
      </c>
      <c r="E57" s="119">
        <v>1.4999999999999999E-2</v>
      </c>
    </row>
    <row r="58" spans="1:5" x14ac:dyDescent="0.25">
      <c r="A58" t="s">
        <v>408</v>
      </c>
      <c r="B58" s="87">
        <v>238</v>
      </c>
      <c r="C58" s="119">
        <v>0.11700000000000001</v>
      </c>
      <c r="D58" s="13">
        <v>6.0999999999999999E-2</v>
      </c>
      <c r="E58" s="119">
        <v>1.6E-2</v>
      </c>
    </row>
    <row r="59" spans="1:5" x14ac:dyDescent="0.25">
      <c r="A59" t="s">
        <v>408</v>
      </c>
      <c r="B59" s="87">
        <v>243</v>
      </c>
      <c r="C59" s="119">
        <v>0.11700000000000001</v>
      </c>
      <c r="D59" s="13">
        <v>6.0999999999999999E-2</v>
      </c>
      <c r="E59" s="119">
        <v>1.7000000000000001E-2</v>
      </c>
    </row>
    <row r="60" spans="1:5" x14ac:dyDescent="0.25">
      <c r="A60" t="s">
        <v>408</v>
      </c>
      <c r="B60" s="87">
        <v>249</v>
      </c>
      <c r="C60" s="119">
        <v>0.11600000000000001</v>
      </c>
      <c r="D60" s="13">
        <v>6.0999999999999999E-2</v>
      </c>
      <c r="E60" s="119">
        <v>1.7000000000000001E-2</v>
      </c>
    </row>
    <row r="61" spans="1:5" x14ac:dyDescent="0.25">
      <c r="A61" t="s">
        <v>408</v>
      </c>
      <c r="B61" s="87">
        <v>258</v>
      </c>
      <c r="C61" s="119">
        <v>0.115</v>
      </c>
      <c r="D61" s="13">
        <v>6.0999999999999999E-2</v>
      </c>
      <c r="E61" s="119">
        <v>1.7999999999999999E-2</v>
      </c>
    </row>
    <row r="62" spans="1:5" x14ac:dyDescent="0.25">
      <c r="A62" t="s">
        <v>408</v>
      </c>
      <c r="B62" s="87">
        <v>281</v>
      </c>
      <c r="C62" s="119">
        <v>0.112</v>
      </c>
      <c r="D62" s="13">
        <v>6.0999999999999999E-2</v>
      </c>
      <c r="E62" s="119">
        <v>0.02</v>
      </c>
    </row>
    <row r="63" spans="1:5" x14ac:dyDescent="0.25">
      <c r="A63" t="s">
        <v>408</v>
      </c>
      <c r="B63" s="87">
        <v>296</v>
      </c>
      <c r="C63" s="119">
        <v>0.111</v>
      </c>
      <c r="D63" s="13">
        <v>6.0999999999999999E-2</v>
      </c>
      <c r="E63" s="119">
        <v>0.02</v>
      </c>
    </row>
    <row r="64" spans="1:5" x14ac:dyDescent="0.25">
      <c r="A64" t="s">
        <v>408</v>
      </c>
      <c r="B64" s="87">
        <v>309</v>
      </c>
      <c r="C64" s="119">
        <v>0.109</v>
      </c>
      <c r="D64" s="13">
        <v>6.0999999999999999E-2</v>
      </c>
      <c r="E64" s="119">
        <v>2.1000000000000001E-2</v>
      </c>
    </row>
    <row r="65" spans="1:5" x14ac:dyDescent="0.25">
      <c r="A65" t="s">
        <v>408</v>
      </c>
      <c r="B65" s="87">
        <v>311</v>
      </c>
      <c r="C65" s="119">
        <v>0.11</v>
      </c>
      <c r="D65" s="13">
        <v>6.0999999999999999E-2</v>
      </c>
      <c r="E65" s="119">
        <v>2.1000000000000001E-2</v>
      </c>
    </row>
    <row r="66" spans="1:5" x14ac:dyDescent="0.25">
      <c r="A66" t="s">
        <v>408</v>
      </c>
      <c r="B66" s="87">
        <v>333</v>
      </c>
      <c r="C66" s="119">
        <v>0.108</v>
      </c>
      <c r="D66" s="13">
        <v>6.0999999999999999E-2</v>
      </c>
      <c r="E66" s="119">
        <v>2.3E-2</v>
      </c>
    </row>
  </sheetData>
  <sortState ref="A2:D87">
    <sortCondition ref="B2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A2" sqref="A2"/>
    </sheetView>
  </sheetViews>
  <sheetFormatPr defaultRowHeight="15" x14ac:dyDescent="0.25"/>
  <cols>
    <col min="1" max="1" width="15.28515625" bestFit="1" customWidth="1"/>
    <col min="2" max="2" width="11" style="31" bestFit="1" customWidth="1"/>
    <col min="3" max="3" width="9" style="31" bestFit="1" customWidth="1"/>
    <col min="4" max="4" width="8.5703125" style="31" bestFit="1" customWidth="1"/>
    <col min="5" max="5" width="11" style="31" bestFit="1" customWidth="1"/>
  </cols>
  <sheetData>
    <row r="1" spans="1:5" x14ac:dyDescent="0.25">
      <c r="A1" t="s">
        <v>360</v>
      </c>
      <c r="B1" s="31" t="s">
        <v>361</v>
      </c>
      <c r="C1" s="31" t="s">
        <v>363</v>
      </c>
      <c r="D1" s="31" t="s">
        <v>364</v>
      </c>
      <c r="E1" s="31" t="s">
        <v>415</v>
      </c>
    </row>
    <row r="2" spans="1:5" x14ac:dyDescent="0.25">
      <c r="A2" t="s">
        <v>406</v>
      </c>
      <c r="B2" s="31">
        <v>0</v>
      </c>
      <c r="C2" s="60">
        <v>0.5</v>
      </c>
      <c r="D2" s="54">
        <v>2.8000000000000001E-2</v>
      </c>
      <c r="E2" s="60"/>
    </row>
    <row r="3" spans="1:5" x14ac:dyDescent="0.25">
      <c r="A3" t="s">
        <v>406</v>
      </c>
      <c r="B3">
        <v>7</v>
      </c>
      <c r="C3" s="60">
        <v>0.42580000000000001</v>
      </c>
      <c r="D3" s="54">
        <v>2.8000000000000001E-2</v>
      </c>
      <c r="E3" s="60"/>
    </row>
    <row r="4" spans="1:5" x14ac:dyDescent="0.25">
      <c r="A4" t="s">
        <v>406</v>
      </c>
      <c r="B4">
        <v>8</v>
      </c>
      <c r="C4" s="60">
        <v>0.38979999999999998</v>
      </c>
      <c r="D4" s="54">
        <v>2.8000000000000001E-2</v>
      </c>
      <c r="E4" s="60"/>
    </row>
    <row r="5" spans="1:5" x14ac:dyDescent="0.25">
      <c r="A5" t="s">
        <v>406</v>
      </c>
      <c r="B5">
        <v>12</v>
      </c>
      <c r="C5" s="60">
        <v>0.31719999999999998</v>
      </c>
      <c r="D5" s="54">
        <v>2.8000000000000001E-2</v>
      </c>
      <c r="E5" s="60"/>
    </row>
    <row r="6" spans="1:5" x14ac:dyDescent="0.25">
      <c r="A6" t="s">
        <v>406</v>
      </c>
      <c r="B6">
        <v>18</v>
      </c>
      <c r="C6" s="60">
        <v>0.2397</v>
      </c>
      <c r="D6" s="54">
        <v>2.8000000000000001E-2</v>
      </c>
      <c r="E6" s="60"/>
    </row>
    <row r="7" spans="1:5" x14ac:dyDescent="0.25">
      <c r="A7" t="s">
        <v>406</v>
      </c>
      <c r="B7">
        <v>29</v>
      </c>
      <c r="C7" s="60">
        <v>0.17899999999999999</v>
      </c>
      <c r="D7" s="54">
        <v>2.8000000000000001E-2</v>
      </c>
      <c r="E7" s="60"/>
    </row>
    <row r="8" spans="1:5" x14ac:dyDescent="0.25">
      <c r="A8" t="s">
        <v>406</v>
      </c>
      <c r="B8">
        <v>39</v>
      </c>
      <c r="C8" s="60">
        <v>0.15210000000000001</v>
      </c>
      <c r="D8" s="54">
        <v>2.8000000000000001E-2</v>
      </c>
      <c r="E8" s="60"/>
    </row>
    <row r="9" spans="1:5" x14ac:dyDescent="0.25">
      <c r="A9" t="s">
        <v>406</v>
      </c>
      <c r="B9">
        <v>40</v>
      </c>
      <c r="C9" s="60">
        <v>0.14910000000000001</v>
      </c>
      <c r="D9" s="54">
        <v>2.8000000000000001E-2</v>
      </c>
      <c r="E9" s="60"/>
    </row>
    <row r="10" spans="1:5" x14ac:dyDescent="0.25">
      <c r="A10" t="s">
        <v>406</v>
      </c>
      <c r="B10">
        <v>51</v>
      </c>
      <c r="C10" s="60">
        <v>0.13370000000000001</v>
      </c>
      <c r="D10" s="54">
        <v>2.8000000000000001E-2</v>
      </c>
      <c r="E10" s="60"/>
    </row>
    <row r="11" spans="1:5" x14ac:dyDescent="0.25">
      <c r="A11" t="s">
        <v>406</v>
      </c>
      <c r="B11">
        <v>60</v>
      </c>
      <c r="C11" s="60">
        <v>0.12330000000000001</v>
      </c>
      <c r="D11" s="54">
        <v>2.8000000000000001E-2</v>
      </c>
      <c r="E11" s="60"/>
    </row>
    <row r="12" spans="1:5" x14ac:dyDescent="0.25">
      <c r="A12" t="s">
        <v>406</v>
      </c>
      <c r="B12">
        <v>70</v>
      </c>
      <c r="C12" s="60">
        <v>0.1132</v>
      </c>
      <c r="D12" s="54">
        <v>2.8000000000000001E-2</v>
      </c>
      <c r="E12" s="60"/>
    </row>
    <row r="13" spans="1:5" x14ac:dyDescent="0.25">
      <c r="A13" t="s">
        <v>406</v>
      </c>
      <c r="B13">
        <v>74</v>
      </c>
      <c r="C13" s="60">
        <v>0.1103</v>
      </c>
      <c r="D13" s="54">
        <v>2.8000000000000001E-2</v>
      </c>
      <c r="E13" s="60"/>
    </row>
    <row r="14" spans="1:5" x14ac:dyDescent="0.25">
      <c r="A14" t="s">
        <v>406</v>
      </c>
      <c r="B14">
        <v>78</v>
      </c>
      <c r="C14" s="60">
        <v>0.1089</v>
      </c>
      <c r="D14" s="54">
        <v>2.8000000000000001E-2</v>
      </c>
      <c r="E14" s="60"/>
    </row>
    <row r="15" spans="1:5" x14ac:dyDescent="0.25">
      <c r="A15" t="s">
        <v>406</v>
      </c>
      <c r="B15">
        <v>81</v>
      </c>
      <c r="C15" s="60">
        <v>0.107</v>
      </c>
      <c r="D15" s="54">
        <v>2.8000000000000001E-2</v>
      </c>
      <c r="E15" s="60"/>
    </row>
    <row r="16" spans="1:5" x14ac:dyDescent="0.25">
      <c r="A16" t="s">
        <v>406</v>
      </c>
      <c r="B16">
        <v>86</v>
      </c>
      <c r="C16" s="60">
        <v>0.1033</v>
      </c>
      <c r="D16" s="54">
        <v>2.8000000000000001E-2</v>
      </c>
      <c r="E16" s="60"/>
    </row>
    <row r="17" spans="1:5" x14ac:dyDescent="0.25">
      <c r="A17" t="s">
        <v>406</v>
      </c>
      <c r="B17">
        <v>92</v>
      </c>
      <c r="C17" s="60">
        <v>0.10009999999999999</v>
      </c>
      <c r="D17" s="54">
        <v>2.8000000000000001E-2</v>
      </c>
      <c r="E17" s="60"/>
    </row>
    <row r="18" spans="1:5" x14ac:dyDescent="0.25">
      <c r="A18" t="s">
        <v>406</v>
      </c>
      <c r="B18">
        <v>94</v>
      </c>
      <c r="C18" s="60">
        <v>9.9599999999999994E-2</v>
      </c>
      <c r="D18" s="54">
        <v>2.8000000000000001E-2</v>
      </c>
      <c r="E18" s="60"/>
    </row>
    <row r="19" spans="1:5" x14ac:dyDescent="0.25">
      <c r="A19" t="s">
        <v>406</v>
      </c>
      <c r="B19">
        <v>97</v>
      </c>
      <c r="C19" s="60">
        <v>9.8599999999999993E-2</v>
      </c>
      <c r="D19" s="54">
        <v>2.8000000000000001E-2</v>
      </c>
      <c r="E19" s="60"/>
    </row>
    <row r="20" spans="1:5" x14ac:dyDescent="0.25">
      <c r="A20" t="s">
        <v>406</v>
      </c>
      <c r="B20">
        <v>102</v>
      </c>
      <c r="C20" s="60">
        <v>9.6100000000000005E-2</v>
      </c>
      <c r="D20" s="54">
        <v>2.8000000000000001E-2</v>
      </c>
      <c r="E20" s="60"/>
    </row>
    <row r="21" spans="1:5" x14ac:dyDescent="0.25">
      <c r="A21" t="s">
        <v>406</v>
      </c>
      <c r="B21">
        <v>104</v>
      </c>
      <c r="C21" s="60">
        <v>9.4899999999999998E-2</v>
      </c>
      <c r="D21" s="54">
        <v>2.8000000000000001E-2</v>
      </c>
      <c r="E21" s="60"/>
    </row>
    <row r="22" spans="1:5" x14ac:dyDescent="0.25">
      <c r="A22" t="s">
        <v>406</v>
      </c>
      <c r="B22">
        <v>106</v>
      </c>
      <c r="C22" s="60">
        <v>9.3799999999999994E-2</v>
      </c>
      <c r="D22" s="54">
        <v>2.8000000000000001E-2</v>
      </c>
      <c r="E22" s="60"/>
    </row>
    <row r="23" spans="1:5" x14ac:dyDescent="0.25">
      <c r="A23" t="s">
        <v>406</v>
      </c>
      <c r="B23">
        <v>108</v>
      </c>
      <c r="C23" s="60">
        <v>9.2600000000000002E-2</v>
      </c>
      <c r="D23" s="54">
        <v>2.8000000000000001E-2</v>
      </c>
      <c r="E23" s="60"/>
    </row>
    <row r="24" spans="1:5" x14ac:dyDescent="0.25">
      <c r="A24" t="s">
        <v>406</v>
      </c>
      <c r="B24">
        <v>120</v>
      </c>
      <c r="C24" s="60">
        <v>8.9700000000000002E-2</v>
      </c>
      <c r="D24" s="54">
        <v>2.8000000000000001E-2</v>
      </c>
      <c r="E24" s="60"/>
    </row>
    <row r="25" spans="1:5" x14ac:dyDescent="0.25">
      <c r="A25" t="s">
        <v>406</v>
      </c>
      <c r="B25">
        <v>124</v>
      </c>
      <c r="C25" s="60">
        <v>8.7999999999999995E-2</v>
      </c>
      <c r="D25" s="54">
        <v>2.8000000000000001E-2</v>
      </c>
      <c r="E25" s="60"/>
    </row>
    <row r="26" spans="1:5" x14ac:dyDescent="0.25">
      <c r="A26" t="s">
        <v>406</v>
      </c>
      <c r="B26">
        <v>132</v>
      </c>
      <c r="C26" s="60">
        <v>8.6099999999999996E-2</v>
      </c>
      <c r="D26" s="54">
        <v>2.8000000000000001E-2</v>
      </c>
      <c r="E26" s="60"/>
    </row>
    <row r="27" spans="1:5" x14ac:dyDescent="0.25">
      <c r="A27" t="s">
        <v>406</v>
      </c>
      <c r="B27">
        <v>144</v>
      </c>
      <c r="C27" s="60">
        <v>8.2699999999999996E-2</v>
      </c>
      <c r="D27" s="54">
        <v>2.8000000000000001E-2</v>
      </c>
      <c r="E27" s="60"/>
    </row>
    <row r="28" spans="1:5" x14ac:dyDescent="0.25">
      <c r="A28" t="s">
        <v>406</v>
      </c>
      <c r="B28">
        <v>155</v>
      </c>
      <c r="C28" s="60">
        <v>8.09E-2</v>
      </c>
      <c r="D28" s="54">
        <v>2.8000000000000001E-2</v>
      </c>
      <c r="E28" s="60"/>
    </row>
    <row r="29" spans="1:5" x14ac:dyDescent="0.25">
      <c r="A29" t="s">
        <v>406</v>
      </c>
      <c r="B29">
        <v>161</v>
      </c>
      <c r="C29" s="60">
        <v>7.9500000000000001E-2</v>
      </c>
      <c r="D29" s="54">
        <v>2.8000000000000001E-2</v>
      </c>
      <c r="E29" s="60"/>
    </row>
    <row r="30" spans="1:5" x14ac:dyDescent="0.25">
      <c r="A30" t="s">
        <v>406</v>
      </c>
      <c r="B30">
        <v>172</v>
      </c>
      <c r="C30" s="60">
        <v>7.7499999999999999E-2</v>
      </c>
      <c r="D30" s="54">
        <v>2.8000000000000001E-2</v>
      </c>
      <c r="E30" s="60"/>
    </row>
    <row r="31" spans="1:5" x14ac:dyDescent="0.25">
      <c r="A31" t="s">
        <v>406</v>
      </c>
      <c r="B31">
        <v>176</v>
      </c>
      <c r="C31" s="60">
        <v>7.6999999999999999E-2</v>
      </c>
      <c r="D31" s="54">
        <v>2.8000000000000001E-2</v>
      </c>
      <c r="E31" s="60"/>
    </row>
    <row r="32" spans="1:5" x14ac:dyDescent="0.25">
      <c r="A32" t="s">
        <v>406</v>
      </c>
      <c r="B32">
        <v>177</v>
      </c>
      <c r="C32" s="60">
        <v>7.6799999999999993E-2</v>
      </c>
      <c r="D32" s="54">
        <v>2.8000000000000001E-2</v>
      </c>
      <c r="E32" s="60"/>
    </row>
    <row r="33" spans="1:5" x14ac:dyDescent="0.25">
      <c r="A33" t="s">
        <v>406</v>
      </c>
      <c r="B33">
        <v>178</v>
      </c>
      <c r="C33" s="60">
        <v>7.6600000000000001E-2</v>
      </c>
      <c r="D33" s="54">
        <v>2.8000000000000001E-2</v>
      </c>
      <c r="E33" s="60"/>
    </row>
    <row r="34" spans="1:5" x14ac:dyDescent="0.25">
      <c r="A34" t="s">
        <v>406</v>
      </c>
      <c r="B34">
        <v>181</v>
      </c>
      <c r="C34" s="60">
        <v>7.6100000000000001E-2</v>
      </c>
      <c r="D34" s="54">
        <v>2.8000000000000001E-2</v>
      </c>
      <c r="E34" s="60"/>
    </row>
    <row r="35" spans="1:5" x14ac:dyDescent="0.25">
      <c r="A35" t="s">
        <v>406</v>
      </c>
      <c r="B35">
        <v>188</v>
      </c>
      <c r="C35" s="60">
        <v>7.4399999999999994E-2</v>
      </c>
      <c r="D35" s="54">
        <v>2.8000000000000001E-2</v>
      </c>
      <c r="E35" s="60"/>
    </row>
    <row r="36" spans="1:5" x14ac:dyDescent="0.25">
      <c r="A36" t="s">
        <v>406</v>
      </c>
      <c r="B36">
        <v>190</v>
      </c>
      <c r="C36" s="60">
        <v>7.4399999999999994E-2</v>
      </c>
      <c r="D36" s="54">
        <v>2.8000000000000001E-2</v>
      </c>
      <c r="E36" s="60"/>
    </row>
    <row r="37" spans="1:5" x14ac:dyDescent="0.25">
      <c r="A37" t="s">
        <v>406</v>
      </c>
      <c r="B37">
        <v>196</v>
      </c>
      <c r="C37" s="60">
        <v>7.3899999999999993E-2</v>
      </c>
      <c r="D37" s="54">
        <v>2.8000000000000001E-2</v>
      </c>
      <c r="E37" s="60"/>
    </row>
    <row r="38" spans="1:5" x14ac:dyDescent="0.25">
      <c r="A38" t="s">
        <v>406</v>
      </c>
      <c r="B38">
        <v>204</v>
      </c>
      <c r="C38" s="60">
        <v>7.2700000000000001E-2</v>
      </c>
      <c r="D38" s="54">
        <v>2.8000000000000001E-2</v>
      </c>
      <c r="E38" s="60"/>
    </row>
    <row r="39" spans="1:5" x14ac:dyDescent="0.25">
      <c r="A39" t="s">
        <v>406</v>
      </c>
      <c r="B39">
        <v>207</v>
      </c>
      <c r="C39" s="60">
        <v>7.2099999999999997E-2</v>
      </c>
      <c r="D39" s="54">
        <v>2.8000000000000001E-2</v>
      </c>
      <c r="E39" s="60"/>
    </row>
    <row r="40" spans="1:5" x14ac:dyDescent="0.25">
      <c r="A40" t="s">
        <v>406</v>
      </c>
      <c r="B40">
        <v>211</v>
      </c>
      <c r="C40" s="60">
        <v>7.1499999999999994E-2</v>
      </c>
      <c r="D40" s="54">
        <v>2.8000000000000001E-2</v>
      </c>
      <c r="E40" s="60"/>
    </row>
    <row r="41" spans="1:5" x14ac:dyDescent="0.25">
      <c r="A41" t="s">
        <v>406</v>
      </c>
      <c r="B41">
        <v>217</v>
      </c>
      <c r="C41" s="60">
        <v>7.1199999999999999E-2</v>
      </c>
      <c r="D41" s="54">
        <v>2.8000000000000001E-2</v>
      </c>
      <c r="E41" s="60"/>
    </row>
    <row r="42" spans="1:5" x14ac:dyDescent="0.25">
      <c r="A42" t="s">
        <v>406</v>
      </c>
      <c r="B42">
        <v>219</v>
      </c>
      <c r="C42" s="60">
        <v>7.0999999999999994E-2</v>
      </c>
      <c r="D42" s="54">
        <v>2.8000000000000001E-2</v>
      </c>
      <c r="E42" s="60"/>
    </row>
    <row r="43" spans="1:5" x14ac:dyDescent="0.25">
      <c r="A43" t="s">
        <v>406</v>
      </c>
      <c r="B43">
        <v>224</v>
      </c>
      <c r="C43" s="60">
        <v>7.0300000000000001E-2</v>
      </c>
      <c r="D43" s="54">
        <v>2.8000000000000001E-2</v>
      </c>
      <c r="E43" s="60"/>
    </row>
    <row r="44" spans="1:5" x14ac:dyDescent="0.25">
      <c r="A44" t="s">
        <v>406</v>
      </c>
      <c r="B44">
        <v>226</v>
      </c>
      <c r="C44" s="60">
        <v>7.0000000000000007E-2</v>
      </c>
      <c r="D44" s="54">
        <v>2.8000000000000001E-2</v>
      </c>
      <c r="E44" s="60"/>
    </row>
    <row r="45" spans="1:5" x14ac:dyDescent="0.25">
      <c r="A45" t="s">
        <v>406</v>
      </c>
      <c r="B45">
        <v>228</v>
      </c>
      <c r="C45" s="60">
        <v>6.9699999999999998E-2</v>
      </c>
      <c r="D45" s="54">
        <v>2.8000000000000001E-2</v>
      </c>
      <c r="E45" s="60"/>
    </row>
    <row r="46" spans="1:5" x14ac:dyDescent="0.25">
      <c r="A46" t="s">
        <v>406</v>
      </c>
      <c r="B46">
        <v>234</v>
      </c>
      <c r="C46" s="60">
        <v>6.9099999999999995E-2</v>
      </c>
      <c r="D46" s="54">
        <v>2.8000000000000001E-2</v>
      </c>
      <c r="E46" s="60"/>
    </row>
    <row r="47" spans="1:5" x14ac:dyDescent="0.25">
      <c r="A47" t="s">
        <v>406</v>
      </c>
      <c r="B47">
        <v>235</v>
      </c>
      <c r="C47" s="60">
        <v>6.9099999999999995E-2</v>
      </c>
      <c r="D47" s="54">
        <v>2.8000000000000001E-2</v>
      </c>
      <c r="E47" s="60"/>
    </row>
    <row r="48" spans="1:5" x14ac:dyDescent="0.25">
      <c r="A48" t="s">
        <v>406</v>
      </c>
      <c r="B48">
        <v>237</v>
      </c>
      <c r="C48" s="60">
        <v>6.9000000000000006E-2</v>
      </c>
      <c r="D48" s="54">
        <v>2.8000000000000001E-2</v>
      </c>
      <c r="E48" s="60"/>
    </row>
    <row r="49" spans="1:5" x14ac:dyDescent="0.25">
      <c r="A49" t="s">
        <v>406</v>
      </c>
      <c r="B49">
        <v>248</v>
      </c>
      <c r="C49" s="60">
        <v>6.7799999999999999E-2</v>
      </c>
      <c r="D49" s="54">
        <v>2.8000000000000001E-2</v>
      </c>
      <c r="E49" s="60">
        <v>1E-4</v>
      </c>
    </row>
    <row r="50" spans="1:5" x14ac:dyDescent="0.25">
      <c r="A50" t="s">
        <v>406</v>
      </c>
      <c r="B50">
        <v>256</v>
      </c>
      <c r="C50" s="60">
        <v>6.7000000000000004E-2</v>
      </c>
      <c r="D50" s="54">
        <v>2.8000000000000001E-2</v>
      </c>
      <c r="E50" s="60">
        <v>2.9999999999999997E-4</v>
      </c>
    </row>
    <row r="51" spans="1:5" x14ac:dyDescent="0.25">
      <c r="A51" t="s">
        <v>406</v>
      </c>
      <c r="B51">
        <v>260</v>
      </c>
      <c r="C51" s="60">
        <v>6.6799999999999998E-2</v>
      </c>
      <c r="D51" s="54">
        <v>2.8000000000000001E-2</v>
      </c>
      <c r="E51" s="60">
        <v>4.0000000000000002E-4</v>
      </c>
    </row>
    <row r="52" spans="1:5" x14ac:dyDescent="0.25">
      <c r="A52" t="s">
        <v>406</v>
      </c>
      <c r="B52">
        <v>270</v>
      </c>
      <c r="C52" s="60">
        <v>6.59E-2</v>
      </c>
      <c r="D52" s="54">
        <v>2.8000000000000001E-2</v>
      </c>
      <c r="E52" s="60">
        <v>5.9999999999999995E-4</v>
      </c>
    </row>
    <row r="53" spans="1:5" x14ac:dyDescent="0.25">
      <c r="A53" t="s">
        <v>406</v>
      </c>
      <c r="B53">
        <v>283</v>
      </c>
      <c r="C53" s="60">
        <v>6.4899999999999999E-2</v>
      </c>
      <c r="D53" s="54">
        <v>2.8000000000000001E-2</v>
      </c>
      <c r="E53" s="60">
        <v>1E-3</v>
      </c>
    </row>
    <row r="54" spans="1:5" x14ac:dyDescent="0.25">
      <c r="A54" t="s">
        <v>406</v>
      </c>
      <c r="B54">
        <v>291</v>
      </c>
      <c r="C54" s="60">
        <v>6.4399999999999999E-2</v>
      </c>
      <c r="D54" s="54">
        <v>2.8000000000000001E-2</v>
      </c>
      <c r="E54" s="60">
        <v>1.2999999999999999E-3</v>
      </c>
    </row>
    <row r="55" spans="1:5" x14ac:dyDescent="0.25">
      <c r="A55" t="s">
        <v>406</v>
      </c>
      <c r="B55">
        <v>296</v>
      </c>
      <c r="C55" s="60">
        <v>6.3799999999999996E-2</v>
      </c>
      <c r="D55" s="54">
        <v>2.8000000000000001E-2</v>
      </c>
      <c r="E55" s="60">
        <v>1.5E-3</v>
      </c>
    </row>
    <row r="56" spans="1:5" x14ac:dyDescent="0.25">
      <c r="A56" t="s">
        <v>406</v>
      </c>
      <c r="B56">
        <v>297</v>
      </c>
      <c r="C56" s="60">
        <v>6.3700000000000007E-2</v>
      </c>
      <c r="D56" s="54">
        <v>2.8000000000000001E-2</v>
      </c>
      <c r="E56" s="60">
        <v>1.5E-3</v>
      </c>
    </row>
    <row r="57" spans="1:5" x14ac:dyDescent="0.25">
      <c r="A57" t="s">
        <v>406</v>
      </c>
      <c r="B57">
        <v>303</v>
      </c>
      <c r="C57" s="60">
        <v>6.3399999999999998E-2</v>
      </c>
      <c r="D57" s="54">
        <v>2.8000000000000001E-2</v>
      </c>
      <c r="E57" s="60">
        <v>1.8E-3</v>
      </c>
    </row>
    <row r="58" spans="1:5" x14ac:dyDescent="0.25">
      <c r="A58" t="s">
        <v>406</v>
      </c>
      <c r="B58">
        <v>304</v>
      </c>
      <c r="C58" s="60">
        <v>6.3399999999999998E-2</v>
      </c>
      <c r="D58" s="54">
        <v>2.8000000000000001E-2</v>
      </c>
      <c r="E58" s="60">
        <v>1.9E-3</v>
      </c>
    </row>
    <row r="59" spans="1:5" x14ac:dyDescent="0.25">
      <c r="A59" t="s">
        <v>406</v>
      </c>
      <c r="B59">
        <v>335</v>
      </c>
      <c r="C59" s="60">
        <v>6.1499999999999999E-2</v>
      </c>
      <c r="D59" s="54">
        <v>2.8000000000000001E-2</v>
      </c>
      <c r="E59" s="60">
        <v>3.2000000000000002E-3</v>
      </c>
    </row>
    <row r="60" spans="1:5" x14ac:dyDescent="0.25">
      <c r="A60" t="s">
        <v>406</v>
      </c>
      <c r="B60">
        <v>348</v>
      </c>
      <c r="C60" s="60">
        <v>6.0600000000000001E-2</v>
      </c>
      <c r="D60" s="54">
        <v>2.8000000000000001E-2</v>
      </c>
      <c r="E60" s="60">
        <v>3.3999999999999998E-3</v>
      </c>
    </row>
    <row r="61" spans="1:5" x14ac:dyDescent="0.25">
      <c r="A61" t="s">
        <v>406</v>
      </c>
      <c r="B61">
        <v>362</v>
      </c>
      <c r="C61" s="60">
        <v>6.0100000000000001E-2</v>
      </c>
      <c r="D61" s="54">
        <v>2.8000000000000001E-2</v>
      </c>
      <c r="E61" s="60">
        <v>3.8E-3</v>
      </c>
    </row>
    <row r="62" spans="1:5" x14ac:dyDescent="0.25">
      <c r="A62" t="s">
        <v>406</v>
      </c>
      <c r="B62">
        <v>365</v>
      </c>
      <c r="C62" s="60">
        <v>5.9799999999999999E-2</v>
      </c>
      <c r="D62" s="54">
        <v>2.8000000000000001E-2</v>
      </c>
      <c r="E62" s="60">
        <v>3.8E-3</v>
      </c>
    </row>
    <row r="63" spans="1:5" x14ac:dyDescent="0.25">
      <c r="A63" t="s">
        <v>406</v>
      </c>
      <c r="B63">
        <v>381</v>
      </c>
      <c r="C63" s="60">
        <v>5.9200000000000003E-2</v>
      </c>
      <c r="D63" s="54">
        <v>2.8000000000000001E-2</v>
      </c>
      <c r="E63" s="60">
        <v>4.4000000000000003E-3</v>
      </c>
    </row>
    <row r="64" spans="1:5" x14ac:dyDescent="0.25">
      <c r="A64" t="s">
        <v>406</v>
      </c>
      <c r="B64">
        <v>382</v>
      </c>
      <c r="C64" s="60">
        <v>5.91E-2</v>
      </c>
      <c r="D64" s="54">
        <v>2.8000000000000001E-2</v>
      </c>
      <c r="E64" s="60">
        <v>4.4999999999999997E-3</v>
      </c>
    </row>
    <row r="65" spans="1:5" x14ac:dyDescent="0.25">
      <c r="A65" t="s">
        <v>406</v>
      </c>
      <c r="B65">
        <v>391</v>
      </c>
      <c r="C65" s="60">
        <v>5.8599999999999999E-2</v>
      </c>
      <c r="D65" s="54">
        <v>2.8000000000000001E-2</v>
      </c>
      <c r="E65" s="60">
        <v>4.8999999999999998E-3</v>
      </c>
    </row>
    <row r="66" spans="1:5" x14ac:dyDescent="0.25">
      <c r="A66" t="s">
        <v>406</v>
      </c>
      <c r="B66">
        <v>401</v>
      </c>
      <c r="C66" s="60">
        <v>5.8200000000000002E-2</v>
      </c>
      <c r="D66" s="54">
        <v>2.8000000000000001E-2</v>
      </c>
      <c r="E66" s="60">
        <v>5.1000000000000004E-3</v>
      </c>
    </row>
    <row r="67" spans="1:5" x14ac:dyDescent="0.25">
      <c r="A67" t="s">
        <v>406</v>
      </c>
      <c r="B67">
        <v>411</v>
      </c>
      <c r="C67" s="60">
        <v>5.7799999999999997E-2</v>
      </c>
      <c r="D67" s="54">
        <v>2.8000000000000001E-2</v>
      </c>
      <c r="E67" s="60">
        <v>5.1999999999999998E-3</v>
      </c>
    </row>
    <row r="68" spans="1:5" x14ac:dyDescent="0.25">
      <c r="A68" t="s">
        <v>406</v>
      </c>
      <c r="B68">
        <v>415</v>
      </c>
      <c r="C68" s="60">
        <v>5.7599999999999998E-2</v>
      </c>
      <c r="D68" s="54">
        <v>2.8000000000000001E-2</v>
      </c>
      <c r="E68" s="60">
        <v>5.3E-3</v>
      </c>
    </row>
    <row r="69" spans="1:5" x14ac:dyDescent="0.25">
      <c r="A69" t="s">
        <v>406</v>
      </c>
      <c r="B69">
        <v>423</v>
      </c>
      <c r="C69" s="60">
        <v>5.7299999999999997E-2</v>
      </c>
      <c r="D69" s="54">
        <v>2.8000000000000001E-2</v>
      </c>
      <c r="E69" s="60">
        <v>5.4000000000000003E-3</v>
      </c>
    </row>
    <row r="70" spans="1:5" x14ac:dyDescent="0.25">
      <c r="A70" t="s">
        <v>406</v>
      </c>
      <c r="B70">
        <v>434</v>
      </c>
      <c r="C70" s="60">
        <v>5.6899999999999999E-2</v>
      </c>
      <c r="D70" s="54">
        <v>2.8000000000000001E-2</v>
      </c>
      <c r="E70" s="60">
        <v>5.7000000000000002E-3</v>
      </c>
    </row>
    <row r="71" spans="1:5" x14ac:dyDescent="0.25">
      <c r="A71" t="s">
        <v>406</v>
      </c>
      <c r="B71">
        <v>443</v>
      </c>
      <c r="C71" s="60">
        <v>5.6399999999999999E-2</v>
      </c>
      <c r="D71" s="54">
        <v>2.8000000000000001E-2</v>
      </c>
      <c r="E71" s="60">
        <v>5.8999999999999999E-3</v>
      </c>
    </row>
    <row r="72" spans="1:5" x14ac:dyDescent="0.25">
      <c r="A72" t="s">
        <v>406</v>
      </c>
      <c r="B72">
        <v>455</v>
      </c>
      <c r="C72" s="60">
        <v>5.62E-2</v>
      </c>
      <c r="D72" s="54">
        <v>2.8000000000000001E-2</v>
      </c>
      <c r="E72" s="60">
        <v>6.4000000000000003E-3</v>
      </c>
    </row>
    <row r="73" spans="1:5" x14ac:dyDescent="0.25">
      <c r="A73" t="s">
        <v>406</v>
      </c>
      <c r="B73">
        <v>471</v>
      </c>
      <c r="C73" s="60">
        <v>5.5500000000000001E-2</v>
      </c>
      <c r="D73" s="54">
        <v>2.8000000000000001E-2</v>
      </c>
      <c r="E73" s="60">
        <v>6.6E-3</v>
      </c>
    </row>
    <row r="74" spans="1:5" x14ac:dyDescent="0.25">
      <c r="A74" t="s">
        <v>406</v>
      </c>
      <c r="B74">
        <v>500</v>
      </c>
      <c r="C74" s="60">
        <v>5.4699999999999999E-2</v>
      </c>
      <c r="D74" s="54">
        <v>2.8000000000000001E-2</v>
      </c>
      <c r="E74" s="60">
        <v>7.1000000000000004E-3</v>
      </c>
    </row>
    <row r="75" spans="1:5" x14ac:dyDescent="0.25">
      <c r="A75" t="s">
        <v>406</v>
      </c>
      <c r="B75">
        <v>504</v>
      </c>
      <c r="C75" s="60">
        <v>5.4600000000000003E-2</v>
      </c>
      <c r="D75" s="54">
        <v>2.8000000000000001E-2</v>
      </c>
      <c r="E75" s="60">
        <v>7.1999999999999998E-3</v>
      </c>
    </row>
    <row r="76" spans="1:5" x14ac:dyDescent="0.25">
      <c r="A76" t="s">
        <v>406</v>
      </c>
      <c r="B76">
        <v>526</v>
      </c>
      <c r="C76" s="60">
        <v>5.3900000000000003E-2</v>
      </c>
      <c r="D76" s="54">
        <v>2.8000000000000001E-2</v>
      </c>
      <c r="E76" s="60">
        <v>7.7000000000000002E-3</v>
      </c>
    </row>
    <row r="77" spans="1:5" x14ac:dyDescent="0.25">
      <c r="A77" t="s">
        <v>406</v>
      </c>
      <c r="B77">
        <v>532</v>
      </c>
      <c r="C77" s="60">
        <v>5.3800000000000001E-2</v>
      </c>
      <c r="D77" s="54">
        <v>2.8000000000000001E-2</v>
      </c>
      <c r="E77" s="60">
        <v>7.7999999999999996E-3</v>
      </c>
    </row>
    <row r="78" spans="1:5" x14ac:dyDescent="0.25">
      <c r="A78" t="s">
        <v>406</v>
      </c>
      <c r="B78">
        <v>550</v>
      </c>
      <c r="C78" s="60">
        <v>5.33E-2</v>
      </c>
      <c r="D78" s="54">
        <v>2.8000000000000001E-2</v>
      </c>
      <c r="E78" s="60">
        <v>8.0000000000000002E-3</v>
      </c>
    </row>
  </sheetData>
  <sortState ref="A2:D83">
    <sortCondition ref="B2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31" workbookViewId="0">
      <selection activeCell="D3" sqref="D3"/>
    </sheetView>
  </sheetViews>
  <sheetFormatPr defaultRowHeight="15" x14ac:dyDescent="0.25"/>
  <cols>
    <col min="1" max="1" width="15.28515625" bestFit="1" customWidth="1"/>
    <col min="2" max="2" width="11" bestFit="1" customWidth="1"/>
    <col min="3" max="3" width="7.140625" bestFit="1" customWidth="1"/>
    <col min="4" max="4" width="6.140625" bestFit="1" customWidth="1"/>
    <col min="5" max="5" width="8.5703125" bestFit="1" customWidth="1"/>
  </cols>
  <sheetData>
    <row r="1" spans="1:5" x14ac:dyDescent="0.25">
      <c r="A1" t="s">
        <v>360</v>
      </c>
      <c r="B1" t="s">
        <v>361</v>
      </c>
      <c r="C1" t="s">
        <v>363</v>
      </c>
      <c r="D1" t="s">
        <v>415</v>
      </c>
      <c r="E1" t="s">
        <v>364</v>
      </c>
    </row>
    <row r="2" spans="1:5" x14ac:dyDescent="0.25">
      <c r="A2" t="s">
        <v>407</v>
      </c>
      <c r="B2">
        <v>0</v>
      </c>
      <c r="C2" s="38">
        <v>0.5</v>
      </c>
      <c r="D2" s="38"/>
      <c r="E2" s="13">
        <v>1.7999999999999999E-2</v>
      </c>
    </row>
    <row r="3" spans="1:5" x14ac:dyDescent="0.25">
      <c r="A3" t="s">
        <v>407</v>
      </c>
      <c r="B3">
        <v>12</v>
      </c>
      <c r="C3" s="131">
        <v>0.25907307863235474</v>
      </c>
      <c r="D3" s="38"/>
      <c r="E3" s="13">
        <v>1.7999999999999999E-2</v>
      </c>
    </row>
    <row r="4" spans="1:5" x14ac:dyDescent="0.25">
      <c r="A4" t="s">
        <v>407</v>
      </c>
      <c r="B4">
        <v>16</v>
      </c>
      <c r="C4" s="131">
        <v>0.22923512756824493</v>
      </c>
      <c r="D4" s="38"/>
      <c r="E4" s="13">
        <v>1.7999999999999999E-2</v>
      </c>
    </row>
    <row r="5" spans="1:5" x14ac:dyDescent="0.25">
      <c r="A5" t="s">
        <v>407</v>
      </c>
      <c r="B5">
        <v>19</v>
      </c>
      <c r="C5" s="131">
        <v>0.20192557573318481</v>
      </c>
      <c r="D5" s="38"/>
      <c r="E5" s="13">
        <v>1.7999999999999999E-2</v>
      </c>
    </row>
    <row r="6" spans="1:5" x14ac:dyDescent="0.25">
      <c r="A6" t="s">
        <v>407</v>
      </c>
      <c r="B6">
        <v>20</v>
      </c>
      <c r="C6" s="131">
        <v>0.19370271265506744</v>
      </c>
      <c r="D6" s="38"/>
      <c r="E6" s="13">
        <v>1.7999999999999999E-2</v>
      </c>
    </row>
    <row r="7" spans="1:5" x14ac:dyDescent="0.25">
      <c r="A7" t="s">
        <v>407</v>
      </c>
      <c r="B7">
        <v>23</v>
      </c>
      <c r="C7" s="131">
        <v>0.17201524972915649</v>
      </c>
      <c r="D7" s="38"/>
      <c r="E7" s="13">
        <v>1.7999999999999999E-2</v>
      </c>
    </row>
    <row r="8" spans="1:5" x14ac:dyDescent="0.25">
      <c r="A8" t="s">
        <v>407</v>
      </c>
      <c r="B8">
        <v>30</v>
      </c>
      <c r="C8" s="131">
        <v>0.15110830962657928</v>
      </c>
      <c r="D8" s="38"/>
      <c r="E8" s="13">
        <v>1.7999999999999999E-2</v>
      </c>
    </row>
    <row r="9" spans="1:5" x14ac:dyDescent="0.25">
      <c r="A9" t="s">
        <v>407</v>
      </c>
      <c r="B9">
        <v>34</v>
      </c>
      <c r="C9" s="131">
        <v>0.13994614779949188</v>
      </c>
      <c r="D9" s="38"/>
      <c r="E9" s="13">
        <v>1.7999999999999999E-2</v>
      </c>
    </row>
    <row r="10" spans="1:5" x14ac:dyDescent="0.25">
      <c r="A10" t="s">
        <v>407</v>
      </c>
      <c r="B10">
        <v>37</v>
      </c>
      <c r="C10" s="131">
        <v>0.13148538768291473</v>
      </c>
      <c r="D10" s="38"/>
      <c r="E10" s="13">
        <v>1.7999999999999999E-2</v>
      </c>
    </row>
    <row r="11" spans="1:5" x14ac:dyDescent="0.25">
      <c r="A11" t="s">
        <v>407</v>
      </c>
      <c r="B11">
        <v>38</v>
      </c>
      <c r="C11" s="131">
        <v>0.12877039611339569</v>
      </c>
      <c r="D11" s="38"/>
      <c r="E11" s="13">
        <v>1.7999999999999999E-2</v>
      </c>
    </row>
    <row r="12" spans="1:5" x14ac:dyDescent="0.25">
      <c r="A12" t="s">
        <v>407</v>
      </c>
      <c r="B12">
        <v>47</v>
      </c>
      <c r="C12" s="131">
        <v>0.11455077677965164</v>
      </c>
      <c r="D12" s="38"/>
      <c r="E12" s="13">
        <v>1.7999999999999999E-2</v>
      </c>
    </row>
    <row r="13" spans="1:5" x14ac:dyDescent="0.25">
      <c r="A13" t="s">
        <v>407</v>
      </c>
      <c r="B13">
        <v>60</v>
      </c>
      <c r="C13" s="131">
        <v>9.8736964166164398E-2</v>
      </c>
      <c r="D13" s="38"/>
      <c r="E13" s="13">
        <v>1.7999999999999999E-2</v>
      </c>
    </row>
    <row r="14" spans="1:5" x14ac:dyDescent="0.25">
      <c r="A14" t="s">
        <v>407</v>
      </c>
      <c r="B14">
        <v>62</v>
      </c>
      <c r="C14" s="131">
        <v>9.6227355301380157E-2</v>
      </c>
      <c r="D14" s="38"/>
      <c r="E14" s="13">
        <v>1.7999999999999999E-2</v>
      </c>
    </row>
    <row r="15" spans="1:5" x14ac:dyDescent="0.25">
      <c r="A15" t="s">
        <v>407</v>
      </c>
      <c r="B15">
        <v>72</v>
      </c>
      <c r="C15" s="131">
        <v>9.1096408665180206E-2</v>
      </c>
      <c r="D15" s="38"/>
      <c r="E15" s="13">
        <v>1.7999999999999999E-2</v>
      </c>
    </row>
    <row r="16" spans="1:5" x14ac:dyDescent="0.25">
      <c r="A16" t="s">
        <v>407</v>
      </c>
      <c r="B16">
        <v>73</v>
      </c>
      <c r="C16" s="131">
        <v>9.0473145246505737E-2</v>
      </c>
      <c r="D16" s="38"/>
      <c r="E16" s="13">
        <v>1.7999999999999999E-2</v>
      </c>
    </row>
    <row r="17" spans="1:5" x14ac:dyDescent="0.25">
      <c r="A17" t="s">
        <v>407</v>
      </c>
      <c r="B17">
        <v>78</v>
      </c>
      <c r="C17" s="131">
        <v>8.7018102407455444E-2</v>
      </c>
      <c r="D17" s="38"/>
      <c r="E17" s="13">
        <v>1.7999999999999999E-2</v>
      </c>
    </row>
    <row r="18" spans="1:5" x14ac:dyDescent="0.25">
      <c r="A18" t="s">
        <v>407</v>
      </c>
      <c r="B18">
        <v>86</v>
      </c>
      <c r="C18" s="131">
        <v>8.1137843430042267E-2</v>
      </c>
      <c r="D18" s="38"/>
      <c r="E18" s="13">
        <v>1.7999999999999999E-2</v>
      </c>
    </row>
    <row r="19" spans="1:5" x14ac:dyDescent="0.25">
      <c r="A19" t="s">
        <v>407</v>
      </c>
      <c r="B19">
        <v>92</v>
      </c>
      <c r="C19" s="131">
        <v>7.9679675400257111E-2</v>
      </c>
      <c r="D19" s="38"/>
      <c r="E19" s="13">
        <v>1.7999999999999999E-2</v>
      </c>
    </row>
    <row r="20" spans="1:5" x14ac:dyDescent="0.25">
      <c r="A20" t="s">
        <v>407</v>
      </c>
      <c r="B20">
        <v>99</v>
      </c>
      <c r="C20" s="131">
        <v>7.7307134866714478E-2</v>
      </c>
      <c r="D20" s="38"/>
      <c r="E20" s="13">
        <v>1.7999999999999999E-2</v>
      </c>
    </row>
    <row r="21" spans="1:5" x14ac:dyDescent="0.25">
      <c r="A21" t="s">
        <v>407</v>
      </c>
      <c r="B21">
        <v>104</v>
      </c>
      <c r="C21" s="131">
        <v>7.5103811919689178E-2</v>
      </c>
      <c r="D21" s="38"/>
      <c r="E21" s="13">
        <v>1.7999999999999999E-2</v>
      </c>
    </row>
    <row r="22" spans="1:5" x14ac:dyDescent="0.25">
      <c r="A22" t="s">
        <v>407</v>
      </c>
      <c r="B22">
        <v>108</v>
      </c>
      <c r="C22" s="131">
        <v>7.322576642036438E-2</v>
      </c>
      <c r="D22" s="38"/>
      <c r="E22" s="13">
        <v>1.7999999999999999E-2</v>
      </c>
    </row>
    <row r="23" spans="1:5" x14ac:dyDescent="0.25">
      <c r="A23" t="s">
        <v>407</v>
      </c>
      <c r="B23">
        <v>114</v>
      </c>
      <c r="C23" s="131">
        <v>7.0982091128826141E-2</v>
      </c>
      <c r="D23" s="38"/>
      <c r="E23" s="13">
        <v>1.7999999999999999E-2</v>
      </c>
    </row>
    <row r="24" spans="1:5" x14ac:dyDescent="0.25">
      <c r="A24" t="s">
        <v>407</v>
      </c>
      <c r="B24">
        <v>138</v>
      </c>
      <c r="C24" s="131">
        <v>6.4972594380378723E-2</v>
      </c>
      <c r="D24" s="38"/>
      <c r="E24" s="13">
        <v>1.7999999999999999E-2</v>
      </c>
    </row>
    <row r="25" spans="1:5" x14ac:dyDescent="0.25">
      <c r="A25" t="s">
        <v>407</v>
      </c>
      <c r="B25">
        <v>140</v>
      </c>
      <c r="C25" s="131">
        <v>6.435365229845047E-2</v>
      </c>
      <c r="D25" s="38"/>
      <c r="E25" s="13">
        <v>1.7999999999999999E-2</v>
      </c>
    </row>
    <row r="26" spans="1:5" x14ac:dyDescent="0.25">
      <c r="A26" t="s">
        <v>407</v>
      </c>
      <c r="B26">
        <v>144</v>
      </c>
      <c r="C26" s="131">
        <v>6.4191833138465881E-2</v>
      </c>
      <c r="D26" s="38"/>
      <c r="E26" s="13">
        <v>1.7999999999999999E-2</v>
      </c>
    </row>
    <row r="27" spans="1:5" x14ac:dyDescent="0.25">
      <c r="A27" t="s">
        <v>407</v>
      </c>
      <c r="B27">
        <v>153</v>
      </c>
      <c r="C27" s="131">
        <v>6.2891989946365356E-2</v>
      </c>
      <c r="D27" s="38"/>
      <c r="E27" s="13">
        <v>1.7999999999999999E-2</v>
      </c>
    </row>
    <row r="28" spans="1:5" x14ac:dyDescent="0.25">
      <c r="A28" t="s">
        <v>407</v>
      </c>
      <c r="B28">
        <v>176</v>
      </c>
      <c r="C28" s="131">
        <v>5.8984100818634033E-2</v>
      </c>
      <c r="D28" s="38"/>
      <c r="E28" s="13">
        <v>1.7999999999999999E-2</v>
      </c>
    </row>
    <row r="29" spans="1:5" x14ac:dyDescent="0.25">
      <c r="A29" t="s">
        <v>407</v>
      </c>
      <c r="B29">
        <v>197</v>
      </c>
      <c r="C29" s="131">
        <v>5.5709131062030792E-2</v>
      </c>
      <c r="D29" s="38"/>
      <c r="E29" s="13">
        <v>1.7999999999999999E-2</v>
      </c>
    </row>
    <row r="30" spans="1:5" x14ac:dyDescent="0.25">
      <c r="A30" t="s">
        <v>407</v>
      </c>
      <c r="B30">
        <v>212</v>
      </c>
      <c r="C30" s="131">
        <v>5.4637953639030457E-2</v>
      </c>
      <c r="D30" s="38"/>
      <c r="E30" s="13">
        <v>1.7999999999999999E-2</v>
      </c>
    </row>
    <row r="31" spans="1:5" x14ac:dyDescent="0.25">
      <c r="A31" t="s">
        <v>407</v>
      </c>
      <c r="B31">
        <v>215</v>
      </c>
      <c r="C31" s="131">
        <v>5.4300349205732346E-2</v>
      </c>
      <c r="D31" s="38"/>
      <c r="E31" s="13">
        <v>1.7999999999999999E-2</v>
      </c>
    </row>
    <row r="32" spans="1:5" x14ac:dyDescent="0.25">
      <c r="A32" t="s">
        <v>407</v>
      </c>
      <c r="B32">
        <v>223</v>
      </c>
      <c r="C32" s="131">
        <v>5.3248971700668335E-2</v>
      </c>
      <c r="D32" s="38"/>
      <c r="E32" s="13">
        <v>1.7999999999999999E-2</v>
      </c>
    </row>
    <row r="33" spans="1:5" x14ac:dyDescent="0.25">
      <c r="A33" t="s">
        <v>407</v>
      </c>
      <c r="B33">
        <v>236</v>
      </c>
      <c r="C33" s="131">
        <v>5.2152737975120544E-2</v>
      </c>
      <c r="D33" s="38"/>
      <c r="E33" s="13">
        <v>1.7999999999999999E-2</v>
      </c>
    </row>
    <row r="34" spans="1:5" x14ac:dyDescent="0.25">
      <c r="A34" t="s">
        <v>407</v>
      </c>
      <c r="B34">
        <v>243</v>
      </c>
      <c r="C34" s="131">
        <v>5.1694229245185852E-2</v>
      </c>
      <c r="D34" s="38"/>
      <c r="E34" s="13">
        <v>1.7999999999999999E-2</v>
      </c>
    </row>
    <row r="35" spans="1:5" x14ac:dyDescent="0.25">
      <c r="A35" t="s">
        <v>407</v>
      </c>
      <c r="B35">
        <v>276</v>
      </c>
      <c r="C35" s="131">
        <v>4.9183651804924011E-2</v>
      </c>
      <c r="D35" s="38"/>
      <c r="E35" s="13">
        <v>1.7999999999999999E-2</v>
      </c>
    </row>
    <row r="36" spans="1:5" x14ac:dyDescent="0.25">
      <c r="A36" t="s">
        <v>407</v>
      </c>
      <c r="B36">
        <v>280</v>
      </c>
      <c r="C36" s="131">
        <v>4.8888925462961197E-2</v>
      </c>
      <c r="D36" s="38"/>
      <c r="E36" s="13">
        <v>1.7999999999999999E-2</v>
      </c>
    </row>
    <row r="37" spans="1:5" x14ac:dyDescent="0.25">
      <c r="A37" t="s">
        <v>407</v>
      </c>
      <c r="B37">
        <v>298</v>
      </c>
      <c r="C37" s="131">
        <v>4.7545552253723145E-2</v>
      </c>
      <c r="D37" s="38"/>
      <c r="E37" s="13">
        <v>1.7999999999999999E-2</v>
      </c>
    </row>
    <row r="38" spans="1:5" x14ac:dyDescent="0.25">
      <c r="A38" t="s">
        <v>407</v>
      </c>
      <c r="B38">
        <v>299</v>
      </c>
      <c r="C38" s="131">
        <v>4.75265271961689E-2</v>
      </c>
      <c r="D38" s="38"/>
      <c r="E38" s="13">
        <v>1.7999999999999999E-2</v>
      </c>
    </row>
    <row r="39" spans="1:5" x14ac:dyDescent="0.25">
      <c r="A39" t="s">
        <v>407</v>
      </c>
      <c r="B39">
        <v>312</v>
      </c>
      <c r="C39" s="131">
        <v>4.695061594247818E-2</v>
      </c>
      <c r="D39" s="38"/>
      <c r="E39" s="13">
        <v>1.7999999999999999E-2</v>
      </c>
    </row>
    <row r="40" spans="1:5" x14ac:dyDescent="0.25">
      <c r="A40" t="s">
        <v>407</v>
      </c>
      <c r="B40">
        <v>328</v>
      </c>
      <c r="C40" s="131">
        <v>4.5741479843854904E-2</v>
      </c>
      <c r="D40" s="38"/>
      <c r="E40" s="13">
        <v>1.7999999999999999E-2</v>
      </c>
    </row>
    <row r="41" spans="1:5" x14ac:dyDescent="0.25">
      <c r="A41" t="s">
        <v>407</v>
      </c>
      <c r="B41">
        <v>335</v>
      </c>
      <c r="C41" s="131">
        <v>4.5653127133846283E-2</v>
      </c>
      <c r="D41" s="38"/>
      <c r="E41" s="13">
        <v>1.7999999999999999E-2</v>
      </c>
    </row>
    <row r="42" spans="1:5" x14ac:dyDescent="0.25">
      <c r="A42" t="s">
        <v>407</v>
      </c>
      <c r="B42">
        <v>338</v>
      </c>
      <c r="C42" s="131">
        <v>4.5032969999999999E-2</v>
      </c>
      <c r="D42" s="38"/>
      <c r="E42" s="13">
        <v>1.7999999999999999E-2</v>
      </c>
    </row>
    <row r="43" spans="1:5" x14ac:dyDescent="0.25">
      <c r="A43" t="s">
        <v>407</v>
      </c>
      <c r="B43">
        <v>348</v>
      </c>
      <c r="C43" s="131">
        <v>4.5102644711732864E-2</v>
      </c>
      <c r="D43" s="38"/>
      <c r="E43" s="13">
        <v>1.7999999999999999E-2</v>
      </c>
    </row>
    <row r="44" spans="1:5" x14ac:dyDescent="0.25">
      <c r="A44" t="s">
        <v>407</v>
      </c>
      <c r="B44">
        <v>351</v>
      </c>
      <c r="C44" s="131">
        <v>4.4926900416612625E-2</v>
      </c>
      <c r="D44" s="38"/>
      <c r="E44" s="13">
        <v>1.7999999999999999E-2</v>
      </c>
    </row>
    <row r="45" spans="1:5" x14ac:dyDescent="0.25">
      <c r="A45" t="s">
        <v>407</v>
      </c>
      <c r="B45">
        <v>411</v>
      </c>
      <c r="C45" s="131">
        <v>4.2565234005451202E-2</v>
      </c>
      <c r="D45" s="131">
        <v>2.1790689788758755E-4</v>
      </c>
      <c r="E45" s="13">
        <v>1.7999999999999999E-2</v>
      </c>
    </row>
    <row r="46" spans="1:5" x14ac:dyDescent="0.25">
      <c r="A46" t="s">
        <v>407</v>
      </c>
      <c r="B46">
        <v>412</v>
      </c>
      <c r="C46" s="131">
        <v>4.2533524334430695E-2</v>
      </c>
      <c r="D46" s="131">
        <v>2.2669252939522266E-4</v>
      </c>
      <c r="E46" s="13">
        <v>1.7999999999999999E-2</v>
      </c>
    </row>
    <row r="47" spans="1:5" x14ac:dyDescent="0.25">
      <c r="A47" t="s">
        <v>407</v>
      </c>
      <c r="B47">
        <v>420</v>
      </c>
      <c r="C47" s="131">
        <v>4.222564771771431E-2</v>
      </c>
      <c r="D47" s="131">
        <v>3.0038910335861146E-4</v>
      </c>
      <c r="E47" s="13">
        <v>1.7999999999999999E-2</v>
      </c>
    </row>
    <row r="48" spans="1:5" x14ac:dyDescent="0.25">
      <c r="A48" t="s">
        <v>407</v>
      </c>
      <c r="B48">
        <v>433</v>
      </c>
      <c r="C48" s="131">
        <v>4.1580460965633392E-2</v>
      </c>
      <c r="D48" s="131">
        <v>4.3484175694175065E-4</v>
      </c>
      <c r="E48" s="13">
        <v>1.7999999999999999E-2</v>
      </c>
    </row>
    <row r="49" spans="1:5" x14ac:dyDescent="0.25">
      <c r="A49" t="s">
        <v>407</v>
      </c>
      <c r="B49">
        <v>434</v>
      </c>
      <c r="C49" s="131">
        <v>4.1579976677894592E-2</v>
      </c>
      <c r="D49" s="131">
        <v>4.4603555579669774E-4</v>
      </c>
      <c r="E49" s="13">
        <v>1.7999999999999999E-2</v>
      </c>
    </row>
    <row r="50" spans="1:5" x14ac:dyDescent="0.25">
      <c r="A50" t="s">
        <v>407</v>
      </c>
      <c r="B50">
        <v>470</v>
      </c>
      <c r="C50" s="131">
        <v>4.0508165955543518E-2</v>
      </c>
      <c r="D50" s="131">
        <v>9.5601624343544245E-4</v>
      </c>
      <c r="E50" s="13">
        <v>1.7999999999999999E-2</v>
      </c>
    </row>
    <row r="51" spans="1:5" x14ac:dyDescent="0.25">
      <c r="A51" t="s">
        <v>407</v>
      </c>
      <c r="B51">
        <v>478</v>
      </c>
      <c r="C51" s="131">
        <v>4.0436375886201859E-2</v>
      </c>
      <c r="D51" s="131">
        <v>1.1052472982555628E-3</v>
      </c>
      <c r="E51" s="13">
        <v>1.7999999999999999E-2</v>
      </c>
    </row>
    <row r="52" spans="1:5" x14ac:dyDescent="0.25">
      <c r="A52" t="s">
        <v>407</v>
      </c>
      <c r="B52">
        <v>496</v>
      </c>
      <c r="C52" s="131">
        <v>3.9939623326063156E-2</v>
      </c>
      <c r="D52" s="131">
        <v>1.5063703758642077E-3</v>
      </c>
      <c r="E52" s="13">
        <v>1.7999999999999999E-2</v>
      </c>
    </row>
    <row r="53" spans="1:5" x14ac:dyDescent="0.25">
      <c r="A53" t="s">
        <v>407</v>
      </c>
      <c r="B53">
        <v>512</v>
      </c>
      <c r="C53" s="131">
        <v>3.9519671350717545E-2</v>
      </c>
      <c r="D53" s="131">
        <v>1.9540302455425262E-3</v>
      </c>
      <c r="E53" s="13">
        <v>1.7999999999999999E-2</v>
      </c>
    </row>
    <row r="54" spans="1:5" x14ac:dyDescent="0.25">
      <c r="A54" t="s">
        <v>407</v>
      </c>
      <c r="B54">
        <v>537</v>
      </c>
      <c r="C54" s="131">
        <v>3.8903452455997467E-2</v>
      </c>
      <c r="D54" s="131">
        <v>2.0753561984747648E-3</v>
      </c>
      <c r="E54" s="13">
        <v>1.7999999999999999E-2</v>
      </c>
    </row>
    <row r="55" spans="1:5" x14ac:dyDescent="0.25">
      <c r="A55" t="s">
        <v>407</v>
      </c>
      <c r="B55">
        <v>540</v>
      </c>
      <c r="C55" s="131">
        <v>3.8794498890638351E-2</v>
      </c>
      <c r="D55" s="131">
        <v>2.0940576214343309E-3</v>
      </c>
      <c r="E55" s="13">
        <v>1.7999999999999999E-2</v>
      </c>
    </row>
    <row r="56" spans="1:5" x14ac:dyDescent="0.25">
      <c r="A56" t="s">
        <v>407</v>
      </c>
      <c r="B56">
        <v>562</v>
      </c>
      <c r="C56" s="131">
        <v>3.8449984043836594E-2</v>
      </c>
      <c r="D56" s="131">
        <v>2.2650894243270159E-3</v>
      </c>
      <c r="E56" s="13">
        <v>1.7999999999999999E-2</v>
      </c>
    </row>
    <row r="57" spans="1:5" x14ac:dyDescent="0.25">
      <c r="A57" t="s">
        <v>407</v>
      </c>
      <c r="B57">
        <v>589</v>
      </c>
      <c r="C57" s="131">
        <v>3.7863384932279587E-2</v>
      </c>
      <c r="D57" s="131">
        <v>2.5787984486669302E-3</v>
      </c>
      <c r="E57" s="13">
        <v>1.7999999999999999E-2</v>
      </c>
    </row>
    <row r="58" spans="1:5" x14ac:dyDescent="0.25">
      <c r="A58" t="s">
        <v>407</v>
      </c>
      <c r="B58">
        <v>615</v>
      </c>
      <c r="C58" s="131">
        <v>3.7300355732440948E-2</v>
      </c>
      <c r="D58" s="131">
        <v>3.0335793271660805E-3</v>
      </c>
      <c r="E58" s="13">
        <v>1.7999999999999999E-2</v>
      </c>
    </row>
    <row r="59" spans="1:5" x14ac:dyDescent="0.25">
      <c r="A59" t="s">
        <v>407</v>
      </c>
      <c r="B59">
        <v>629</v>
      </c>
      <c r="C59" s="131">
        <v>3.7137575447559357E-2</v>
      </c>
      <c r="D59" s="131">
        <v>3.2277295831590891E-3</v>
      </c>
      <c r="E59" s="13">
        <v>1.7999999999999999E-2</v>
      </c>
    </row>
    <row r="60" spans="1:5" x14ac:dyDescent="0.25">
      <c r="A60" t="s">
        <v>407</v>
      </c>
      <c r="B60">
        <v>638</v>
      </c>
      <c r="C60" s="131">
        <v>3.7000719457864761E-2</v>
      </c>
      <c r="D60" s="131">
        <v>3.2586883753538132E-3</v>
      </c>
      <c r="E60" s="13">
        <v>1.7999999999999999E-2</v>
      </c>
    </row>
    <row r="61" spans="1:5" x14ac:dyDescent="0.25">
      <c r="A61" t="s">
        <v>407</v>
      </c>
      <c r="B61">
        <v>680</v>
      </c>
      <c r="C61" s="131">
        <v>3.6306086927652359E-2</v>
      </c>
      <c r="D61" s="131">
        <v>3.5231797955930233E-3</v>
      </c>
      <c r="E61" s="13">
        <v>1.7999999999999999E-2</v>
      </c>
    </row>
    <row r="62" spans="1:5" x14ac:dyDescent="0.25">
      <c r="A62" t="s">
        <v>407</v>
      </c>
      <c r="B62">
        <v>767</v>
      </c>
      <c r="C62" s="131">
        <v>3.5038534551858902E-2</v>
      </c>
      <c r="D62" s="131">
        <v>4.2986250482499599E-3</v>
      </c>
      <c r="E62" s="13">
        <v>1.7999999999999999E-2</v>
      </c>
    </row>
    <row r="63" spans="1:5" x14ac:dyDescent="0.25">
      <c r="A63" t="s">
        <v>407</v>
      </c>
      <c r="B63">
        <v>891</v>
      </c>
      <c r="C63" s="131">
        <v>3.3620167523622513E-2</v>
      </c>
      <c r="D63" s="131">
        <v>5.2102329209446907E-3</v>
      </c>
      <c r="E63" s="13">
        <v>1.7999999999999999E-2</v>
      </c>
    </row>
    <row r="64" spans="1:5" x14ac:dyDescent="0.25">
      <c r="A64" t="s">
        <v>407</v>
      </c>
      <c r="B64">
        <v>937</v>
      </c>
      <c r="C64" s="131">
        <v>3.3191796392202377E-2</v>
      </c>
      <c r="D64" s="131">
        <v>5.5190431885421276E-3</v>
      </c>
      <c r="E64" s="13">
        <v>1.7999999999999999E-2</v>
      </c>
    </row>
    <row r="65" spans="1:5" x14ac:dyDescent="0.25">
      <c r="A65" t="s">
        <v>407</v>
      </c>
      <c r="B65">
        <v>1003</v>
      </c>
      <c r="C65" s="131">
        <v>3.2658156007528305E-2</v>
      </c>
      <c r="D65" s="131">
        <v>5.9762387536466122E-3</v>
      </c>
      <c r="E65" s="13">
        <v>1.7999999999999999E-2</v>
      </c>
    </row>
    <row r="66" spans="1:5" x14ac:dyDescent="0.25">
      <c r="A66" t="s">
        <v>407</v>
      </c>
      <c r="B66">
        <v>1060</v>
      </c>
      <c r="C66" s="131">
        <v>3.2173998653888702E-2</v>
      </c>
      <c r="D66" s="131">
        <v>6.1672544106841087E-3</v>
      </c>
      <c r="E66" s="13">
        <v>1.7999999999999999E-2</v>
      </c>
    </row>
    <row r="67" spans="1:5" x14ac:dyDescent="0.25">
      <c r="A67" t="s">
        <v>407</v>
      </c>
      <c r="B67">
        <v>1103</v>
      </c>
      <c r="C67" s="131">
        <v>3.1870104372501373E-2</v>
      </c>
      <c r="D67" s="131">
        <v>6.4344867132604122E-3</v>
      </c>
      <c r="E67" s="13">
        <v>1.7999999999999999E-2</v>
      </c>
    </row>
    <row r="68" spans="1:5" x14ac:dyDescent="0.25">
      <c r="A68" t="s">
        <v>407</v>
      </c>
      <c r="B68">
        <v>1107</v>
      </c>
      <c r="C68" s="131">
        <v>3.1859390437602997E-2</v>
      </c>
      <c r="D68" s="131">
        <v>6.441689096391201E-3</v>
      </c>
      <c r="E68" s="13">
        <v>1.7999999999999999E-2</v>
      </c>
    </row>
  </sheetData>
  <sortState ref="A2:E93">
    <sortCondition ref="B2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defaultRowHeight="15" x14ac:dyDescent="0.25"/>
  <cols>
    <col min="1" max="1" width="6.42578125" bestFit="1" customWidth="1"/>
    <col min="2" max="2" width="61" bestFit="1" customWidth="1"/>
    <col min="3" max="3" width="5.7109375" bestFit="1" customWidth="1"/>
    <col min="4" max="4" width="14" customWidth="1"/>
    <col min="5" max="5" width="12.5703125" customWidth="1"/>
    <col min="6" max="6" width="16.5703125" customWidth="1"/>
    <col min="7" max="7" width="16.140625" customWidth="1"/>
    <col min="8" max="8" width="16.42578125" customWidth="1"/>
    <col min="9" max="9" width="13.5703125" customWidth="1"/>
    <col min="10" max="10" width="14.5703125" customWidth="1"/>
    <col min="11" max="11" width="6.42578125" bestFit="1" customWidth="1"/>
    <col min="12" max="16" width="8.5703125" bestFit="1" customWidth="1"/>
    <col min="17" max="17" width="5.140625" bestFit="1" customWidth="1"/>
    <col min="18" max="18" width="21.140625" customWidth="1"/>
    <col min="24" max="24" width="10.5703125" customWidth="1"/>
  </cols>
  <sheetData>
    <row r="1" spans="1:27" ht="75" x14ac:dyDescent="0.25">
      <c r="A1" s="74" t="s">
        <v>176</v>
      </c>
      <c r="B1" s="74" t="s">
        <v>175</v>
      </c>
      <c r="C1" s="74" t="s">
        <v>177</v>
      </c>
      <c r="D1" s="74" t="s">
        <v>182</v>
      </c>
      <c r="E1" s="74" t="s">
        <v>178</v>
      </c>
      <c r="F1" s="74" t="s">
        <v>712</v>
      </c>
      <c r="G1" s="74" t="s">
        <v>180</v>
      </c>
      <c r="H1" s="74" t="s">
        <v>183</v>
      </c>
      <c r="I1" s="74" t="s">
        <v>181</v>
      </c>
      <c r="J1" s="74" t="s">
        <v>713</v>
      </c>
      <c r="K1" s="5" t="s">
        <v>176</v>
      </c>
      <c r="L1" s="18" t="s">
        <v>353</v>
      </c>
      <c r="M1" s="18" t="s">
        <v>657</v>
      </c>
      <c r="N1" s="18" t="s">
        <v>659</v>
      </c>
      <c r="O1" s="18" t="s">
        <v>658</v>
      </c>
      <c r="P1" s="18" t="s">
        <v>660</v>
      </c>
      <c r="Q1" s="18" t="s">
        <v>352</v>
      </c>
      <c r="R1" s="6" t="s">
        <v>180</v>
      </c>
      <c r="S1" s="18" t="s">
        <v>661</v>
      </c>
      <c r="T1" s="18" t="s">
        <v>662</v>
      </c>
      <c r="U1" s="18" t="s">
        <v>663</v>
      </c>
      <c r="V1" s="18" t="s">
        <v>664</v>
      </c>
      <c r="W1" s="18" t="s">
        <v>404</v>
      </c>
      <c r="X1" s="39" t="s">
        <v>665</v>
      </c>
      <c r="Y1" s="39" t="s">
        <v>413</v>
      </c>
      <c r="Z1" s="39" t="s">
        <v>414</v>
      </c>
      <c r="AA1" s="39" t="s">
        <v>655</v>
      </c>
    </row>
    <row r="2" spans="1:27" x14ac:dyDescent="0.25">
      <c r="A2" t="s">
        <v>7</v>
      </c>
      <c r="B2" t="s">
        <v>8</v>
      </c>
      <c r="C2" s="12">
        <v>19</v>
      </c>
      <c r="D2" s="12">
        <v>19</v>
      </c>
      <c r="E2" s="75">
        <v>0.4210526</v>
      </c>
      <c r="F2" s="75">
        <v>0.68421050000000005</v>
      </c>
      <c r="G2" s="75">
        <v>0.4736842</v>
      </c>
      <c r="H2" s="76" t="s">
        <v>460</v>
      </c>
      <c r="I2" s="12" t="s">
        <v>215</v>
      </c>
      <c r="J2" s="69">
        <v>3.0085500000000001</v>
      </c>
      <c r="K2" t="s">
        <v>7</v>
      </c>
      <c r="L2" s="16">
        <v>16</v>
      </c>
      <c r="M2">
        <v>9</v>
      </c>
      <c r="N2">
        <v>25</v>
      </c>
      <c r="O2" s="16">
        <f>L2-M2</f>
        <v>7</v>
      </c>
      <c r="P2" s="16">
        <f>N2-L2</f>
        <v>9</v>
      </c>
      <c r="Q2">
        <v>14</v>
      </c>
      <c r="R2">
        <v>47</v>
      </c>
      <c r="S2">
        <v>24</v>
      </c>
      <c r="T2">
        <v>71</v>
      </c>
      <c r="U2" s="16">
        <f>R2-S2</f>
        <v>23</v>
      </c>
      <c r="V2" s="16">
        <f>T2-R2</f>
        <v>24</v>
      </c>
      <c r="W2">
        <v>80</v>
      </c>
      <c r="X2">
        <f>IF('CEA Summary'!$O$4=2, L2, IF('CEA Summary'!$O$4=1, R2))</f>
        <v>16</v>
      </c>
      <c r="Y2" s="53">
        <f>IF('CEA Summary'!$O$4=2, O2, IF('CEA Summary'!$O$4=1, U2))</f>
        <v>7</v>
      </c>
      <c r="Z2" s="53">
        <f>IF('CEA Summary'!$O$4=2, P2, IF('CEA Summary'!$O$4=1, V2))</f>
        <v>9</v>
      </c>
      <c r="AA2" s="53">
        <f>IF('CEA Summary'!$O$4=2, Q2, IF('CEA Summary'!$O$4=1, W2))</f>
        <v>14</v>
      </c>
    </row>
    <row r="3" spans="1:27" x14ac:dyDescent="0.25">
      <c r="A3" t="s">
        <v>45</v>
      </c>
      <c r="B3" t="s">
        <v>417</v>
      </c>
      <c r="C3" s="12">
        <v>34</v>
      </c>
      <c r="D3" s="12">
        <v>34</v>
      </c>
      <c r="E3" s="75">
        <v>0.70588240000000002</v>
      </c>
      <c r="F3" s="75">
        <v>0.6176471</v>
      </c>
      <c r="G3" s="75">
        <v>0.5</v>
      </c>
      <c r="H3" s="76" t="s">
        <v>725</v>
      </c>
      <c r="I3" s="12" t="s">
        <v>726</v>
      </c>
      <c r="J3" s="69">
        <v>1.6087089999999999</v>
      </c>
      <c r="K3" t="s">
        <v>45</v>
      </c>
      <c r="L3" s="16">
        <v>14</v>
      </c>
      <c r="M3">
        <v>8</v>
      </c>
      <c r="N3">
        <v>28</v>
      </c>
      <c r="O3" s="16">
        <f t="shared" ref="O3:O65" si="0">L3-M3</f>
        <v>6</v>
      </c>
      <c r="P3" s="16">
        <f t="shared" ref="P3:P65" si="1">N3-L3</f>
        <v>14</v>
      </c>
      <c r="Q3">
        <v>14</v>
      </c>
      <c r="R3">
        <v>50</v>
      </c>
      <c r="S3">
        <v>32</v>
      </c>
      <c r="T3">
        <v>68</v>
      </c>
      <c r="U3" s="16">
        <f t="shared" ref="U3:U65" si="2">R3-S3</f>
        <v>18</v>
      </c>
      <c r="V3" s="16">
        <f t="shared" ref="V3:V65" si="3">T3-R3</f>
        <v>18</v>
      </c>
      <c r="W3">
        <v>80</v>
      </c>
      <c r="X3">
        <f>IF('CEA Summary'!$O$4=2, L3, IF('CEA Summary'!$O$4=1, R3))</f>
        <v>14</v>
      </c>
      <c r="Y3" s="53">
        <f>IF('CEA Summary'!$O$4=2, O3, IF('CEA Summary'!$O$4=1, U3))</f>
        <v>6</v>
      </c>
      <c r="Z3" s="53">
        <f>IF('CEA Summary'!$O$4=2, P3, IF('CEA Summary'!$O$4=1, V3))</f>
        <v>14</v>
      </c>
      <c r="AA3" s="53">
        <f>IF('CEA Summary'!$O$4=2, Q3, IF('CEA Summary'!$O$4=1, W3))</f>
        <v>14</v>
      </c>
    </row>
    <row r="4" spans="1:27" x14ac:dyDescent="0.25">
      <c r="A4" t="s">
        <v>11</v>
      </c>
      <c r="B4" t="s">
        <v>12</v>
      </c>
      <c r="C4" s="12">
        <v>17</v>
      </c>
      <c r="D4" s="12">
        <v>16</v>
      </c>
      <c r="E4" s="75">
        <v>0.9375</v>
      </c>
      <c r="F4" s="75">
        <v>0.70588240000000002</v>
      </c>
      <c r="G4" s="75">
        <v>0.9375</v>
      </c>
      <c r="H4" s="76" t="s">
        <v>396</v>
      </c>
      <c r="I4" s="12" t="s">
        <v>291</v>
      </c>
      <c r="J4" s="69">
        <v>7.7941799999999999</v>
      </c>
      <c r="K4" t="s">
        <v>11</v>
      </c>
      <c r="L4" s="16">
        <v>8</v>
      </c>
      <c r="M4">
        <v>7</v>
      </c>
      <c r="N4">
        <v>11</v>
      </c>
      <c r="O4" s="16">
        <f t="shared" si="0"/>
        <v>1</v>
      </c>
      <c r="P4" s="16">
        <f t="shared" si="1"/>
        <v>3</v>
      </c>
      <c r="Q4">
        <v>14</v>
      </c>
      <c r="R4">
        <v>94</v>
      </c>
      <c r="S4">
        <v>70</v>
      </c>
      <c r="T4">
        <v>100</v>
      </c>
      <c r="U4" s="16">
        <f t="shared" si="2"/>
        <v>24</v>
      </c>
      <c r="V4" s="16">
        <f t="shared" si="3"/>
        <v>6</v>
      </c>
      <c r="W4">
        <v>80</v>
      </c>
      <c r="X4">
        <f>IF('CEA Summary'!$O$4=2, L4, IF('CEA Summary'!$O$4=1, R4))</f>
        <v>8</v>
      </c>
      <c r="Y4" s="53">
        <f>IF('CEA Summary'!$O$4=2, O4, IF('CEA Summary'!$O$4=1, U4))</f>
        <v>1</v>
      </c>
      <c r="Z4" s="53">
        <f>IF('CEA Summary'!$O$4=2, P4, IF('CEA Summary'!$O$4=1, V4))</f>
        <v>3</v>
      </c>
      <c r="AA4" s="53">
        <f>IF('CEA Summary'!$O$4=2, Q4, IF('CEA Summary'!$O$4=1, W4))</f>
        <v>14</v>
      </c>
    </row>
    <row r="5" spans="1:27" x14ac:dyDescent="0.25">
      <c r="A5" t="s">
        <v>31</v>
      </c>
      <c r="B5" t="s">
        <v>32</v>
      </c>
      <c r="C5" s="12">
        <v>52</v>
      </c>
      <c r="D5" s="12">
        <v>49</v>
      </c>
      <c r="E5" s="75">
        <v>0.82222220000000001</v>
      </c>
      <c r="F5" s="75">
        <v>0.36</v>
      </c>
      <c r="G5" s="75">
        <v>0.61224489999999998</v>
      </c>
      <c r="H5" s="76" t="s">
        <v>721</v>
      </c>
      <c r="I5" s="12" t="s">
        <v>286</v>
      </c>
      <c r="J5" s="69">
        <v>2.231913</v>
      </c>
      <c r="K5" t="s">
        <v>31</v>
      </c>
      <c r="L5" s="16">
        <v>14</v>
      </c>
      <c r="M5">
        <v>11</v>
      </c>
      <c r="N5">
        <v>22</v>
      </c>
      <c r="O5" s="16">
        <f t="shared" si="0"/>
        <v>3</v>
      </c>
      <c r="P5" s="16">
        <f t="shared" si="1"/>
        <v>8</v>
      </c>
      <c r="Q5">
        <v>14</v>
      </c>
      <c r="R5">
        <v>61</v>
      </c>
      <c r="S5">
        <v>46</v>
      </c>
      <c r="T5">
        <v>75</v>
      </c>
      <c r="U5" s="16">
        <f t="shared" si="2"/>
        <v>15</v>
      </c>
      <c r="V5" s="16">
        <f t="shared" si="3"/>
        <v>14</v>
      </c>
      <c r="W5">
        <v>80</v>
      </c>
      <c r="X5">
        <f>IF('CEA Summary'!$O$4=2, L5, IF('CEA Summary'!$O$4=1, R5))</f>
        <v>14</v>
      </c>
      <c r="Y5" s="53">
        <f>IF('CEA Summary'!$O$4=2, O5, IF('CEA Summary'!$O$4=1, U5))</f>
        <v>3</v>
      </c>
      <c r="Z5" s="53">
        <f>IF('CEA Summary'!$O$4=2, P5, IF('CEA Summary'!$O$4=1, V5))</f>
        <v>8</v>
      </c>
      <c r="AA5" s="53">
        <f>IF('CEA Summary'!$O$4=2, Q5, IF('CEA Summary'!$O$4=1, W5))</f>
        <v>14</v>
      </c>
    </row>
    <row r="6" spans="1:27" x14ac:dyDescent="0.25">
      <c r="A6" t="s">
        <v>173</v>
      </c>
      <c r="B6" t="s">
        <v>174</v>
      </c>
      <c r="C6" s="12">
        <v>107</v>
      </c>
      <c r="D6" s="12">
        <v>107</v>
      </c>
      <c r="E6" s="75">
        <v>0.6857143</v>
      </c>
      <c r="F6" s="75">
        <v>0.53271029999999997</v>
      </c>
      <c r="G6" s="75">
        <v>0.56074769999999996</v>
      </c>
      <c r="H6" s="76" t="s">
        <v>762</v>
      </c>
      <c r="I6" s="12" t="s">
        <v>205</v>
      </c>
      <c r="J6" s="69">
        <v>3.0416539999999999</v>
      </c>
      <c r="K6" t="s">
        <v>173</v>
      </c>
      <c r="L6" s="16">
        <v>13</v>
      </c>
      <c r="M6">
        <v>7</v>
      </c>
      <c r="N6">
        <v>25</v>
      </c>
      <c r="O6" s="16">
        <f t="shared" si="0"/>
        <v>6</v>
      </c>
      <c r="P6" s="16">
        <f t="shared" si="1"/>
        <v>12</v>
      </c>
      <c r="Q6">
        <v>14</v>
      </c>
      <c r="R6">
        <v>56</v>
      </c>
      <c r="S6">
        <v>46</v>
      </c>
      <c r="T6">
        <v>66</v>
      </c>
      <c r="U6" s="16">
        <f t="shared" si="2"/>
        <v>10</v>
      </c>
      <c r="V6" s="16">
        <f t="shared" si="3"/>
        <v>10</v>
      </c>
      <c r="W6">
        <v>80</v>
      </c>
      <c r="X6">
        <f>IF('CEA Summary'!$O$4=2, L6, IF('CEA Summary'!$O$4=1, R6))</f>
        <v>13</v>
      </c>
      <c r="Y6" s="53">
        <f>IF('CEA Summary'!$O$4=2, O6, IF('CEA Summary'!$O$4=1, U6))</f>
        <v>6</v>
      </c>
      <c r="Z6" s="53">
        <f>IF('CEA Summary'!$O$4=2, P6, IF('CEA Summary'!$O$4=1, V6))</f>
        <v>12</v>
      </c>
      <c r="AA6" s="53">
        <f>IF('CEA Summary'!$O$4=2, Q6, IF('CEA Summary'!$O$4=1, W6))</f>
        <v>14</v>
      </c>
    </row>
    <row r="7" spans="1:27" x14ac:dyDescent="0.25">
      <c r="A7" t="s">
        <v>0</v>
      </c>
      <c r="B7" t="s">
        <v>1</v>
      </c>
      <c r="C7" s="12">
        <v>22</v>
      </c>
      <c r="D7" s="12">
        <v>22</v>
      </c>
      <c r="E7" s="75">
        <v>0.77272730000000001</v>
      </c>
      <c r="F7" s="75">
        <v>0.27272730000000001</v>
      </c>
      <c r="G7" s="75">
        <v>0.45454549999999999</v>
      </c>
      <c r="H7" s="76" t="s">
        <v>714</v>
      </c>
      <c r="I7" s="12" t="s">
        <v>276</v>
      </c>
      <c r="J7" s="69">
        <v>4.7151860000000001</v>
      </c>
      <c r="K7" t="s">
        <v>0</v>
      </c>
      <c r="L7" s="16">
        <v>16</v>
      </c>
      <c r="M7">
        <v>12</v>
      </c>
      <c r="N7">
        <v>36</v>
      </c>
      <c r="O7" s="16">
        <f t="shared" si="0"/>
        <v>4</v>
      </c>
      <c r="P7" s="16">
        <f t="shared" si="1"/>
        <v>20</v>
      </c>
      <c r="Q7">
        <v>14</v>
      </c>
      <c r="R7">
        <v>45</v>
      </c>
      <c r="S7">
        <v>24</v>
      </c>
      <c r="T7">
        <v>68</v>
      </c>
      <c r="U7" s="16">
        <f t="shared" si="2"/>
        <v>21</v>
      </c>
      <c r="V7" s="16">
        <f t="shared" si="3"/>
        <v>23</v>
      </c>
      <c r="W7">
        <v>80</v>
      </c>
      <c r="X7">
        <f>IF('CEA Summary'!$O$4=2, L7, IF('CEA Summary'!$O$4=1, R7))</f>
        <v>16</v>
      </c>
      <c r="Y7" s="53">
        <f>IF('CEA Summary'!$O$4=2, O7, IF('CEA Summary'!$O$4=1, U7))</f>
        <v>4</v>
      </c>
      <c r="Z7" s="53">
        <f>IF('CEA Summary'!$O$4=2, P7, IF('CEA Summary'!$O$4=1, V7))</f>
        <v>20</v>
      </c>
      <c r="AA7" s="53">
        <f>IF('CEA Summary'!$O$4=2, Q7, IF('CEA Summary'!$O$4=1, W7))</f>
        <v>14</v>
      </c>
    </row>
    <row r="8" spans="1:27" x14ac:dyDescent="0.25">
      <c r="A8" t="s">
        <v>17</v>
      </c>
      <c r="B8" t="s">
        <v>18</v>
      </c>
      <c r="C8" s="12">
        <v>15</v>
      </c>
      <c r="D8" s="12">
        <v>15</v>
      </c>
      <c r="E8" s="75">
        <v>0.66666669999999995</v>
      </c>
      <c r="F8" s="75">
        <v>0.3333333</v>
      </c>
      <c r="G8" s="75">
        <v>0.53333339999999996</v>
      </c>
      <c r="H8" s="76" t="s">
        <v>719</v>
      </c>
      <c r="I8" s="12" t="s">
        <v>284</v>
      </c>
      <c r="J8" s="69">
        <v>1.3523810000000001</v>
      </c>
      <c r="K8" t="s">
        <v>17</v>
      </c>
      <c r="L8" s="16">
        <v>14</v>
      </c>
      <c r="M8">
        <v>10</v>
      </c>
      <c r="N8">
        <v>21</v>
      </c>
      <c r="O8" s="16">
        <f t="shared" si="0"/>
        <v>4</v>
      </c>
      <c r="P8" s="16">
        <f t="shared" si="1"/>
        <v>7</v>
      </c>
      <c r="Q8">
        <v>14</v>
      </c>
      <c r="R8">
        <v>53</v>
      </c>
      <c r="S8">
        <v>27</v>
      </c>
      <c r="T8">
        <v>79</v>
      </c>
      <c r="U8" s="16">
        <f t="shared" si="2"/>
        <v>26</v>
      </c>
      <c r="V8" s="16">
        <f t="shared" si="3"/>
        <v>26</v>
      </c>
      <c r="W8">
        <v>80</v>
      </c>
      <c r="X8">
        <f>IF('CEA Summary'!$O$4=2, L8, IF('CEA Summary'!$O$4=1, R8))</f>
        <v>14</v>
      </c>
      <c r="Y8" s="53">
        <f>IF('CEA Summary'!$O$4=2, O8, IF('CEA Summary'!$O$4=1, U8))</f>
        <v>4</v>
      </c>
      <c r="Z8" s="53">
        <f>IF('CEA Summary'!$O$4=2, P8, IF('CEA Summary'!$O$4=1, V8))</f>
        <v>7</v>
      </c>
      <c r="AA8" s="53">
        <f>IF('CEA Summary'!$O$4=2, Q8, IF('CEA Summary'!$O$4=1, W8))</f>
        <v>14</v>
      </c>
    </row>
    <row r="9" spans="1:27" x14ac:dyDescent="0.25">
      <c r="A9" t="s">
        <v>51</v>
      </c>
      <c r="B9" t="s">
        <v>52</v>
      </c>
      <c r="C9" s="12">
        <v>61</v>
      </c>
      <c r="D9" s="12">
        <v>57</v>
      </c>
      <c r="E9" s="75">
        <v>0.5964912</v>
      </c>
      <c r="F9" s="75">
        <v>0.19672129999999999</v>
      </c>
      <c r="G9" s="75">
        <v>0.2280702</v>
      </c>
      <c r="H9" s="76" t="s">
        <v>727</v>
      </c>
      <c r="I9" s="12" t="s">
        <v>304</v>
      </c>
      <c r="J9" s="69">
        <v>0.88544630000000002</v>
      </c>
      <c r="K9" t="s">
        <v>51</v>
      </c>
      <c r="L9" s="16">
        <v>22</v>
      </c>
      <c r="M9">
        <v>15</v>
      </c>
      <c r="N9">
        <v>35</v>
      </c>
      <c r="O9" s="16">
        <f t="shared" si="0"/>
        <v>7</v>
      </c>
      <c r="P9" s="16">
        <f t="shared" si="1"/>
        <v>13</v>
      </c>
      <c r="Q9">
        <v>14</v>
      </c>
      <c r="R9">
        <v>23</v>
      </c>
      <c r="S9">
        <v>13</v>
      </c>
      <c r="T9">
        <v>36</v>
      </c>
      <c r="U9" s="16">
        <f t="shared" si="2"/>
        <v>10</v>
      </c>
      <c r="V9" s="16">
        <f t="shared" si="3"/>
        <v>13</v>
      </c>
      <c r="W9">
        <v>80</v>
      </c>
      <c r="X9">
        <f>IF('CEA Summary'!$O$4=2, L9, IF('CEA Summary'!$O$4=1, R9))</f>
        <v>22</v>
      </c>
      <c r="Y9" s="53">
        <f>IF('CEA Summary'!$O$4=2, O9, IF('CEA Summary'!$O$4=1, U9))</f>
        <v>7</v>
      </c>
      <c r="Z9" s="53">
        <f>IF('CEA Summary'!$O$4=2, P9, IF('CEA Summary'!$O$4=1, V9))</f>
        <v>13</v>
      </c>
      <c r="AA9" s="53">
        <f>IF('CEA Summary'!$O$4=2, Q9, IF('CEA Summary'!$O$4=1, W9))</f>
        <v>14</v>
      </c>
    </row>
    <row r="10" spans="1:27" x14ac:dyDescent="0.25">
      <c r="A10" t="s">
        <v>3</v>
      </c>
      <c r="B10" t="s">
        <v>4</v>
      </c>
      <c r="C10" s="12">
        <v>13</v>
      </c>
      <c r="D10" s="12">
        <v>13</v>
      </c>
      <c r="E10" s="75">
        <v>0.76923079999999999</v>
      </c>
      <c r="F10" s="75">
        <v>0.69230769999999997</v>
      </c>
      <c r="G10" s="75">
        <v>0.69230769999999997</v>
      </c>
      <c r="H10" s="76" t="s">
        <v>716</v>
      </c>
      <c r="I10" s="12" t="s">
        <v>291</v>
      </c>
      <c r="J10" s="69">
        <v>4.549957</v>
      </c>
      <c r="K10" t="s">
        <v>3</v>
      </c>
      <c r="L10" s="16">
        <v>10</v>
      </c>
      <c r="M10">
        <v>8</v>
      </c>
      <c r="N10">
        <v>15</v>
      </c>
      <c r="O10" s="16">
        <f t="shared" si="0"/>
        <v>2</v>
      </c>
      <c r="P10" s="16">
        <f t="shared" si="1"/>
        <v>5</v>
      </c>
      <c r="Q10">
        <v>14</v>
      </c>
      <c r="R10">
        <v>69</v>
      </c>
      <c r="S10">
        <v>39</v>
      </c>
      <c r="T10">
        <v>91</v>
      </c>
      <c r="U10" s="16">
        <f t="shared" si="2"/>
        <v>30</v>
      </c>
      <c r="V10" s="16">
        <f t="shared" si="3"/>
        <v>22</v>
      </c>
      <c r="W10">
        <v>80</v>
      </c>
      <c r="X10">
        <f>IF('CEA Summary'!$O$4=2, L10, IF('CEA Summary'!$O$4=1, R10))</f>
        <v>10</v>
      </c>
      <c r="Y10" s="53">
        <f>IF('CEA Summary'!$O$4=2, O10, IF('CEA Summary'!$O$4=1, U10))</f>
        <v>2</v>
      </c>
      <c r="Z10" s="53">
        <f>IF('CEA Summary'!$O$4=2, P10, IF('CEA Summary'!$O$4=1, V10))</f>
        <v>5</v>
      </c>
      <c r="AA10" s="53">
        <f>IF('CEA Summary'!$O$4=2, Q10, IF('CEA Summary'!$O$4=1, W10))</f>
        <v>14</v>
      </c>
    </row>
    <row r="11" spans="1:27" x14ac:dyDescent="0.25">
      <c r="A11" t="s">
        <v>69</v>
      </c>
      <c r="B11" t="s">
        <v>70</v>
      </c>
      <c r="C11" s="12">
        <v>60</v>
      </c>
      <c r="D11" s="12">
        <v>60</v>
      </c>
      <c r="E11" s="75">
        <v>0.80357140000000005</v>
      </c>
      <c r="F11" s="75">
        <v>0.26666669999999998</v>
      </c>
      <c r="G11" s="75">
        <v>0.43333329999999998</v>
      </c>
      <c r="H11" s="76" t="s">
        <v>732</v>
      </c>
      <c r="I11" s="12" t="s">
        <v>221</v>
      </c>
      <c r="J11" s="69">
        <v>0.89884529999999996</v>
      </c>
      <c r="K11" t="s">
        <v>69</v>
      </c>
      <c r="L11" s="16">
        <v>17</v>
      </c>
      <c r="M11">
        <v>11</v>
      </c>
      <c r="N11">
        <v>27</v>
      </c>
      <c r="O11" s="16">
        <f t="shared" si="0"/>
        <v>6</v>
      </c>
      <c r="P11" s="16">
        <f t="shared" si="1"/>
        <v>10</v>
      </c>
      <c r="Q11">
        <v>14</v>
      </c>
      <c r="R11">
        <v>43</v>
      </c>
      <c r="S11">
        <v>31</v>
      </c>
      <c r="T11">
        <v>57</v>
      </c>
      <c r="U11" s="16">
        <f t="shared" si="2"/>
        <v>12</v>
      </c>
      <c r="V11" s="16">
        <f t="shared" si="3"/>
        <v>14</v>
      </c>
      <c r="W11">
        <v>80</v>
      </c>
      <c r="X11">
        <f>IF('CEA Summary'!$O$4=2, L11, IF('CEA Summary'!$O$4=1, R11))</f>
        <v>17</v>
      </c>
      <c r="Y11" s="53">
        <f>IF('CEA Summary'!$O$4=2, O11, IF('CEA Summary'!$O$4=1, U11))</f>
        <v>6</v>
      </c>
      <c r="Z11" s="53">
        <f>IF('CEA Summary'!$O$4=2, P11, IF('CEA Summary'!$O$4=1, V11))</f>
        <v>10</v>
      </c>
      <c r="AA11" s="53">
        <f>IF('CEA Summary'!$O$4=2, Q11, IF('CEA Summary'!$O$4=1, W11))</f>
        <v>14</v>
      </c>
    </row>
    <row r="12" spans="1:27" x14ac:dyDescent="0.25">
      <c r="A12" t="s">
        <v>90</v>
      </c>
      <c r="B12" t="s">
        <v>419</v>
      </c>
      <c r="C12" s="12">
        <v>33</v>
      </c>
      <c r="D12" s="12">
        <v>33</v>
      </c>
      <c r="E12" s="75">
        <v>0.63636360000000003</v>
      </c>
      <c r="F12" s="75">
        <v>0.48484850000000002</v>
      </c>
      <c r="G12" s="75">
        <v>0.48484850000000002</v>
      </c>
      <c r="H12" s="76" t="s">
        <v>739</v>
      </c>
      <c r="I12" s="12" t="s">
        <v>230</v>
      </c>
      <c r="J12" s="69">
        <v>0.73873849999999996</v>
      </c>
      <c r="K12" t="s">
        <v>90</v>
      </c>
      <c r="L12" s="16">
        <v>15</v>
      </c>
      <c r="M12">
        <v>11</v>
      </c>
      <c r="N12">
        <v>25</v>
      </c>
      <c r="O12" s="16">
        <f t="shared" si="0"/>
        <v>4</v>
      </c>
      <c r="P12" s="16">
        <f t="shared" si="1"/>
        <v>10</v>
      </c>
      <c r="Q12">
        <v>14</v>
      </c>
      <c r="R12">
        <v>48</v>
      </c>
      <c r="S12">
        <v>31</v>
      </c>
      <c r="T12">
        <v>66</v>
      </c>
      <c r="U12" s="16">
        <f t="shared" si="2"/>
        <v>17</v>
      </c>
      <c r="V12" s="16">
        <f t="shared" si="3"/>
        <v>18</v>
      </c>
      <c r="W12">
        <v>80</v>
      </c>
      <c r="X12">
        <f>IF('CEA Summary'!$O$4=2, L12, IF('CEA Summary'!$O$4=1, R12))</f>
        <v>15</v>
      </c>
      <c r="Y12" s="53">
        <f>IF('CEA Summary'!$O$4=2, O12, IF('CEA Summary'!$O$4=1, U12))</f>
        <v>4</v>
      </c>
      <c r="Z12" s="53">
        <f>IF('CEA Summary'!$O$4=2, P12, IF('CEA Summary'!$O$4=1, V12))</f>
        <v>10</v>
      </c>
      <c r="AA12" s="53">
        <f>IF('CEA Summary'!$O$4=2, Q12, IF('CEA Summary'!$O$4=1, W12))</f>
        <v>14</v>
      </c>
    </row>
    <row r="13" spans="1:27" x14ac:dyDescent="0.25">
      <c r="A13" t="s">
        <v>135</v>
      </c>
      <c r="B13" t="s">
        <v>136</v>
      </c>
      <c r="C13" s="12">
        <v>34</v>
      </c>
      <c r="D13" s="12">
        <v>31</v>
      </c>
      <c r="E13" s="75">
        <v>0.87096770000000001</v>
      </c>
      <c r="F13" s="75">
        <v>0.58823530000000002</v>
      </c>
      <c r="G13" s="75">
        <v>0.74193549999999997</v>
      </c>
      <c r="H13" s="76" t="s">
        <v>456</v>
      </c>
      <c r="I13" s="12" t="s">
        <v>726</v>
      </c>
      <c r="J13" s="69">
        <v>0.74040539999999999</v>
      </c>
      <c r="K13" t="s">
        <v>135</v>
      </c>
      <c r="L13" s="16">
        <v>9</v>
      </c>
      <c r="M13">
        <v>6</v>
      </c>
      <c r="N13">
        <v>15</v>
      </c>
      <c r="O13" s="16">
        <f t="shared" si="0"/>
        <v>3</v>
      </c>
      <c r="P13" s="16">
        <f t="shared" si="1"/>
        <v>6</v>
      </c>
      <c r="Q13">
        <v>14</v>
      </c>
      <c r="R13">
        <v>74</v>
      </c>
      <c r="S13">
        <v>55</v>
      </c>
      <c r="T13">
        <v>88</v>
      </c>
      <c r="U13" s="16">
        <f t="shared" si="2"/>
        <v>19</v>
      </c>
      <c r="V13" s="16">
        <f t="shared" si="3"/>
        <v>14</v>
      </c>
      <c r="W13">
        <v>80</v>
      </c>
      <c r="X13">
        <f>IF('CEA Summary'!$O$4=2, L13, IF('CEA Summary'!$O$4=1, R13))</f>
        <v>9</v>
      </c>
      <c r="Y13" s="53">
        <f>IF('CEA Summary'!$O$4=2, O13, IF('CEA Summary'!$O$4=1, U13))</f>
        <v>3</v>
      </c>
      <c r="Z13" s="53">
        <f>IF('CEA Summary'!$O$4=2, P13, IF('CEA Summary'!$O$4=1, V13))</f>
        <v>6</v>
      </c>
      <c r="AA13" s="53">
        <f>IF('CEA Summary'!$O$4=2, Q13, IF('CEA Summary'!$O$4=1, W13))</f>
        <v>14</v>
      </c>
    </row>
    <row r="14" spans="1:27" x14ac:dyDescent="0.25">
      <c r="A14" t="s">
        <v>123</v>
      </c>
      <c r="B14" t="s">
        <v>124</v>
      </c>
      <c r="C14" s="12">
        <v>57</v>
      </c>
      <c r="D14" s="12">
        <v>53</v>
      </c>
      <c r="E14" s="75">
        <v>0.64150940000000001</v>
      </c>
      <c r="F14" s="75">
        <v>0.63157890000000005</v>
      </c>
      <c r="G14" s="75">
        <v>0.54716980000000004</v>
      </c>
      <c r="H14" s="76" t="s">
        <v>747</v>
      </c>
      <c r="I14" s="12" t="s">
        <v>299</v>
      </c>
      <c r="J14" s="69">
        <v>3.659583</v>
      </c>
      <c r="K14" t="s">
        <v>123</v>
      </c>
      <c r="L14" s="16">
        <v>11</v>
      </c>
      <c r="M14">
        <v>6</v>
      </c>
      <c r="N14">
        <v>45</v>
      </c>
      <c r="O14" s="16">
        <f t="shared" si="0"/>
        <v>5</v>
      </c>
      <c r="P14" s="16">
        <f t="shared" si="1"/>
        <v>34</v>
      </c>
      <c r="Q14">
        <v>14</v>
      </c>
      <c r="R14">
        <v>55</v>
      </c>
      <c r="S14">
        <v>40</v>
      </c>
      <c r="T14">
        <v>68</v>
      </c>
      <c r="U14" s="16">
        <f t="shared" si="2"/>
        <v>15</v>
      </c>
      <c r="V14" s="16">
        <f t="shared" si="3"/>
        <v>13</v>
      </c>
      <c r="W14">
        <v>80</v>
      </c>
      <c r="X14">
        <f>IF('CEA Summary'!$O$4=2, L14, IF('CEA Summary'!$O$4=1, R14))</f>
        <v>11</v>
      </c>
      <c r="Y14" s="53">
        <f>IF('CEA Summary'!$O$4=2, O14, IF('CEA Summary'!$O$4=1, U14))</f>
        <v>5</v>
      </c>
      <c r="Z14" s="53">
        <f>IF('CEA Summary'!$O$4=2, P14, IF('CEA Summary'!$O$4=1, V14))</f>
        <v>34</v>
      </c>
      <c r="AA14" s="53">
        <f>IF('CEA Summary'!$O$4=2, Q14, IF('CEA Summary'!$O$4=1, W14))</f>
        <v>14</v>
      </c>
    </row>
    <row r="15" spans="1:27" x14ac:dyDescent="0.25">
      <c r="A15" t="s">
        <v>149</v>
      </c>
      <c r="B15" t="s">
        <v>150</v>
      </c>
      <c r="C15" s="12">
        <v>47</v>
      </c>
      <c r="D15" s="12">
        <v>44</v>
      </c>
      <c r="E15" s="75">
        <v>0.76744190000000001</v>
      </c>
      <c r="F15" s="75">
        <v>0.53191489999999997</v>
      </c>
      <c r="G15" s="75">
        <v>0.65909090000000004</v>
      </c>
      <c r="H15" s="76" t="s">
        <v>463</v>
      </c>
      <c r="I15" s="12" t="s">
        <v>268</v>
      </c>
      <c r="J15" s="69">
        <v>3.724612</v>
      </c>
      <c r="K15" t="s">
        <v>149</v>
      </c>
      <c r="L15" s="16">
        <v>12</v>
      </c>
      <c r="M15">
        <v>8</v>
      </c>
      <c r="N15">
        <v>21</v>
      </c>
      <c r="O15" s="16">
        <f t="shared" si="0"/>
        <v>4</v>
      </c>
      <c r="P15" s="16">
        <f t="shared" si="1"/>
        <v>9</v>
      </c>
      <c r="Q15">
        <v>14</v>
      </c>
      <c r="R15">
        <v>66</v>
      </c>
      <c r="S15">
        <v>50</v>
      </c>
      <c r="T15">
        <v>80</v>
      </c>
      <c r="U15" s="16">
        <f t="shared" si="2"/>
        <v>16</v>
      </c>
      <c r="V15" s="16">
        <f t="shared" si="3"/>
        <v>14</v>
      </c>
      <c r="W15">
        <v>80</v>
      </c>
      <c r="X15">
        <f>IF('CEA Summary'!$O$4=2, L15, IF('CEA Summary'!$O$4=1, R15))</f>
        <v>12</v>
      </c>
      <c r="Y15" s="53">
        <f>IF('CEA Summary'!$O$4=2, O15, IF('CEA Summary'!$O$4=1, U15))</f>
        <v>4</v>
      </c>
      <c r="Z15" s="53">
        <f>IF('CEA Summary'!$O$4=2, P15, IF('CEA Summary'!$O$4=1, V15))</f>
        <v>9</v>
      </c>
      <c r="AA15" s="53">
        <f>IF('CEA Summary'!$O$4=2, Q15, IF('CEA Summary'!$O$4=1, W15))</f>
        <v>14</v>
      </c>
    </row>
    <row r="16" spans="1:27" x14ac:dyDescent="0.25">
      <c r="A16" t="s">
        <v>37</v>
      </c>
      <c r="B16" t="s">
        <v>198</v>
      </c>
      <c r="C16" s="12">
        <v>61</v>
      </c>
      <c r="D16" s="12">
        <v>60</v>
      </c>
      <c r="E16" s="75">
        <v>0.7</v>
      </c>
      <c r="F16" s="75">
        <v>0.37704919999999997</v>
      </c>
      <c r="G16" s="75">
        <v>0.5</v>
      </c>
      <c r="H16" s="76" t="s">
        <v>723</v>
      </c>
      <c r="I16" s="12" t="s">
        <v>284</v>
      </c>
      <c r="J16" s="69">
        <v>4.4206880000000002</v>
      </c>
      <c r="K16" t="s">
        <v>37</v>
      </c>
      <c r="L16" s="16">
        <v>15</v>
      </c>
      <c r="M16">
        <v>9</v>
      </c>
      <c r="N16">
        <v>28</v>
      </c>
      <c r="O16" s="16">
        <f t="shared" si="0"/>
        <v>6</v>
      </c>
      <c r="P16" s="16">
        <f t="shared" si="1"/>
        <v>13</v>
      </c>
      <c r="Q16">
        <v>14</v>
      </c>
      <c r="R16">
        <v>50</v>
      </c>
      <c r="S16">
        <v>37</v>
      </c>
      <c r="T16">
        <v>63</v>
      </c>
      <c r="U16" s="16">
        <f t="shared" si="2"/>
        <v>13</v>
      </c>
      <c r="V16" s="16">
        <f t="shared" si="3"/>
        <v>13</v>
      </c>
      <c r="W16">
        <v>80</v>
      </c>
      <c r="X16">
        <f>IF('CEA Summary'!$O$4=2, L16, IF('CEA Summary'!$O$4=1, R16))</f>
        <v>15</v>
      </c>
      <c r="Y16" s="53">
        <f>IF('CEA Summary'!$O$4=2, O16, IF('CEA Summary'!$O$4=1, U16))</f>
        <v>6</v>
      </c>
      <c r="Z16" s="53">
        <f>IF('CEA Summary'!$O$4=2, P16, IF('CEA Summary'!$O$4=1, V16))</f>
        <v>13</v>
      </c>
      <c r="AA16" s="53">
        <f>IF('CEA Summary'!$O$4=2, Q16, IF('CEA Summary'!$O$4=1, W16))</f>
        <v>14</v>
      </c>
    </row>
    <row r="17" spans="1:27" x14ac:dyDescent="0.25">
      <c r="A17" t="s">
        <v>38</v>
      </c>
      <c r="B17" t="s">
        <v>39</v>
      </c>
      <c r="C17" s="12">
        <v>47</v>
      </c>
      <c r="D17" s="12">
        <v>46</v>
      </c>
      <c r="E17" s="75">
        <v>0.91304350000000001</v>
      </c>
      <c r="F17" s="75">
        <v>0.74468080000000003</v>
      </c>
      <c r="G17" s="75">
        <v>0.86956520000000004</v>
      </c>
      <c r="H17" s="76" t="s">
        <v>229</v>
      </c>
      <c r="I17" s="12" t="s">
        <v>558</v>
      </c>
      <c r="J17" s="69">
        <v>1.281633</v>
      </c>
      <c r="K17" t="s">
        <v>38</v>
      </c>
      <c r="L17" s="16">
        <v>8</v>
      </c>
      <c r="M17">
        <v>5</v>
      </c>
      <c r="N17">
        <v>11</v>
      </c>
      <c r="O17" s="16">
        <f t="shared" si="0"/>
        <v>3</v>
      </c>
      <c r="P17" s="16">
        <f t="shared" si="1"/>
        <v>3</v>
      </c>
      <c r="Q17">
        <v>14</v>
      </c>
      <c r="R17">
        <v>87</v>
      </c>
      <c r="S17">
        <v>74</v>
      </c>
      <c r="T17">
        <v>95</v>
      </c>
      <c r="U17" s="16">
        <f t="shared" si="2"/>
        <v>13</v>
      </c>
      <c r="V17" s="16">
        <f t="shared" si="3"/>
        <v>8</v>
      </c>
      <c r="W17">
        <v>80</v>
      </c>
      <c r="X17">
        <f>IF('CEA Summary'!$O$4=2, L17, IF('CEA Summary'!$O$4=1, R17))</f>
        <v>8</v>
      </c>
      <c r="Y17" s="53">
        <f>IF('CEA Summary'!$O$4=2, O17, IF('CEA Summary'!$O$4=1, U17))</f>
        <v>3</v>
      </c>
      <c r="Z17" s="53">
        <f>IF('CEA Summary'!$O$4=2, P17, IF('CEA Summary'!$O$4=1, V17))</f>
        <v>3</v>
      </c>
      <c r="AA17" s="53">
        <f>IF('CEA Summary'!$O$4=2, Q17, IF('CEA Summary'!$O$4=1, W17))</f>
        <v>14</v>
      </c>
    </row>
    <row r="18" spans="1:27" x14ac:dyDescent="0.25">
      <c r="A18" t="s">
        <v>112</v>
      </c>
      <c r="B18" t="s">
        <v>113</v>
      </c>
      <c r="C18" s="12">
        <v>54</v>
      </c>
      <c r="D18" s="12">
        <v>50</v>
      </c>
      <c r="E18" s="75">
        <v>0.76595749999999996</v>
      </c>
      <c r="F18" s="75">
        <v>0.42592590000000002</v>
      </c>
      <c r="G18" s="75">
        <v>0.52</v>
      </c>
      <c r="H18" s="76" t="s">
        <v>744</v>
      </c>
      <c r="I18" s="12" t="s">
        <v>286</v>
      </c>
      <c r="J18" s="69">
        <v>1.5749</v>
      </c>
      <c r="K18" t="s">
        <v>112</v>
      </c>
      <c r="L18" s="16">
        <v>14</v>
      </c>
      <c r="M18">
        <v>7</v>
      </c>
      <c r="N18">
        <v>33</v>
      </c>
      <c r="O18" s="16">
        <f t="shared" si="0"/>
        <v>7</v>
      </c>
      <c r="P18" s="16">
        <f t="shared" si="1"/>
        <v>19</v>
      </c>
      <c r="Q18">
        <v>14</v>
      </c>
      <c r="R18">
        <v>52</v>
      </c>
      <c r="S18">
        <v>37</v>
      </c>
      <c r="T18">
        <v>66</v>
      </c>
      <c r="U18" s="16">
        <f t="shared" si="2"/>
        <v>15</v>
      </c>
      <c r="V18" s="16">
        <f t="shared" si="3"/>
        <v>14</v>
      </c>
      <c r="W18">
        <v>80</v>
      </c>
      <c r="X18">
        <f>IF('CEA Summary'!$O$4=2, L18, IF('CEA Summary'!$O$4=1, R18))</f>
        <v>14</v>
      </c>
      <c r="Y18" s="53">
        <f>IF('CEA Summary'!$O$4=2, O18, IF('CEA Summary'!$O$4=1, U18))</f>
        <v>7</v>
      </c>
      <c r="Z18" s="53">
        <f>IF('CEA Summary'!$O$4=2, P18, IF('CEA Summary'!$O$4=1, V18))</f>
        <v>19</v>
      </c>
      <c r="AA18" s="53">
        <f>IF('CEA Summary'!$O$4=2, Q18, IF('CEA Summary'!$O$4=1, W18))</f>
        <v>14</v>
      </c>
    </row>
    <row r="19" spans="1:27" x14ac:dyDescent="0.25">
      <c r="A19" t="s">
        <v>63</v>
      </c>
      <c r="B19" t="s">
        <v>64</v>
      </c>
      <c r="C19" s="12">
        <v>30</v>
      </c>
      <c r="D19" s="12">
        <v>29</v>
      </c>
      <c r="E19" s="75">
        <v>0.58620689999999998</v>
      </c>
      <c r="F19" s="75">
        <v>0.6</v>
      </c>
      <c r="G19" s="75">
        <v>0.55172410000000005</v>
      </c>
      <c r="H19" s="76" t="s">
        <v>463</v>
      </c>
      <c r="I19" s="12" t="s">
        <v>300</v>
      </c>
      <c r="J19" s="69">
        <v>1.943595</v>
      </c>
      <c r="K19" t="s">
        <v>63</v>
      </c>
      <c r="L19" s="16">
        <v>12</v>
      </c>
      <c r="M19">
        <v>8</v>
      </c>
      <c r="N19">
        <v>21</v>
      </c>
      <c r="O19" s="16">
        <f t="shared" si="0"/>
        <v>4</v>
      </c>
      <c r="P19" s="16">
        <f t="shared" si="1"/>
        <v>9</v>
      </c>
      <c r="Q19">
        <v>14</v>
      </c>
      <c r="R19">
        <v>55</v>
      </c>
      <c r="S19">
        <v>36</v>
      </c>
      <c r="T19">
        <v>74</v>
      </c>
      <c r="U19" s="16">
        <f t="shared" si="2"/>
        <v>19</v>
      </c>
      <c r="V19" s="16">
        <f t="shared" si="3"/>
        <v>19</v>
      </c>
      <c r="W19">
        <v>80</v>
      </c>
      <c r="X19">
        <f>IF('CEA Summary'!$O$4=2, L19, IF('CEA Summary'!$O$4=1, R19))</f>
        <v>12</v>
      </c>
      <c r="Y19" s="53">
        <f>IF('CEA Summary'!$O$4=2, O19, IF('CEA Summary'!$O$4=1, U19))</f>
        <v>4</v>
      </c>
      <c r="Z19" s="53">
        <f>IF('CEA Summary'!$O$4=2, P19, IF('CEA Summary'!$O$4=1, V19))</f>
        <v>9</v>
      </c>
      <c r="AA19" s="53">
        <f>IF('CEA Summary'!$O$4=2, Q19, IF('CEA Summary'!$O$4=1, W19))</f>
        <v>14</v>
      </c>
    </row>
    <row r="20" spans="1:27" x14ac:dyDescent="0.25">
      <c r="A20" t="s">
        <v>127</v>
      </c>
      <c r="B20" t="s">
        <v>420</v>
      </c>
      <c r="C20" s="12">
        <v>55</v>
      </c>
      <c r="D20" s="12">
        <v>53</v>
      </c>
      <c r="E20" s="75">
        <v>0.71698110000000004</v>
      </c>
      <c r="F20" s="75">
        <v>0.81818179999999996</v>
      </c>
      <c r="G20" s="75">
        <v>0.73584910000000003</v>
      </c>
      <c r="H20" s="76" t="s">
        <v>243</v>
      </c>
      <c r="I20" s="12" t="s">
        <v>210</v>
      </c>
      <c r="J20" s="69">
        <v>5.6460439999999998</v>
      </c>
      <c r="K20" t="s">
        <v>127</v>
      </c>
      <c r="L20" s="16">
        <v>7</v>
      </c>
      <c r="M20">
        <v>4</v>
      </c>
      <c r="N20">
        <v>15</v>
      </c>
      <c r="O20" s="16">
        <f t="shared" si="0"/>
        <v>3</v>
      </c>
      <c r="P20" s="16">
        <f t="shared" si="1"/>
        <v>8</v>
      </c>
      <c r="Q20">
        <v>14</v>
      </c>
      <c r="R20">
        <v>74</v>
      </c>
      <c r="S20">
        <v>60</v>
      </c>
      <c r="T20">
        <v>85</v>
      </c>
      <c r="U20" s="16">
        <f t="shared" si="2"/>
        <v>14</v>
      </c>
      <c r="V20" s="16">
        <f t="shared" si="3"/>
        <v>11</v>
      </c>
      <c r="W20">
        <v>80</v>
      </c>
      <c r="X20">
        <f>IF('CEA Summary'!$O$4=2, L20, IF('CEA Summary'!$O$4=1, R20))</f>
        <v>7</v>
      </c>
      <c r="Y20" s="53">
        <f>IF('CEA Summary'!$O$4=2, O20, IF('CEA Summary'!$O$4=1, U20))</f>
        <v>3</v>
      </c>
      <c r="Z20" s="53">
        <f>IF('CEA Summary'!$O$4=2, P20, IF('CEA Summary'!$O$4=1, V20))</f>
        <v>8</v>
      </c>
      <c r="AA20" s="53">
        <f>IF('CEA Summary'!$O$4=2, Q20, IF('CEA Summary'!$O$4=1, W20))</f>
        <v>14</v>
      </c>
    </row>
    <row r="21" spans="1:27" x14ac:dyDescent="0.25">
      <c r="A21" t="s">
        <v>153</v>
      </c>
      <c r="B21" t="s">
        <v>154</v>
      </c>
      <c r="C21" s="12">
        <v>44</v>
      </c>
      <c r="D21" s="12">
        <v>34</v>
      </c>
      <c r="E21" s="75">
        <v>0.64705880000000005</v>
      </c>
      <c r="F21" s="75">
        <v>0.40909089999999998</v>
      </c>
      <c r="G21" s="75">
        <v>0.6176471</v>
      </c>
      <c r="H21" s="76" t="s">
        <v>755</v>
      </c>
      <c r="I21" s="12" t="s">
        <v>222</v>
      </c>
      <c r="J21" s="69">
        <v>3.5871249999999999</v>
      </c>
      <c r="K21" t="s">
        <v>153</v>
      </c>
      <c r="L21" s="16">
        <v>13</v>
      </c>
      <c r="M21">
        <v>10</v>
      </c>
      <c r="N21">
        <v>19</v>
      </c>
      <c r="O21" s="16">
        <f t="shared" si="0"/>
        <v>3</v>
      </c>
      <c r="P21" s="16">
        <f t="shared" si="1"/>
        <v>6</v>
      </c>
      <c r="Q21">
        <v>14</v>
      </c>
      <c r="R21">
        <v>62</v>
      </c>
      <c r="S21">
        <v>44</v>
      </c>
      <c r="T21">
        <v>78</v>
      </c>
      <c r="U21" s="16">
        <f t="shared" si="2"/>
        <v>18</v>
      </c>
      <c r="V21" s="16">
        <f t="shared" si="3"/>
        <v>16</v>
      </c>
      <c r="W21">
        <v>80</v>
      </c>
      <c r="X21">
        <f>IF('CEA Summary'!$O$4=2, L21, IF('CEA Summary'!$O$4=1, R21))</f>
        <v>13</v>
      </c>
      <c r="Y21" s="53">
        <f>IF('CEA Summary'!$O$4=2, O21, IF('CEA Summary'!$O$4=1, U21))</f>
        <v>3</v>
      </c>
      <c r="Z21" s="53">
        <f>IF('CEA Summary'!$O$4=2, P21, IF('CEA Summary'!$O$4=1, V21))</f>
        <v>6</v>
      </c>
      <c r="AA21" s="53">
        <f>IF('CEA Summary'!$O$4=2, Q21, IF('CEA Summary'!$O$4=1, W21))</f>
        <v>14</v>
      </c>
    </row>
    <row r="22" spans="1:27" x14ac:dyDescent="0.25">
      <c r="A22" t="s">
        <v>71</v>
      </c>
      <c r="B22" t="s">
        <v>72</v>
      </c>
      <c r="C22" s="12">
        <v>65</v>
      </c>
      <c r="D22" s="12">
        <v>57</v>
      </c>
      <c r="E22" s="75">
        <v>0.79245279999999996</v>
      </c>
      <c r="F22" s="75">
        <v>0.47619050000000002</v>
      </c>
      <c r="G22" s="75">
        <v>0.57142859999999995</v>
      </c>
      <c r="H22" s="76" t="s">
        <v>733</v>
      </c>
      <c r="I22" s="12" t="s">
        <v>228</v>
      </c>
      <c r="J22" s="69">
        <v>0.68344519999999997</v>
      </c>
      <c r="K22" t="s">
        <v>71</v>
      </c>
      <c r="L22" s="16">
        <v>12</v>
      </c>
      <c r="M22">
        <v>8</v>
      </c>
      <c r="N22">
        <v>23</v>
      </c>
      <c r="O22" s="16">
        <f t="shared" si="0"/>
        <v>4</v>
      </c>
      <c r="P22" s="16">
        <f t="shared" si="1"/>
        <v>11</v>
      </c>
      <c r="Q22">
        <v>14</v>
      </c>
      <c r="R22">
        <v>57</v>
      </c>
      <c r="S22">
        <v>43</v>
      </c>
      <c r="T22">
        <v>70</v>
      </c>
      <c r="U22" s="16">
        <f t="shared" si="2"/>
        <v>14</v>
      </c>
      <c r="V22" s="16">
        <f t="shared" si="3"/>
        <v>13</v>
      </c>
      <c r="W22">
        <v>80</v>
      </c>
      <c r="X22">
        <f>IF('CEA Summary'!$O$4=2, L22, IF('CEA Summary'!$O$4=1, R22))</f>
        <v>12</v>
      </c>
      <c r="Y22" s="53">
        <f>IF('CEA Summary'!$O$4=2, O22, IF('CEA Summary'!$O$4=1, U22))</f>
        <v>4</v>
      </c>
      <c r="Z22" s="53">
        <f>IF('CEA Summary'!$O$4=2, P22, IF('CEA Summary'!$O$4=1, V22))</f>
        <v>11</v>
      </c>
      <c r="AA22" s="53">
        <f>IF('CEA Summary'!$O$4=2, Q22, IF('CEA Summary'!$O$4=1, W22))</f>
        <v>14</v>
      </c>
    </row>
    <row r="23" spans="1:27" x14ac:dyDescent="0.25">
      <c r="A23" t="s">
        <v>147</v>
      </c>
      <c r="B23" t="s">
        <v>148</v>
      </c>
      <c r="C23" s="12">
        <v>73</v>
      </c>
      <c r="D23" s="12">
        <v>72</v>
      </c>
      <c r="E23" s="75">
        <v>0.54166669999999995</v>
      </c>
      <c r="F23" s="75">
        <v>0.27397260000000001</v>
      </c>
      <c r="G23" s="75">
        <v>0.38888889999999998</v>
      </c>
      <c r="H23" s="76" t="s">
        <v>753</v>
      </c>
      <c r="I23" s="12" t="s">
        <v>270</v>
      </c>
      <c r="J23" s="69">
        <v>1.2034419999999999</v>
      </c>
      <c r="K23" t="s">
        <v>147</v>
      </c>
      <c r="L23" s="16">
        <v>21</v>
      </c>
      <c r="M23">
        <v>12</v>
      </c>
      <c r="N23">
        <v>40</v>
      </c>
      <c r="O23" s="16">
        <f t="shared" si="0"/>
        <v>9</v>
      </c>
      <c r="P23" s="16">
        <f t="shared" si="1"/>
        <v>19</v>
      </c>
      <c r="Q23">
        <v>14</v>
      </c>
      <c r="R23">
        <v>39</v>
      </c>
      <c r="S23">
        <v>28</v>
      </c>
      <c r="T23">
        <v>51</v>
      </c>
      <c r="U23" s="16">
        <f t="shared" si="2"/>
        <v>11</v>
      </c>
      <c r="V23" s="16">
        <f t="shared" si="3"/>
        <v>12</v>
      </c>
      <c r="W23">
        <v>80</v>
      </c>
      <c r="X23">
        <f>IF('CEA Summary'!$O$4=2, L23, IF('CEA Summary'!$O$4=1, R23))</f>
        <v>21</v>
      </c>
      <c r="Y23" s="53">
        <f>IF('CEA Summary'!$O$4=2, O23, IF('CEA Summary'!$O$4=1, U23))</f>
        <v>9</v>
      </c>
      <c r="Z23" s="53">
        <f>IF('CEA Summary'!$O$4=2, P23, IF('CEA Summary'!$O$4=1, V23))</f>
        <v>19</v>
      </c>
      <c r="AA23" s="53">
        <f>IF('CEA Summary'!$O$4=2, Q23, IF('CEA Summary'!$O$4=1, W23))</f>
        <v>14</v>
      </c>
    </row>
    <row r="24" spans="1:27" x14ac:dyDescent="0.25">
      <c r="A24" t="s">
        <v>102</v>
      </c>
      <c r="B24" t="s">
        <v>103</v>
      </c>
      <c r="C24" s="12">
        <v>31</v>
      </c>
      <c r="D24" s="12">
        <v>31</v>
      </c>
      <c r="E24" s="75">
        <v>0.80645160000000005</v>
      </c>
      <c r="F24" s="75">
        <v>0.90322579999999997</v>
      </c>
      <c r="G24" s="75">
        <v>0.8387097</v>
      </c>
      <c r="H24" s="76" t="s">
        <v>294</v>
      </c>
      <c r="I24" s="12" t="s">
        <v>741</v>
      </c>
      <c r="J24" s="69">
        <v>5.5821839999999998</v>
      </c>
      <c r="K24" t="s">
        <v>102</v>
      </c>
      <c r="L24" s="16">
        <v>8</v>
      </c>
      <c r="M24">
        <v>6</v>
      </c>
      <c r="N24">
        <v>11</v>
      </c>
      <c r="O24" s="16">
        <f t="shared" si="0"/>
        <v>2</v>
      </c>
      <c r="P24" s="16">
        <f t="shared" si="1"/>
        <v>3</v>
      </c>
      <c r="Q24">
        <v>14</v>
      </c>
      <c r="R24">
        <v>84</v>
      </c>
      <c r="S24">
        <v>66</v>
      </c>
      <c r="T24">
        <v>95</v>
      </c>
      <c r="U24" s="16">
        <f t="shared" si="2"/>
        <v>18</v>
      </c>
      <c r="V24" s="16">
        <f t="shared" si="3"/>
        <v>11</v>
      </c>
      <c r="W24">
        <v>80</v>
      </c>
      <c r="X24">
        <f>IF('CEA Summary'!$O$4=2, L24, IF('CEA Summary'!$O$4=1, R24))</f>
        <v>8</v>
      </c>
      <c r="Y24" s="53">
        <f>IF('CEA Summary'!$O$4=2, O24, IF('CEA Summary'!$O$4=1, U24))</f>
        <v>2</v>
      </c>
      <c r="Z24" s="53">
        <f>IF('CEA Summary'!$O$4=2, P24, IF('CEA Summary'!$O$4=1, V24))</f>
        <v>3</v>
      </c>
      <c r="AA24" s="53">
        <f>IF('CEA Summary'!$O$4=2, Q24, IF('CEA Summary'!$O$4=1, W24))</f>
        <v>14</v>
      </c>
    </row>
    <row r="25" spans="1:27" x14ac:dyDescent="0.25">
      <c r="A25" t="s">
        <v>44</v>
      </c>
      <c r="B25" t="s">
        <v>421</v>
      </c>
      <c r="C25" s="12">
        <v>99</v>
      </c>
      <c r="D25" s="12">
        <v>98</v>
      </c>
      <c r="E25" s="75">
        <v>0.73195869999999996</v>
      </c>
      <c r="F25" s="75">
        <v>0.32323229999999997</v>
      </c>
      <c r="G25" s="75">
        <v>0.47959180000000001</v>
      </c>
      <c r="H25" s="76" t="s">
        <v>460</v>
      </c>
      <c r="I25" s="12" t="s">
        <v>284</v>
      </c>
      <c r="J25" s="69">
        <v>2.2933979999999998</v>
      </c>
      <c r="K25" t="s">
        <v>44</v>
      </c>
      <c r="L25" s="16">
        <v>16</v>
      </c>
      <c r="M25">
        <v>9</v>
      </c>
      <c r="N25">
        <v>25</v>
      </c>
      <c r="O25" s="16">
        <f t="shared" si="0"/>
        <v>7</v>
      </c>
      <c r="P25" s="16">
        <f t="shared" si="1"/>
        <v>9</v>
      </c>
      <c r="Q25">
        <v>14</v>
      </c>
      <c r="R25">
        <v>48</v>
      </c>
      <c r="S25">
        <v>38</v>
      </c>
      <c r="T25">
        <v>58</v>
      </c>
      <c r="U25" s="16">
        <f t="shared" si="2"/>
        <v>10</v>
      </c>
      <c r="V25" s="16">
        <f t="shared" si="3"/>
        <v>10</v>
      </c>
      <c r="W25">
        <v>80</v>
      </c>
      <c r="X25">
        <f>IF('CEA Summary'!$O$4=2, L25, IF('CEA Summary'!$O$4=1, R25))</f>
        <v>16</v>
      </c>
      <c r="Y25" s="53">
        <f>IF('CEA Summary'!$O$4=2, O25, IF('CEA Summary'!$O$4=1, U25))</f>
        <v>7</v>
      </c>
      <c r="Z25" s="53">
        <f>IF('CEA Summary'!$O$4=2, P25, IF('CEA Summary'!$O$4=1, V25))</f>
        <v>9</v>
      </c>
      <c r="AA25" s="53">
        <f>IF('CEA Summary'!$O$4=2, Q25, IF('CEA Summary'!$O$4=1, W25))</f>
        <v>14</v>
      </c>
    </row>
    <row r="26" spans="1:27" x14ac:dyDescent="0.25">
      <c r="A26" t="s">
        <v>13</v>
      </c>
      <c r="B26" t="s">
        <v>422</v>
      </c>
      <c r="C26" s="12">
        <v>36</v>
      </c>
      <c r="D26" s="12">
        <v>35</v>
      </c>
      <c r="E26" s="75">
        <v>0.94117649999999997</v>
      </c>
      <c r="F26" s="75">
        <v>0.82857139999999996</v>
      </c>
      <c r="G26" s="75">
        <v>0.91176469999999998</v>
      </c>
      <c r="H26" s="76" t="s">
        <v>209</v>
      </c>
      <c r="I26" s="12" t="s">
        <v>209</v>
      </c>
      <c r="J26" s="69">
        <v>2.8206060000000002</v>
      </c>
      <c r="K26" t="s">
        <v>13</v>
      </c>
      <c r="L26" s="16">
        <v>5</v>
      </c>
      <c r="M26">
        <v>3</v>
      </c>
      <c r="N26">
        <v>7</v>
      </c>
      <c r="O26" s="16">
        <f t="shared" si="0"/>
        <v>2</v>
      </c>
      <c r="P26" s="16">
        <f t="shared" si="1"/>
        <v>2</v>
      </c>
      <c r="Q26">
        <v>14</v>
      </c>
      <c r="R26">
        <v>91</v>
      </c>
      <c r="S26">
        <v>76</v>
      </c>
      <c r="T26">
        <v>98</v>
      </c>
      <c r="U26" s="16">
        <f t="shared" si="2"/>
        <v>15</v>
      </c>
      <c r="V26" s="16">
        <f t="shared" si="3"/>
        <v>7</v>
      </c>
      <c r="W26">
        <v>80</v>
      </c>
      <c r="X26">
        <f>IF('CEA Summary'!$O$4=2, L26, IF('CEA Summary'!$O$4=1, R26))</f>
        <v>5</v>
      </c>
      <c r="Y26" s="53">
        <f>IF('CEA Summary'!$O$4=2, O26, IF('CEA Summary'!$O$4=1, U26))</f>
        <v>2</v>
      </c>
      <c r="Z26" s="53">
        <f>IF('CEA Summary'!$O$4=2, P26, IF('CEA Summary'!$O$4=1, V26))</f>
        <v>2</v>
      </c>
      <c r="AA26" s="53">
        <f>IF('CEA Summary'!$O$4=2, Q26, IF('CEA Summary'!$O$4=1, W26))</f>
        <v>14</v>
      </c>
    </row>
    <row r="27" spans="1:27" x14ac:dyDescent="0.25">
      <c r="A27" t="s">
        <v>9</v>
      </c>
      <c r="B27" t="s">
        <v>10</v>
      </c>
      <c r="C27" s="12">
        <v>95</v>
      </c>
      <c r="D27" s="12">
        <v>89</v>
      </c>
      <c r="E27" s="75">
        <v>0.67857140000000005</v>
      </c>
      <c r="F27" s="75">
        <v>0.52688170000000001</v>
      </c>
      <c r="G27" s="75">
        <v>0.60674150000000004</v>
      </c>
      <c r="H27" s="76" t="s">
        <v>717</v>
      </c>
      <c r="I27" s="12" t="s">
        <v>221</v>
      </c>
      <c r="J27" s="69">
        <v>1.896288</v>
      </c>
      <c r="K27" t="s">
        <v>9</v>
      </c>
      <c r="L27" s="16">
        <v>11</v>
      </c>
      <c r="M27">
        <v>7</v>
      </c>
      <c r="N27">
        <v>26</v>
      </c>
      <c r="O27" s="16">
        <f t="shared" si="0"/>
        <v>4</v>
      </c>
      <c r="P27" s="16">
        <f t="shared" si="1"/>
        <v>15</v>
      </c>
      <c r="Q27">
        <v>14</v>
      </c>
      <c r="R27">
        <v>61</v>
      </c>
      <c r="S27">
        <v>50</v>
      </c>
      <c r="T27">
        <v>71</v>
      </c>
      <c r="U27" s="16">
        <f t="shared" si="2"/>
        <v>11</v>
      </c>
      <c r="V27" s="16">
        <f t="shared" si="3"/>
        <v>10</v>
      </c>
      <c r="W27">
        <v>80</v>
      </c>
      <c r="X27">
        <f>IF('CEA Summary'!$O$4=2, L27, IF('CEA Summary'!$O$4=1, R27))</f>
        <v>11</v>
      </c>
      <c r="Y27" s="53">
        <f>IF('CEA Summary'!$O$4=2, O27, IF('CEA Summary'!$O$4=1, U27))</f>
        <v>4</v>
      </c>
      <c r="Z27" s="53">
        <f>IF('CEA Summary'!$O$4=2, P27, IF('CEA Summary'!$O$4=1, V27))</f>
        <v>15</v>
      </c>
      <c r="AA27" s="53">
        <f>IF('CEA Summary'!$O$4=2, Q27, IF('CEA Summary'!$O$4=1, W27))</f>
        <v>14</v>
      </c>
    </row>
    <row r="28" spans="1:27" x14ac:dyDescent="0.25">
      <c r="A28" t="s">
        <v>92</v>
      </c>
      <c r="B28" t="s">
        <v>93</v>
      </c>
      <c r="C28" s="12">
        <v>6</v>
      </c>
      <c r="D28" s="12">
        <v>6</v>
      </c>
      <c r="E28" s="75">
        <v>0.83333330000000005</v>
      </c>
      <c r="F28" s="75">
        <v>0.3333333</v>
      </c>
      <c r="G28" s="75">
        <v>0.1666667</v>
      </c>
      <c r="H28" s="76" t="s">
        <v>740</v>
      </c>
      <c r="I28" s="12" t="s">
        <v>263</v>
      </c>
      <c r="J28" s="69">
        <v>2.9968910000000002</v>
      </c>
      <c r="K28" t="s">
        <v>92</v>
      </c>
      <c r="L28" s="16">
        <v>20</v>
      </c>
      <c r="M28">
        <v>18</v>
      </c>
      <c r="N28">
        <v>20</v>
      </c>
      <c r="O28" s="16">
        <f t="shared" si="0"/>
        <v>2</v>
      </c>
      <c r="P28" s="16">
        <f t="shared" si="1"/>
        <v>0</v>
      </c>
      <c r="Q28">
        <v>14</v>
      </c>
      <c r="R28" t="e">
        <v>#N/A</v>
      </c>
      <c r="S28" t="e">
        <v>#N/A</v>
      </c>
      <c r="T28" t="e">
        <v>#N/A</v>
      </c>
      <c r="U28" s="16" t="e">
        <f t="shared" si="2"/>
        <v>#N/A</v>
      </c>
      <c r="V28" s="16" t="e">
        <f t="shared" si="3"/>
        <v>#N/A</v>
      </c>
      <c r="W28">
        <v>80</v>
      </c>
      <c r="X28">
        <f>IF('CEA Summary'!$O$4=2, L28, IF('CEA Summary'!$O$4=1, R28))</f>
        <v>20</v>
      </c>
      <c r="Y28" s="53">
        <f>IF('CEA Summary'!$O$4=2, O28, IF('CEA Summary'!$O$4=1, U28))</f>
        <v>2</v>
      </c>
      <c r="Z28" s="53">
        <f>IF('CEA Summary'!$O$4=2, P28, IF('CEA Summary'!$O$4=1, V28))</f>
        <v>0</v>
      </c>
      <c r="AA28" s="53">
        <f>IF('CEA Summary'!$O$4=2, Q28, IF('CEA Summary'!$O$4=1, W28))</f>
        <v>14</v>
      </c>
    </row>
    <row r="29" spans="1:27" x14ac:dyDescent="0.25">
      <c r="A29" t="s">
        <v>19</v>
      </c>
      <c r="B29" t="s">
        <v>680</v>
      </c>
      <c r="C29" s="12">
        <v>68</v>
      </c>
      <c r="D29" s="12">
        <v>66</v>
      </c>
      <c r="E29" s="75">
        <v>0.85714290000000004</v>
      </c>
      <c r="F29" s="75">
        <v>0.53030299999999997</v>
      </c>
      <c r="G29" s="75">
        <v>0.78461539999999996</v>
      </c>
      <c r="H29" s="76" t="s">
        <v>691</v>
      </c>
      <c r="I29" s="12" t="s">
        <v>299</v>
      </c>
      <c r="J29" s="69">
        <v>2.2679429999999998</v>
      </c>
      <c r="K29" t="s">
        <v>19</v>
      </c>
      <c r="L29" s="16">
        <v>11</v>
      </c>
      <c r="M29">
        <v>8</v>
      </c>
      <c r="N29">
        <v>14</v>
      </c>
      <c r="O29" s="16">
        <f t="shared" si="0"/>
        <v>3</v>
      </c>
      <c r="P29" s="16">
        <f t="shared" si="1"/>
        <v>3</v>
      </c>
      <c r="Q29">
        <v>14</v>
      </c>
      <c r="R29">
        <v>78</v>
      </c>
      <c r="S29">
        <v>67</v>
      </c>
      <c r="T29">
        <v>88</v>
      </c>
      <c r="U29" s="16">
        <f t="shared" si="2"/>
        <v>11</v>
      </c>
      <c r="V29" s="16">
        <f t="shared" si="3"/>
        <v>10</v>
      </c>
      <c r="W29">
        <v>80</v>
      </c>
      <c r="X29">
        <f>IF('CEA Summary'!$O$4=2, L29, IF('CEA Summary'!$O$4=1, R29))</f>
        <v>11</v>
      </c>
      <c r="Y29" s="53">
        <f>IF('CEA Summary'!$O$4=2, O29, IF('CEA Summary'!$O$4=1, U29))</f>
        <v>3</v>
      </c>
      <c r="Z29" s="53">
        <f>IF('CEA Summary'!$O$4=2, P29, IF('CEA Summary'!$O$4=1, V29))</f>
        <v>3</v>
      </c>
      <c r="AA29" s="53">
        <f>IF('CEA Summary'!$O$4=2, Q29, IF('CEA Summary'!$O$4=1, W29))</f>
        <v>14</v>
      </c>
    </row>
    <row r="30" spans="1:27" x14ac:dyDescent="0.25">
      <c r="A30" t="s">
        <v>110</v>
      </c>
      <c r="B30" t="s">
        <v>111</v>
      </c>
      <c r="C30" s="12">
        <v>72</v>
      </c>
      <c r="D30" s="12">
        <v>64</v>
      </c>
      <c r="E30" s="75">
        <v>0.71875</v>
      </c>
      <c r="F30" s="75">
        <v>0.36111110000000002</v>
      </c>
      <c r="G30" s="75">
        <v>0.484375</v>
      </c>
      <c r="H30" s="76" t="s">
        <v>743</v>
      </c>
      <c r="I30" s="12" t="s">
        <v>284</v>
      </c>
      <c r="J30" s="69">
        <v>2.1450779999999998</v>
      </c>
      <c r="K30" t="s">
        <v>110</v>
      </c>
      <c r="L30" s="16">
        <v>15</v>
      </c>
      <c r="M30">
        <v>10</v>
      </c>
      <c r="N30">
        <v>25</v>
      </c>
      <c r="O30" s="16">
        <f t="shared" si="0"/>
        <v>5</v>
      </c>
      <c r="P30" s="16">
        <f t="shared" si="1"/>
        <v>10</v>
      </c>
      <c r="Q30">
        <v>14</v>
      </c>
      <c r="R30">
        <v>48</v>
      </c>
      <c r="S30">
        <v>36</v>
      </c>
      <c r="T30">
        <v>61</v>
      </c>
      <c r="U30" s="16">
        <f t="shared" si="2"/>
        <v>12</v>
      </c>
      <c r="V30" s="16">
        <f t="shared" si="3"/>
        <v>13</v>
      </c>
      <c r="W30">
        <v>80</v>
      </c>
      <c r="X30">
        <f>IF('CEA Summary'!$O$4=2, L30, IF('CEA Summary'!$O$4=1, R30))</f>
        <v>15</v>
      </c>
      <c r="Y30" s="53">
        <f>IF('CEA Summary'!$O$4=2, O30, IF('CEA Summary'!$O$4=1, U30))</f>
        <v>5</v>
      </c>
      <c r="Z30" s="53">
        <f>IF('CEA Summary'!$O$4=2, P30, IF('CEA Summary'!$O$4=1, V30))</f>
        <v>10</v>
      </c>
      <c r="AA30" s="53">
        <f>IF('CEA Summary'!$O$4=2, Q30, IF('CEA Summary'!$O$4=1, W30))</f>
        <v>14</v>
      </c>
    </row>
    <row r="31" spans="1:27" x14ac:dyDescent="0.25">
      <c r="A31" t="s">
        <v>155</v>
      </c>
      <c r="B31" t="s">
        <v>156</v>
      </c>
      <c r="C31" s="12">
        <v>21</v>
      </c>
      <c r="D31" s="12">
        <v>20</v>
      </c>
      <c r="E31" s="75">
        <v>0.65</v>
      </c>
      <c r="F31" s="75">
        <v>0.42857139999999999</v>
      </c>
      <c r="G31" s="75">
        <v>0.5</v>
      </c>
      <c r="H31" s="76" t="s">
        <v>756</v>
      </c>
      <c r="I31" s="12" t="s">
        <v>447</v>
      </c>
      <c r="J31" s="69">
        <v>3.8833829999999998</v>
      </c>
      <c r="K31" t="s">
        <v>155</v>
      </c>
      <c r="L31" s="16">
        <v>15</v>
      </c>
      <c r="M31">
        <v>12</v>
      </c>
      <c r="N31">
        <v>20</v>
      </c>
      <c r="O31" s="16">
        <f t="shared" si="0"/>
        <v>3</v>
      </c>
      <c r="P31" s="16">
        <f t="shared" si="1"/>
        <v>5</v>
      </c>
      <c r="Q31">
        <v>14</v>
      </c>
      <c r="R31">
        <v>50</v>
      </c>
      <c r="S31">
        <v>27</v>
      </c>
      <c r="T31">
        <v>73</v>
      </c>
      <c r="U31" s="16">
        <f t="shared" si="2"/>
        <v>23</v>
      </c>
      <c r="V31" s="16">
        <f t="shared" si="3"/>
        <v>23</v>
      </c>
      <c r="W31">
        <v>80</v>
      </c>
      <c r="X31">
        <f>IF('CEA Summary'!$O$4=2, L31, IF('CEA Summary'!$O$4=1, R31))</f>
        <v>15</v>
      </c>
      <c r="Y31" s="53">
        <f>IF('CEA Summary'!$O$4=2, O31, IF('CEA Summary'!$O$4=1, U31))</f>
        <v>3</v>
      </c>
      <c r="Z31" s="53">
        <f>IF('CEA Summary'!$O$4=2, P31, IF('CEA Summary'!$O$4=1, V31))</f>
        <v>5</v>
      </c>
      <c r="AA31" s="53">
        <f>IF('CEA Summary'!$O$4=2, Q31, IF('CEA Summary'!$O$4=1, W31))</f>
        <v>14</v>
      </c>
    </row>
    <row r="32" spans="1:27" x14ac:dyDescent="0.25">
      <c r="A32" t="s">
        <v>165</v>
      </c>
      <c r="B32" t="s">
        <v>166</v>
      </c>
      <c r="C32" s="12">
        <v>19</v>
      </c>
      <c r="D32" s="12">
        <v>19</v>
      </c>
      <c r="E32" s="75">
        <v>0.83333330000000005</v>
      </c>
      <c r="F32" s="75">
        <v>0.72222220000000004</v>
      </c>
      <c r="G32" s="75">
        <v>0.84210529999999995</v>
      </c>
      <c r="H32" s="76" t="s">
        <v>691</v>
      </c>
      <c r="I32" s="12" t="s">
        <v>760</v>
      </c>
      <c r="J32" s="69">
        <v>2.2525909999999998</v>
      </c>
      <c r="K32" t="s">
        <v>165</v>
      </c>
      <c r="L32" s="16">
        <v>11</v>
      </c>
      <c r="M32">
        <v>8</v>
      </c>
      <c r="N32">
        <v>14</v>
      </c>
      <c r="O32" s="16">
        <f t="shared" si="0"/>
        <v>3</v>
      </c>
      <c r="P32" s="16">
        <f t="shared" si="1"/>
        <v>3</v>
      </c>
      <c r="Q32">
        <v>14</v>
      </c>
      <c r="R32">
        <v>84</v>
      </c>
      <c r="S32">
        <v>60</v>
      </c>
      <c r="T32">
        <v>97</v>
      </c>
      <c r="U32" s="16">
        <f t="shared" si="2"/>
        <v>24</v>
      </c>
      <c r="V32" s="16">
        <f t="shared" si="3"/>
        <v>13</v>
      </c>
      <c r="W32">
        <v>80</v>
      </c>
      <c r="X32">
        <f>IF('CEA Summary'!$O$4=2, L32, IF('CEA Summary'!$O$4=1, R32))</f>
        <v>11</v>
      </c>
      <c r="Y32" s="53">
        <f>IF('CEA Summary'!$O$4=2, O32, IF('CEA Summary'!$O$4=1, U32))</f>
        <v>3</v>
      </c>
      <c r="Z32" s="53">
        <f>IF('CEA Summary'!$O$4=2, P32, IF('CEA Summary'!$O$4=1, V32))</f>
        <v>3</v>
      </c>
      <c r="AA32" s="53">
        <f>IF('CEA Summary'!$O$4=2, Q32, IF('CEA Summary'!$O$4=1, W32))</f>
        <v>14</v>
      </c>
    </row>
    <row r="33" spans="1:27" x14ac:dyDescent="0.25">
      <c r="A33" t="s">
        <v>159</v>
      </c>
      <c r="B33" t="s">
        <v>160</v>
      </c>
      <c r="C33" s="12">
        <v>16</v>
      </c>
      <c r="D33" s="12">
        <v>16</v>
      </c>
      <c r="E33" s="75">
        <v>0.8</v>
      </c>
      <c r="F33" s="75">
        <v>0.8</v>
      </c>
      <c r="G33" s="75">
        <v>0.875</v>
      </c>
      <c r="H33" s="76" t="s">
        <v>757</v>
      </c>
      <c r="I33" s="12" t="s">
        <v>304</v>
      </c>
      <c r="J33" s="69">
        <v>2.1264080000000001</v>
      </c>
      <c r="K33" t="s">
        <v>159</v>
      </c>
      <c r="L33" s="16">
        <v>10</v>
      </c>
      <c r="M33">
        <v>7</v>
      </c>
      <c r="N33">
        <v>13</v>
      </c>
      <c r="O33" s="16">
        <f t="shared" si="0"/>
        <v>3</v>
      </c>
      <c r="P33" s="16">
        <f t="shared" si="1"/>
        <v>3</v>
      </c>
      <c r="Q33">
        <v>14</v>
      </c>
      <c r="R33">
        <v>88</v>
      </c>
      <c r="S33">
        <v>62</v>
      </c>
      <c r="T33">
        <v>98</v>
      </c>
      <c r="U33" s="16">
        <f t="shared" si="2"/>
        <v>26</v>
      </c>
      <c r="V33" s="16">
        <f t="shared" si="3"/>
        <v>10</v>
      </c>
      <c r="W33">
        <v>80</v>
      </c>
      <c r="X33">
        <f>IF('CEA Summary'!$O$4=2, L33, IF('CEA Summary'!$O$4=1, R33))</f>
        <v>10</v>
      </c>
      <c r="Y33" s="53">
        <f>IF('CEA Summary'!$O$4=2, O33, IF('CEA Summary'!$O$4=1, U33))</f>
        <v>3</v>
      </c>
      <c r="Z33" s="53">
        <f>IF('CEA Summary'!$O$4=2, P33, IF('CEA Summary'!$O$4=1, V33))</f>
        <v>3</v>
      </c>
      <c r="AA33" s="53">
        <f>IF('CEA Summary'!$O$4=2, Q33, IF('CEA Summary'!$O$4=1, W33))</f>
        <v>14</v>
      </c>
    </row>
    <row r="34" spans="1:27" x14ac:dyDescent="0.25">
      <c r="A34" t="s">
        <v>161</v>
      </c>
      <c r="B34" t="s">
        <v>162</v>
      </c>
      <c r="C34" s="12">
        <v>28</v>
      </c>
      <c r="D34" s="12">
        <v>28</v>
      </c>
      <c r="E34" s="75">
        <v>0.46428570000000002</v>
      </c>
      <c r="F34" s="75">
        <v>0.2142857</v>
      </c>
      <c r="G34" s="75">
        <v>0.1071429</v>
      </c>
      <c r="H34" s="76" t="s">
        <v>758</v>
      </c>
      <c r="I34" s="12" t="s">
        <v>214</v>
      </c>
      <c r="J34" s="69">
        <v>0</v>
      </c>
      <c r="K34" t="s">
        <v>161</v>
      </c>
      <c r="L34" s="16">
        <v>24</v>
      </c>
      <c r="M34">
        <v>17</v>
      </c>
      <c r="N34">
        <v>51</v>
      </c>
      <c r="O34" s="16">
        <f t="shared" si="0"/>
        <v>7</v>
      </c>
      <c r="P34" s="16">
        <f t="shared" si="1"/>
        <v>27</v>
      </c>
      <c r="Q34">
        <v>14</v>
      </c>
      <c r="R34">
        <v>11</v>
      </c>
      <c r="S34">
        <v>2</v>
      </c>
      <c r="T34">
        <v>28</v>
      </c>
      <c r="U34" s="16">
        <f t="shared" si="2"/>
        <v>9</v>
      </c>
      <c r="V34" s="16">
        <f t="shared" si="3"/>
        <v>17</v>
      </c>
      <c r="W34">
        <v>80</v>
      </c>
      <c r="X34">
        <f>IF('CEA Summary'!$O$4=2, L34, IF('CEA Summary'!$O$4=1, R34))</f>
        <v>24</v>
      </c>
      <c r="Y34" s="53">
        <f>IF('CEA Summary'!$O$4=2, O34, IF('CEA Summary'!$O$4=1, U34))</f>
        <v>7</v>
      </c>
      <c r="Z34" s="53">
        <f>IF('CEA Summary'!$O$4=2, P34, IF('CEA Summary'!$O$4=1, V34))</f>
        <v>27</v>
      </c>
      <c r="AA34" s="53">
        <f>IF('CEA Summary'!$O$4=2, Q34, IF('CEA Summary'!$O$4=1, W34))</f>
        <v>14</v>
      </c>
    </row>
    <row r="35" spans="1:27" x14ac:dyDescent="0.25">
      <c r="A35" t="s">
        <v>163</v>
      </c>
      <c r="B35" t="s">
        <v>164</v>
      </c>
      <c r="C35" s="12">
        <v>17</v>
      </c>
      <c r="D35" s="12">
        <v>17</v>
      </c>
      <c r="E35" s="75">
        <v>0.76470590000000005</v>
      </c>
      <c r="F35" s="75">
        <v>0.58823530000000002</v>
      </c>
      <c r="G35" s="75">
        <v>0.58823530000000002</v>
      </c>
      <c r="H35" s="76" t="s">
        <v>759</v>
      </c>
      <c r="I35" s="12" t="s">
        <v>291</v>
      </c>
      <c r="J35" s="69">
        <v>1.6217490000000001</v>
      </c>
      <c r="K35" t="s">
        <v>163</v>
      </c>
      <c r="L35" s="16">
        <v>11</v>
      </c>
      <c r="M35">
        <v>9</v>
      </c>
      <c r="N35">
        <v>24</v>
      </c>
      <c r="O35" s="16">
        <f t="shared" si="0"/>
        <v>2</v>
      </c>
      <c r="P35" s="16">
        <f t="shared" si="1"/>
        <v>13</v>
      </c>
      <c r="Q35">
        <v>14</v>
      </c>
      <c r="R35">
        <v>59</v>
      </c>
      <c r="S35">
        <v>33</v>
      </c>
      <c r="T35">
        <v>82</v>
      </c>
      <c r="U35" s="16">
        <f t="shared" si="2"/>
        <v>26</v>
      </c>
      <c r="V35" s="16">
        <f t="shared" si="3"/>
        <v>23</v>
      </c>
      <c r="W35">
        <v>80</v>
      </c>
      <c r="X35">
        <f>IF('CEA Summary'!$O$4=2, L35, IF('CEA Summary'!$O$4=1, R35))</f>
        <v>11</v>
      </c>
      <c r="Y35" s="53">
        <f>IF('CEA Summary'!$O$4=2, O35, IF('CEA Summary'!$O$4=1, U35))</f>
        <v>2</v>
      </c>
      <c r="Z35" s="53">
        <f>IF('CEA Summary'!$O$4=2, P35, IF('CEA Summary'!$O$4=1, V35))</f>
        <v>13</v>
      </c>
      <c r="AA35" s="53">
        <f>IF('CEA Summary'!$O$4=2, Q35, IF('CEA Summary'!$O$4=1, W35))</f>
        <v>14</v>
      </c>
    </row>
    <row r="36" spans="1:27" x14ac:dyDescent="0.25">
      <c r="A36" t="s">
        <v>167</v>
      </c>
      <c r="B36" t="s">
        <v>168</v>
      </c>
      <c r="C36" s="12">
        <v>28</v>
      </c>
      <c r="D36" s="12">
        <v>28</v>
      </c>
      <c r="E36" s="75">
        <v>0.82142859999999995</v>
      </c>
      <c r="F36" s="75">
        <v>0.64285709999999996</v>
      </c>
      <c r="G36" s="75">
        <v>0.67857140000000005</v>
      </c>
      <c r="H36" s="76" t="s">
        <v>761</v>
      </c>
      <c r="I36" s="12" t="s">
        <v>211</v>
      </c>
      <c r="J36" s="69">
        <v>0.83724279999999995</v>
      </c>
      <c r="K36" t="s">
        <v>167</v>
      </c>
      <c r="L36" s="16">
        <v>12</v>
      </c>
      <c r="M36">
        <v>8</v>
      </c>
      <c r="N36">
        <v>17</v>
      </c>
      <c r="O36" s="16">
        <f t="shared" si="0"/>
        <v>4</v>
      </c>
      <c r="P36" s="16">
        <f t="shared" si="1"/>
        <v>5</v>
      </c>
      <c r="Q36">
        <v>14</v>
      </c>
      <c r="R36">
        <v>68</v>
      </c>
      <c r="S36">
        <v>48</v>
      </c>
      <c r="T36">
        <v>84</v>
      </c>
      <c r="U36" s="16">
        <f t="shared" si="2"/>
        <v>20</v>
      </c>
      <c r="V36" s="16">
        <f t="shared" si="3"/>
        <v>16</v>
      </c>
      <c r="W36">
        <v>80</v>
      </c>
      <c r="X36">
        <f>IF('CEA Summary'!$O$4=2, L36, IF('CEA Summary'!$O$4=1, R36))</f>
        <v>12</v>
      </c>
      <c r="Y36" s="53">
        <f>IF('CEA Summary'!$O$4=2, O36, IF('CEA Summary'!$O$4=1, U36))</f>
        <v>4</v>
      </c>
      <c r="Z36" s="53">
        <f>IF('CEA Summary'!$O$4=2, P36, IF('CEA Summary'!$O$4=1, V36))</f>
        <v>5</v>
      </c>
      <c r="AA36" s="53">
        <f>IF('CEA Summary'!$O$4=2, Q36, IF('CEA Summary'!$O$4=1, W36))</f>
        <v>14</v>
      </c>
    </row>
    <row r="37" spans="1:27" x14ac:dyDescent="0.25">
      <c r="A37" t="s">
        <v>169</v>
      </c>
      <c r="B37" t="s">
        <v>170</v>
      </c>
      <c r="C37" s="12" t="s">
        <v>345</v>
      </c>
      <c r="D37" s="12" t="s">
        <v>345</v>
      </c>
      <c r="E37" s="75" t="s">
        <v>346</v>
      </c>
      <c r="F37" s="75" t="s">
        <v>346</v>
      </c>
      <c r="G37" s="75" t="s">
        <v>346</v>
      </c>
      <c r="H37" s="76" t="s">
        <v>346</v>
      </c>
      <c r="I37" s="12" t="s">
        <v>346</v>
      </c>
      <c r="J37" s="69">
        <v>3.4331830000000001</v>
      </c>
      <c r="K37" t="s">
        <v>169</v>
      </c>
      <c r="L37" s="16" t="e">
        <v>#N/A</v>
      </c>
      <c r="M37" s="16" t="e">
        <v>#N/A</v>
      </c>
      <c r="N37" s="16" t="e">
        <v>#N/A</v>
      </c>
      <c r="O37" s="16" t="e">
        <f t="shared" si="0"/>
        <v>#N/A</v>
      </c>
      <c r="P37" s="16" t="e">
        <f t="shared" si="1"/>
        <v>#N/A</v>
      </c>
      <c r="Q37">
        <v>14</v>
      </c>
      <c r="R37" t="e">
        <v>#VALUE!</v>
      </c>
      <c r="S37" t="e">
        <v>#N/A</v>
      </c>
      <c r="T37" t="e">
        <v>#N/A</v>
      </c>
      <c r="U37" s="16" t="e">
        <f t="shared" si="2"/>
        <v>#VALUE!</v>
      </c>
      <c r="V37" s="16" t="e">
        <f t="shared" si="3"/>
        <v>#N/A</v>
      </c>
      <c r="W37">
        <v>80</v>
      </c>
      <c r="X37" t="e">
        <f>IF('CEA Summary'!$O$4=2, L37, IF('CEA Summary'!$O$4=1, R37))</f>
        <v>#N/A</v>
      </c>
      <c r="Y37" s="53" t="e">
        <f>IF('CEA Summary'!$O$4=2, O37, IF('CEA Summary'!$O$4=1, U37))</f>
        <v>#N/A</v>
      </c>
      <c r="Z37" s="53" t="e">
        <f>IF('CEA Summary'!$O$4=2, P37, IF('CEA Summary'!$O$4=1, V37))</f>
        <v>#N/A</v>
      </c>
      <c r="AA37" s="53">
        <f>IF('CEA Summary'!$O$4=2, Q37, IF('CEA Summary'!$O$4=1, W37))</f>
        <v>14</v>
      </c>
    </row>
    <row r="38" spans="1:27" x14ac:dyDescent="0.25">
      <c r="A38" t="s">
        <v>80</v>
      </c>
      <c r="B38" t="s">
        <v>81</v>
      </c>
      <c r="C38" s="12">
        <v>55</v>
      </c>
      <c r="D38" s="12">
        <v>48</v>
      </c>
      <c r="E38" s="75">
        <v>0.82978730000000001</v>
      </c>
      <c r="F38" s="75">
        <v>0.66666669999999995</v>
      </c>
      <c r="G38" s="75">
        <v>0.8125</v>
      </c>
      <c r="H38" s="76" t="s">
        <v>462</v>
      </c>
      <c r="I38" s="12" t="s">
        <v>558</v>
      </c>
      <c r="J38" s="69">
        <v>4.3150259999999996</v>
      </c>
      <c r="K38" t="s">
        <v>80</v>
      </c>
      <c r="L38" s="16">
        <v>9</v>
      </c>
      <c r="M38">
        <v>6</v>
      </c>
      <c r="N38">
        <v>12</v>
      </c>
      <c r="O38" s="16">
        <f t="shared" si="0"/>
        <v>3</v>
      </c>
      <c r="P38" s="16">
        <f t="shared" si="1"/>
        <v>3</v>
      </c>
      <c r="Q38">
        <v>14</v>
      </c>
      <c r="R38">
        <v>81</v>
      </c>
      <c r="S38">
        <v>67</v>
      </c>
      <c r="T38">
        <v>91</v>
      </c>
      <c r="U38" s="16">
        <f t="shared" si="2"/>
        <v>14</v>
      </c>
      <c r="V38" s="16">
        <f t="shared" si="3"/>
        <v>10</v>
      </c>
      <c r="W38">
        <v>80</v>
      </c>
      <c r="X38">
        <f>IF('CEA Summary'!$O$4=2, L38, IF('CEA Summary'!$O$4=1, R38))</f>
        <v>9</v>
      </c>
      <c r="Y38" s="53">
        <f>IF('CEA Summary'!$O$4=2, O38, IF('CEA Summary'!$O$4=1, U38))</f>
        <v>3</v>
      </c>
      <c r="Z38" s="53">
        <f>IF('CEA Summary'!$O$4=2, P38, IF('CEA Summary'!$O$4=1, V38))</f>
        <v>3</v>
      </c>
      <c r="AA38" s="53">
        <f>IF('CEA Summary'!$O$4=2, Q38, IF('CEA Summary'!$O$4=1, W38))</f>
        <v>14</v>
      </c>
    </row>
    <row r="39" spans="1:27" x14ac:dyDescent="0.25">
      <c r="A39" t="s">
        <v>121</v>
      </c>
      <c r="B39" t="s">
        <v>122</v>
      </c>
      <c r="C39" s="12">
        <v>70</v>
      </c>
      <c r="D39" s="12">
        <v>70</v>
      </c>
      <c r="E39" s="75">
        <v>0.7428572</v>
      </c>
      <c r="F39" s="75">
        <v>0.72857139999999998</v>
      </c>
      <c r="G39" s="75">
        <v>0.6857143</v>
      </c>
      <c r="H39" s="76" t="s">
        <v>461</v>
      </c>
      <c r="I39" s="12" t="s">
        <v>221</v>
      </c>
      <c r="J39" s="69">
        <v>3.1987320000000001</v>
      </c>
      <c r="K39" t="s">
        <v>121</v>
      </c>
      <c r="L39" s="16">
        <v>11</v>
      </c>
      <c r="M39">
        <v>8</v>
      </c>
      <c r="N39">
        <v>17</v>
      </c>
      <c r="O39" s="16">
        <f t="shared" si="0"/>
        <v>3</v>
      </c>
      <c r="P39" s="16">
        <f t="shared" si="1"/>
        <v>6</v>
      </c>
      <c r="Q39">
        <v>14</v>
      </c>
      <c r="R39">
        <v>69</v>
      </c>
      <c r="S39">
        <v>56</v>
      </c>
      <c r="T39">
        <v>79</v>
      </c>
      <c r="U39" s="16">
        <f t="shared" si="2"/>
        <v>13</v>
      </c>
      <c r="V39" s="16">
        <f t="shared" si="3"/>
        <v>10</v>
      </c>
      <c r="W39">
        <v>80</v>
      </c>
      <c r="X39">
        <f>IF('CEA Summary'!$O$4=2, L39, IF('CEA Summary'!$O$4=1, R39))</f>
        <v>11</v>
      </c>
      <c r="Y39" s="53">
        <f>IF('CEA Summary'!$O$4=2, O39, IF('CEA Summary'!$O$4=1, U39))</f>
        <v>3</v>
      </c>
      <c r="Z39" s="53">
        <f>IF('CEA Summary'!$O$4=2, P39, IF('CEA Summary'!$O$4=1, V39))</f>
        <v>6</v>
      </c>
      <c r="AA39" s="53">
        <f>IF('CEA Summary'!$O$4=2, Q39, IF('CEA Summary'!$O$4=1, W39))</f>
        <v>14</v>
      </c>
    </row>
    <row r="40" spans="1:27" x14ac:dyDescent="0.25">
      <c r="A40" t="s">
        <v>86</v>
      </c>
      <c r="B40" t="s">
        <v>694</v>
      </c>
      <c r="C40" s="12">
        <v>34</v>
      </c>
      <c r="D40" s="12">
        <v>31</v>
      </c>
      <c r="E40" s="75">
        <v>0.75862070000000004</v>
      </c>
      <c r="F40" s="75">
        <v>0.57575759999999998</v>
      </c>
      <c r="G40" s="75">
        <v>0.70967740000000001</v>
      </c>
      <c r="H40" s="76" t="s">
        <v>737</v>
      </c>
      <c r="I40" s="12" t="s">
        <v>296</v>
      </c>
      <c r="J40" s="69">
        <v>0.78689310000000001</v>
      </c>
      <c r="K40" t="s">
        <v>86</v>
      </c>
      <c r="L40" s="16">
        <v>11</v>
      </c>
      <c r="M40">
        <v>8</v>
      </c>
      <c r="N40">
        <v>16</v>
      </c>
      <c r="O40" s="16">
        <f t="shared" si="0"/>
        <v>3</v>
      </c>
      <c r="P40" s="16">
        <f t="shared" si="1"/>
        <v>5</v>
      </c>
      <c r="Q40">
        <v>14</v>
      </c>
      <c r="R40">
        <v>71</v>
      </c>
      <c r="S40">
        <v>52</v>
      </c>
      <c r="T40">
        <v>86</v>
      </c>
      <c r="U40" s="16">
        <f t="shared" si="2"/>
        <v>19</v>
      </c>
      <c r="V40" s="16">
        <f t="shared" si="3"/>
        <v>15</v>
      </c>
      <c r="W40">
        <v>80</v>
      </c>
      <c r="X40">
        <f>IF('CEA Summary'!$O$4=2, L40, IF('CEA Summary'!$O$4=1, R40))</f>
        <v>11</v>
      </c>
      <c r="Y40" s="53">
        <f>IF('CEA Summary'!$O$4=2, O40, IF('CEA Summary'!$O$4=1, U40))</f>
        <v>3</v>
      </c>
      <c r="Z40" s="53">
        <f>IF('CEA Summary'!$O$4=2, P40, IF('CEA Summary'!$O$4=1, V40))</f>
        <v>5</v>
      </c>
      <c r="AA40" s="53">
        <f>IF('CEA Summary'!$O$4=2, Q40, IF('CEA Summary'!$O$4=1, W40))</f>
        <v>14</v>
      </c>
    </row>
    <row r="41" spans="1:27" x14ac:dyDescent="0.25">
      <c r="A41" t="s">
        <v>88</v>
      </c>
      <c r="B41" t="s">
        <v>89</v>
      </c>
      <c r="C41" s="12">
        <v>28</v>
      </c>
      <c r="D41" s="12">
        <v>28</v>
      </c>
      <c r="E41" s="75">
        <v>0.70370370000000004</v>
      </c>
      <c r="F41" s="75">
        <v>0.8518519</v>
      </c>
      <c r="G41" s="75">
        <v>0.67857140000000005</v>
      </c>
      <c r="H41" s="76" t="s">
        <v>738</v>
      </c>
      <c r="I41" s="12" t="s">
        <v>221</v>
      </c>
      <c r="J41" s="69">
        <v>0.96064479999999997</v>
      </c>
      <c r="K41" t="s">
        <v>88</v>
      </c>
      <c r="L41" s="16">
        <v>12</v>
      </c>
      <c r="M41">
        <v>6</v>
      </c>
      <c r="N41">
        <v>16</v>
      </c>
      <c r="O41" s="16">
        <f t="shared" si="0"/>
        <v>6</v>
      </c>
      <c r="P41" s="16">
        <f t="shared" si="1"/>
        <v>4</v>
      </c>
      <c r="Q41">
        <v>14</v>
      </c>
      <c r="R41">
        <v>68</v>
      </c>
      <c r="S41">
        <v>48</v>
      </c>
      <c r="T41">
        <v>84</v>
      </c>
      <c r="U41" s="16">
        <f t="shared" si="2"/>
        <v>20</v>
      </c>
      <c r="V41" s="16">
        <f t="shared" si="3"/>
        <v>16</v>
      </c>
      <c r="W41">
        <v>80</v>
      </c>
      <c r="X41">
        <f>IF('CEA Summary'!$O$4=2, L41, IF('CEA Summary'!$O$4=1, R41))</f>
        <v>12</v>
      </c>
      <c r="Y41" s="53">
        <f>IF('CEA Summary'!$O$4=2, O41, IF('CEA Summary'!$O$4=1, U41))</f>
        <v>6</v>
      </c>
      <c r="Z41" s="53">
        <f>IF('CEA Summary'!$O$4=2, P41, IF('CEA Summary'!$O$4=1, V41))</f>
        <v>4</v>
      </c>
      <c r="AA41" s="53">
        <f>IF('CEA Summary'!$O$4=2, Q41, IF('CEA Summary'!$O$4=1, W41))</f>
        <v>14</v>
      </c>
    </row>
    <row r="42" spans="1:27" x14ac:dyDescent="0.25">
      <c r="A42" t="s">
        <v>141</v>
      </c>
      <c r="B42" t="s">
        <v>142</v>
      </c>
      <c r="C42" s="12">
        <v>64</v>
      </c>
      <c r="D42" s="12">
        <v>64</v>
      </c>
      <c r="E42" s="75">
        <v>0.875</v>
      </c>
      <c r="F42" s="75">
        <v>0.53125</v>
      </c>
      <c r="G42" s="75">
        <v>0.71875</v>
      </c>
      <c r="H42" s="76" t="s">
        <v>737</v>
      </c>
      <c r="I42" s="12" t="s">
        <v>270</v>
      </c>
      <c r="J42" s="69">
        <v>1.901883</v>
      </c>
      <c r="K42" t="s">
        <v>141</v>
      </c>
      <c r="L42" s="16">
        <v>11</v>
      </c>
      <c r="M42">
        <v>8</v>
      </c>
      <c r="N42">
        <v>16</v>
      </c>
      <c r="O42" s="16">
        <f t="shared" si="0"/>
        <v>3</v>
      </c>
      <c r="P42" s="16">
        <f t="shared" si="1"/>
        <v>5</v>
      </c>
      <c r="Q42">
        <v>14</v>
      </c>
      <c r="R42">
        <v>72</v>
      </c>
      <c r="S42">
        <v>59</v>
      </c>
      <c r="T42">
        <v>82</v>
      </c>
      <c r="U42" s="16">
        <f t="shared" si="2"/>
        <v>13</v>
      </c>
      <c r="V42" s="16">
        <f t="shared" si="3"/>
        <v>10</v>
      </c>
      <c r="W42">
        <v>80</v>
      </c>
      <c r="X42">
        <f>IF('CEA Summary'!$O$4=2, L42, IF('CEA Summary'!$O$4=1, R42))</f>
        <v>11</v>
      </c>
      <c r="Y42" s="53">
        <f>IF('CEA Summary'!$O$4=2, O42, IF('CEA Summary'!$O$4=1, U42))</f>
        <v>3</v>
      </c>
      <c r="Z42" s="53">
        <f>IF('CEA Summary'!$O$4=2, P42, IF('CEA Summary'!$O$4=1, V42))</f>
        <v>5</v>
      </c>
      <c r="AA42" s="53">
        <f>IF('CEA Summary'!$O$4=2, Q42, IF('CEA Summary'!$O$4=1, W42))</f>
        <v>14</v>
      </c>
    </row>
    <row r="43" spans="1:27" x14ac:dyDescent="0.25">
      <c r="A43" t="s">
        <v>115</v>
      </c>
      <c r="B43" t="s">
        <v>424</v>
      </c>
      <c r="C43" s="12">
        <v>61</v>
      </c>
      <c r="D43" s="12">
        <v>56</v>
      </c>
      <c r="E43" s="75">
        <v>0.75</v>
      </c>
      <c r="F43" s="75">
        <v>0.57377049999999996</v>
      </c>
      <c r="G43" s="75">
        <v>0.69642859999999995</v>
      </c>
      <c r="H43" s="76" t="s">
        <v>467</v>
      </c>
      <c r="I43" s="12" t="s">
        <v>286</v>
      </c>
      <c r="J43" s="69">
        <v>2.3674200000000001</v>
      </c>
      <c r="K43" t="s">
        <v>115</v>
      </c>
      <c r="L43" s="16">
        <v>11</v>
      </c>
      <c r="M43">
        <v>6</v>
      </c>
      <c r="N43">
        <v>16</v>
      </c>
      <c r="O43" s="16">
        <f t="shared" si="0"/>
        <v>5</v>
      </c>
      <c r="P43" s="16">
        <f t="shared" si="1"/>
        <v>5</v>
      </c>
      <c r="Q43">
        <v>14</v>
      </c>
      <c r="R43">
        <v>70</v>
      </c>
      <c r="S43">
        <v>56</v>
      </c>
      <c r="T43">
        <v>81</v>
      </c>
      <c r="U43" s="16">
        <f t="shared" si="2"/>
        <v>14</v>
      </c>
      <c r="V43" s="16">
        <f t="shared" si="3"/>
        <v>11</v>
      </c>
      <c r="W43">
        <v>80</v>
      </c>
      <c r="X43">
        <f>IF('CEA Summary'!$O$4=2, L43, IF('CEA Summary'!$O$4=1, R43))</f>
        <v>11</v>
      </c>
      <c r="Y43" s="53">
        <f>IF('CEA Summary'!$O$4=2, O43, IF('CEA Summary'!$O$4=1, U43))</f>
        <v>5</v>
      </c>
      <c r="Z43" s="53">
        <f>IF('CEA Summary'!$O$4=2, P43, IF('CEA Summary'!$O$4=1, V43))</f>
        <v>5</v>
      </c>
      <c r="AA43" s="53">
        <f>IF('CEA Summary'!$O$4=2, Q43, IF('CEA Summary'!$O$4=1, W43))</f>
        <v>14</v>
      </c>
    </row>
    <row r="44" spans="1:27" x14ac:dyDescent="0.25">
      <c r="A44" t="s">
        <v>125</v>
      </c>
      <c r="B44" t="s">
        <v>126</v>
      </c>
      <c r="C44" s="12">
        <v>70</v>
      </c>
      <c r="D44" s="12">
        <v>55</v>
      </c>
      <c r="E44" s="75">
        <v>0.74545450000000002</v>
      </c>
      <c r="F44" s="75">
        <v>0.5571429</v>
      </c>
      <c r="G44" s="75">
        <v>0.6</v>
      </c>
      <c r="H44" s="76" t="s">
        <v>748</v>
      </c>
      <c r="I44" s="12" t="s">
        <v>211</v>
      </c>
      <c r="J44" s="69">
        <v>1.361232</v>
      </c>
      <c r="K44" t="s">
        <v>125</v>
      </c>
      <c r="L44" s="16">
        <v>10</v>
      </c>
      <c r="M44">
        <v>4</v>
      </c>
      <c r="N44">
        <v>24</v>
      </c>
      <c r="O44" s="16">
        <f t="shared" si="0"/>
        <v>6</v>
      </c>
      <c r="P44" s="16">
        <f t="shared" si="1"/>
        <v>14</v>
      </c>
      <c r="Q44">
        <v>14</v>
      </c>
      <c r="R44">
        <v>60</v>
      </c>
      <c r="S44">
        <v>46</v>
      </c>
      <c r="T44">
        <v>73</v>
      </c>
      <c r="U44" s="16">
        <f t="shared" si="2"/>
        <v>14</v>
      </c>
      <c r="V44" s="16">
        <f t="shared" si="3"/>
        <v>13</v>
      </c>
      <c r="W44">
        <v>80</v>
      </c>
      <c r="X44">
        <f>IF('CEA Summary'!$O$4=2, L44, IF('CEA Summary'!$O$4=1, R44))</f>
        <v>10</v>
      </c>
      <c r="Y44" s="53">
        <f>IF('CEA Summary'!$O$4=2, O44, IF('CEA Summary'!$O$4=1, U44))</f>
        <v>6</v>
      </c>
      <c r="Z44" s="53">
        <f>IF('CEA Summary'!$O$4=2, P44, IF('CEA Summary'!$O$4=1, V44))</f>
        <v>14</v>
      </c>
      <c r="AA44" s="53">
        <f>IF('CEA Summary'!$O$4=2, Q44, IF('CEA Summary'!$O$4=1, W44))</f>
        <v>14</v>
      </c>
    </row>
    <row r="45" spans="1:27" x14ac:dyDescent="0.25">
      <c r="A45" t="s">
        <v>108</v>
      </c>
      <c r="B45" t="s">
        <v>109</v>
      </c>
      <c r="C45" s="12" t="s">
        <v>345</v>
      </c>
      <c r="D45" s="12" t="s">
        <v>345</v>
      </c>
      <c r="E45" s="75" t="s">
        <v>346</v>
      </c>
      <c r="F45" s="75" t="s">
        <v>346</v>
      </c>
      <c r="G45" s="75" t="s">
        <v>346</v>
      </c>
      <c r="H45" s="76" t="s">
        <v>346</v>
      </c>
      <c r="I45" s="12" t="s">
        <v>346</v>
      </c>
      <c r="J45" s="69">
        <v>8.8889680000000002</v>
      </c>
      <c r="K45" t="s">
        <v>108</v>
      </c>
      <c r="L45" s="16" t="e">
        <v>#N/A</v>
      </c>
      <c r="M45" s="16" t="e">
        <v>#N/A</v>
      </c>
      <c r="N45" s="16" t="e">
        <v>#N/A</v>
      </c>
      <c r="O45" s="16" t="e">
        <f t="shared" si="0"/>
        <v>#N/A</v>
      </c>
      <c r="P45" s="16" t="e">
        <f t="shared" si="1"/>
        <v>#N/A</v>
      </c>
      <c r="Q45">
        <v>14</v>
      </c>
      <c r="R45" t="e">
        <v>#VALUE!</v>
      </c>
      <c r="S45" t="e">
        <v>#N/A</v>
      </c>
      <c r="T45" t="e">
        <v>#N/A</v>
      </c>
      <c r="U45" s="16" t="e">
        <f t="shared" si="2"/>
        <v>#VALUE!</v>
      </c>
      <c r="V45" s="16" t="e">
        <f t="shared" si="3"/>
        <v>#N/A</v>
      </c>
      <c r="W45">
        <v>80</v>
      </c>
      <c r="X45" t="e">
        <f>IF('CEA Summary'!$O$4=2, L45, IF('CEA Summary'!$O$4=1, R45))</f>
        <v>#N/A</v>
      </c>
      <c r="Y45" s="53" t="e">
        <f>IF('CEA Summary'!$O$4=2, O45, IF('CEA Summary'!$O$4=1, U45))</f>
        <v>#N/A</v>
      </c>
      <c r="Z45" s="53" t="e">
        <f>IF('CEA Summary'!$O$4=2, P45, IF('CEA Summary'!$O$4=1, V45))</f>
        <v>#N/A</v>
      </c>
      <c r="AA45" s="53">
        <f>IF('CEA Summary'!$O$4=2, Q45, IF('CEA Summary'!$O$4=1, W45))</f>
        <v>14</v>
      </c>
    </row>
    <row r="46" spans="1:27" x14ac:dyDescent="0.25">
      <c r="A46" t="s">
        <v>42</v>
      </c>
      <c r="B46" t="s">
        <v>43</v>
      </c>
      <c r="C46" s="12">
        <v>27</v>
      </c>
      <c r="D46" s="12">
        <v>27</v>
      </c>
      <c r="E46" s="75">
        <v>0.70370370000000004</v>
      </c>
      <c r="F46" s="75">
        <v>0.55555560000000004</v>
      </c>
      <c r="G46" s="75">
        <v>0.55555560000000004</v>
      </c>
      <c r="H46" s="76" t="s">
        <v>724</v>
      </c>
      <c r="I46" s="12" t="s">
        <v>221</v>
      </c>
      <c r="J46" s="69">
        <v>1.6778660000000001</v>
      </c>
      <c r="K46" t="s">
        <v>42</v>
      </c>
      <c r="L46" s="16">
        <v>13</v>
      </c>
      <c r="M46">
        <v>8</v>
      </c>
      <c r="N46">
        <v>20</v>
      </c>
      <c r="O46" s="16">
        <f t="shared" si="0"/>
        <v>5</v>
      </c>
      <c r="P46" s="16">
        <f t="shared" si="1"/>
        <v>7</v>
      </c>
      <c r="Q46">
        <v>14</v>
      </c>
      <c r="R46">
        <v>56</v>
      </c>
      <c r="S46">
        <v>35</v>
      </c>
      <c r="T46">
        <v>75</v>
      </c>
      <c r="U46" s="16">
        <f t="shared" si="2"/>
        <v>21</v>
      </c>
      <c r="V46" s="16">
        <f t="shared" si="3"/>
        <v>19</v>
      </c>
      <c r="W46">
        <v>80</v>
      </c>
      <c r="X46">
        <f>IF('CEA Summary'!$O$4=2, L46, IF('CEA Summary'!$O$4=1, R46))</f>
        <v>13</v>
      </c>
      <c r="Y46" s="53">
        <f>IF('CEA Summary'!$O$4=2, O46, IF('CEA Summary'!$O$4=1, U46))</f>
        <v>5</v>
      </c>
      <c r="Z46" s="53">
        <f>IF('CEA Summary'!$O$4=2, P46, IF('CEA Summary'!$O$4=1, V46))</f>
        <v>7</v>
      </c>
      <c r="AA46" s="53">
        <f>IF('CEA Summary'!$O$4=2, Q46, IF('CEA Summary'!$O$4=1, W46))</f>
        <v>14</v>
      </c>
    </row>
    <row r="47" spans="1:27" x14ac:dyDescent="0.25">
      <c r="A47" t="s">
        <v>53</v>
      </c>
      <c r="B47" t="s">
        <v>54</v>
      </c>
      <c r="C47" s="12">
        <v>34</v>
      </c>
      <c r="D47" s="12">
        <v>33</v>
      </c>
      <c r="E47" s="75">
        <v>0.70967740000000001</v>
      </c>
      <c r="F47" s="75">
        <v>0.3939394</v>
      </c>
      <c r="G47" s="75">
        <v>0.5</v>
      </c>
      <c r="H47" s="76" t="s">
        <v>729</v>
      </c>
      <c r="I47" s="12" t="s">
        <v>274</v>
      </c>
      <c r="J47" s="69">
        <v>0.88650850000000003</v>
      </c>
      <c r="K47" t="s">
        <v>53</v>
      </c>
      <c r="L47" s="16">
        <v>16</v>
      </c>
      <c r="M47">
        <v>8</v>
      </c>
      <c r="N47">
        <v>24</v>
      </c>
      <c r="O47" s="16">
        <f t="shared" si="0"/>
        <v>8</v>
      </c>
      <c r="P47" s="16">
        <f t="shared" si="1"/>
        <v>8</v>
      </c>
      <c r="Q47">
        <v>14</v>
      </c>
      <c r="R47">
        <v>50</v>
      </c>
      <c r="S47">
        <v>32</v>
      </c>
      <c r="T47">
        <v>68</v>
      </c>
      <c r="U47" s="16">
        <f t="shared" si="2"/>
        <v>18</v>
      </c>
      <c r="V47" s="16">
        <f t="shared" si="3"/>
        <v>18</v>
      </c>
      <c r="W47">
        <v>80</v>
      </c>
      <c r="X47">
        <f>IF('CEA Summary'!$O$4=2, L47, IF('CEA Summary'!$O$4=1, R47))</f>
        <v>16</v>
      </c>
      <c r="Y47" s="53">
        <f>IF('CEA Summary'!$O$4=2, O47, IF('CEA Summary'!$O$4=1, U47))</f>
        <v>8</v>
      </c>
      <c r="Z47" s="53">
        <f>IF('CEA Summary'!$O$4=2, P47, IF('CEA Summary'!$O$4=1, V47))</f>
        <v>8</v>
      </c>
      <c r="AA47" s="53">
        <f>IF('CEA Summary'!$O$4=2, Q47, IF('CEA Summary'!$O$4=1, W47))</f>
        <v>14</v>
      </c>
    </row>
    <row r="48" spans="1:27" x14ac:dyDescent="0.25">
      <c r="A48" t="s">
        <v>21</v>
      </c>
      <c r="B48" t="s">
        <v>22</v>
      </c>
      <c r="C48" s="12">
        <v>19</v>
      </c>
      <c r="D48" s="12">
        <v>19</v>
      </c>
      <c r="E48" s="75">
        <v>0.66666669999999995</v>
      </c>
      <c r="F48" s="75">
        <v>0.4210526</v>
      </c>
      <c r="G48" s="75">
        <v>0.4736842</v>
      </c>
      <c r="H48" s="76" t="s">
        <v>720</v>
      </c>
      <c r="I48" s="12" t="s">
        <v>295</v>
      </c>
      <c r="J48" s="69">
        <v>2.318457</v>
      </c>
      <c r="K48" t="s">
        <v>21</v>
      </c>
      <c r="L48" s="16">
        <v>15</v>
      </c>
      <c r="M48">
        <v>7</v>
      </c>
      <c r="N48">
        <v>35</v>
      </c>
      <c r="O48" s="16">
        <f t="shared" si="0"/>
        <v>8</v>
      </c>
      <c r="P48" s="16">
        <f t="shared" si="1"/>
        <v>20</v>
      </c>
      <c r="Q48">
        <v>14</v>
      </c>
      <c r="R48">
        <v>47</v>
      </c>
      <c r="S48">
        <v>24</v>
      </c>
      <c r="T48">
        <v>71</v>
      </c>
      <c r="U48" s="16">
        <f t="shared" si="2"/>
        <v>23</v>
      </c>
      <c r="V48" s="16">
        <f t="shared" si="3"/>
        <v>24</v>
      </c>
      <c r="W48">
        <v>80</v>
      </c>
      <c r="X48">
        <f>IF('CEA Summary'!$O$4=2, L48, IF('CEA Summary'!$O$4=1, R48))</f>
        <v>15</v>
      </c>
      <c r="Y48" s="53">
        <f>IF('CEA Summary'!$O$4=2, O48, IF('CEA Summary'!$O$4=1, U48))</f>
        <v>8</v>
      </c>
      <c r="Z48" s="53">
        <f>IF('CEA Summary'!$O$4=2, P48, IF('CEA Summary'!$O$4=1, V48))</f>
        <v>20</v>
      </c>
      <c r="AA48" s="53">
        <f>IF('CEA Summary'!$O$4=2, Q48, IF('CEA Summary'!$O$4=1, W48))</f>
        <v>14</v>
      </c>
    </row>
    <row r="49" spans="1:27" x14ac:dyDescent="0.25">
      <c r="A49" t="s">
        <v>57</v>
      </c>
      <c r="B49" t="s">
        <v>58</v>
      </c>
      <c r="C49" s="12">
        <v>39</v>
      </c>
      <c r="D49" s="12">
        <v>39</v>
      </c>
      <c r="E49" s="75">
        <v>0.64102570000000003</v>
      </c>
      <c r="F49" s="75">
        <v>0</v>
      </c>
      <c r="G49" s="75">
        <v>0.12820509999999999</v>
      </c>
      <c r="H49" s="76" t="s">
        <v>731</v>
      </c>
      <c r="I49" s="12" t="s">
        <v>284</v>
      </c>
      <c r="J49" s="69">
        <v>2.253206</v>
      </c>
      <c r="K49" t="s">
        <v>57</v>
      </c>
      <c r="L49" s="16">
        <v>26</v>
      </c>
      <c r="M49">
        <v>16</v>
      </c>
      <c r="N49">
        <v>37</v>
      </c>
      <c r="O49" s="16">
        <f t="shared" si="0"/>
        <v>10</v>
      </c>
      <c r="P49" s="16">
        <f t="shared" si="1"/>
        <v>11</v>
      </c>
      <c r="Q49">
        <v>14</v>
      </c>
      <c r="R49">
        <v>13</v>
      </c>
      <c r="S49">
        <v>4</v>
      </c>
      <c r="T49">
        <v>27</v>
      </c>
      <c r="U49" s="16">
        <f t="shared" si="2"/>
        <v>9</v>
      </c>
      <c r="V49" s="16">
        <f t="shared" si="3"/>
        <v>14</v>
      </c>
      <c r="W49">
        <v>80</v>
      </c>
      <c r="X49">
        <f>IF('CEA Summary'!$O$4=2, L49, IF('CEA Summary'!$O$4=1, R49))</f>
        <v>26</v>
      </c>
      <c r="Y49" s="53">
        <f>IF('CEA Summary'!$O$4=2, O49, IF('CEA Summary'!$O$4=1, U49))</f>
        <v>10</v>
      </c>
      <c r="Z49" s="53">
        <f>IF('CEA Summary'!$O$4=2, P49, IF('CEA Summary'!$O$4=1, V49))</f>
        <v>11</v>
      </c>
      <c r="AA49" s="53">
        <f>IF('CEA Summary'!$O$4=2, Q49, IF('CEA Summary'!$O$4=1, W49))</f>
        <v>14</v>
      </c>
    </row>
    <row r="50" spans="1:27" x14ac:dyDescent="0.25">
      <c r="A50" t="s">
        <v>151</v>
      </c>
      <c r="B50" t="s">
        <v>152</v>
      </c>
      <c r="C50" s="12">
        <v>28</v>
      </c>
      <c r="D50" s="12">
        <v>28</v>
      </c>
      <c r="E50" s="75">
        <v>0.78571429999999998</v>
      </c>
      <c r="F50" s="75">
        <v>0.5</v>
      </c>
      <c r="G50" s="75">
        <v>0.60714290000000004</v>
      </c>
      <c r="H50" s="76" t="s">
        <v>754</v>
      </c>
      <c r="I50" s="12" t="s">
        <v>263</v>
      </c>
      <c r="J50" s="69">
        <v>3.278915</v>
      </c>
      <c r="K50" t="s">
        <v>151</v>
      </c>
      <c r="L50" s="16">
        <v>12</v>
      </c>
      <c r="M50">
        <v>8</v>
      </c>
      <c r="N50">
        <v>18</v>
      </c>
      <c r="O50" s="16">
        <f t="shared" si="0"/>
        <v>4</v>
      </c>
      <c r="P50" s="16">
        <f t="shared" si="1"/>
        <v>6</v>
      </c>
      <c r="Q50">
        <v>14</v>
      </c>
      <c r="R50">
        <v>61</v>
      </c>
      <c r="S50">
        <v>41</v>
      </c>
      <c r="T50">
        <v>78</v>
      </c>
      <c r="U50" s="16">
        <f t="shared" si="2"/>
        <v>20</v>
      </c>
      <c r="V50" s="16">
        <f t="shared" si="3"/>
        <v>17</v>
      </c>
      <c r="W50">
        <v>80</v>
      </c>
      <c r="X50">
        <f>IF('CEA Summary'!$O$4=2, L50, IF('CEA Summary'!$O$4=1, R50))</f>
        <v>12</v>
      </c>
      <c r="Y50" s="53">
        <f>IF('CEA Summary'!$O$4=2, O50, IF('CEA Summary'!$O$4=1, U50))</f>
        <v>4</v>
      </c>
      <c r="Z50" s="53">
        <f>IF('CEA Summary'!$O$4=2, P50, IF('CEA Summary'!$O$4=1, V50))</f>
        <v>6</v>
      </c>
      <c r="AA50" s="53">
        <f>IF('CEA Summary'!$O$4=2, Q50, IF('CEA Summary'!$O$4=1, W50))</f>
        <v>14</v>
      </c>
    </row>
    <row r="51" spans="1:27" x14ac:dyDescent="0.25">
      <c r="A51" t="s">
        <v>689</v>
      </c>
      <c r="B51" t="s">
        <v>690</v>
      </c>
      <c r="C51" s="12">
        <v>58</v>
      </c>
      <c r="D51" s="12">
        <v>53</v>
      </c>
      <c r="E51" s="75">
        <v>0.67924530000000005</v>
      </c>
      <c r="F51" s="75">
        <v>0.62068959999999995</v>
      </c>
      <c r="G51" s="75">
        <v>0.60377360000000002</v>
      </c>
      <c r="H51" s="76" t="s">
        <v>728</v>
      </c>
      <c r="I51" s="12" t="s">
        <v>284</v>
      </c>
      <c r="J51" s="69">
        <v>1.3428979999999999</v>
      </c>
      <c r="K51" t="s">
        <v>689</v>
      </c>
      <c r="L51" s="16">
        <v>11</v>
      </c>
      <c r="M51">
        <v>7</v>
      </c>
      <c r="N51">
        <v>18</v>
      </c>
      <c r="O51" s="16">
        <f t="shared" si="0"/>
        <v>4</v>
      </c>
      <c r="P51" s="16">
        <f t="shared" si="1"/>
        <v>7</v>
      </c>
      <c r="Q51">
        <v>14</v>
      </c>
      <c r="R51">
        <v>60</v>
      </c>
      <c r="S51">
        <v>46</v>
      </c>
      <c r="T51">
        <v>74</v>
      </c>
      <c r="U51" s="16">
        <f t="shared" si="2"/>
        <v>14</v>
      </c>
      <c r="V51" s="16">
        <f t="shared" si="3"/>
        <v>14</v>
      </c>
      <c r="W51">
        <v>80</v>
      </c>
      <c r="X51">
        <f>IF('CEA Summary'!$O$4=2, L51, IF('CEA Summary'!$O$4=1, R51))</f>
        <v>11</v>
      </c>
      <c r="Y51" s="53">
        <f>IF('CEA Summary'!$O$4=2, O51, IF('CEA Summary'!$O$4=1, U51))</f>
        <v>4</v>
      </c>
      <c r="Z51" s="53">
        <f>IF('CEA Summary'!$O$4=2, P51, IF('CEA Summary'!$O$4=1, V51))</f>
        <v>7</v>
      </c>
      <c r="AA51" s="53">
        <f>IF('CEA Summary'!$O$4=2, Q51, IF('CEA Summary'!$O$4=1, W51))</f>
        <v>14</v>
      </c>
    </row>
    <row r="52" spans="1:27" x14ac:dyDescent="0.25">
      <c r="A52" t="s">
        <v>119</v>
      </c>
      <c r="B52" t="s">
        <v>120</v>
      </c>
      <c r="C52" s="12">
        <v>41</v>
      </c>
      <c r="D52" s="12">
        <v>41</v>
      </c>
      <c r="E52" s="75">
        <v>0.72499999999999998</v>
      </c>
      <c r="F52" s="75">
        <v>0.1219512</v>
      </c>
      <c r="G52" s="75">
        <v>0.3170732</v>
      </c>
      <c r="H52" s="76" t="s">
        <v>746</v>
      </c>
      <c r="I52" s="12" t="s">
        <v>286</v>
      </c>
      <c r="J52" s="69">
        <v>0.56472500000000003</v>
      </c>
      <c r="K52" t="s">
        <v>119</v>
      </c>
      <c r="L52" s="16">
        <v>22</v>
      </c>
      <c r="M52">
        <v>13</v>
      </c>
      <c r="N52">
        <v>33</v>
      </c>
      <c r="O52" s="16">
        <f t="shared" si="0"/>
        <v>9</v>
      </c>
      <c r="P52" s="16">
        <f t="shared" si="1"/>
        <v>11</v>
      </c>
      <c r="Q52">
        <v>14</v>
      </c>
      <c r="R52">
        <v>32</v>
      </c>
      <c r="S52">
        <v>18</v>
      </c>
      <c r="T52">
        <v>48</v>
      </c>
      <c r="U52" s="16">
        <f t="shared" si="2"/>
        <v>14</v>
      </c>
      <c r="V52" s="16">
        <f t="shared" si="3"/>
        <v>16</v>
      </c>
      <c r="W52">
        <v>80</v>
      </c>
      <c r="X52">
        <f>IF('CEA Summary'!$O$4=2, L52, IF('CEA Summary'!$O$4=1, R52))</f>
        <v>22</v>
      </c>
      <c r="Y52" s="53">
        <f>IF('CEA Summary'!$O$4=2, O52, IF('CEA Summary'!$O$4=1, U52))</f>
        <v>9</v>
      </c>
      <c r="Z52" s="53">
        <f>IF('CEA Summary'!$O$4=2, P52, IF('CEA Summary'!$O$4=1, V52))</f>
        <v>11</v>
      </c>
      <c r="AA52" s="53">
        <f>IF('CEA Summary'!$O$4=2, Q52, IF('CEA Summary'!$O$4=1, W52))</f>
        <v>14</v>
      </c>
    </row>
    <row r="53" spans="1:27" x14ac:dyDescent="0.25">
      <c r="A53" t="s">
        <v>674</v>
      </c>
      <c r="B53" t="s">
        <v>675</v>
      </c>
      <c r="C53" s="12">
        <v>49</v>
      </c>
      <c r="D53" s="12">
        <v>49</v>
      </c>
      <c r="E53" s="75">
        <v>0.75510200000000005</v>
      </c>
      <c r="F53" s="75">
        <v>0.40816330000000001</v>
      </c>
      <c r="G53" s="75">
        <v>0.69387759999999998</v>
      </c>
      <c r="H53" s="76" t="s">
        <v>458</v>
      </c>
      <c r="I53" s="12" t="s">
        <v>286</v>
      </c>
      <c r="J53" s="69">
        <v>0.72097020000000001</v>
      </c>
      <c r="K53" t="s">
        <v>674</v>
      </c>
      <c r="L53" s="16">
        <v>12</v>
      </c>
      <c r="M53">
        <v>10</v>
      </c>
      <c r="N53">
        <v>17</v>
      </c>
      <c r="O53" s="16">
        <f t="shared" si="0"/>
        <v>2</v>
      </c>
      <c r="P53" s="16">
        <f t="shared" si="1"/>
        <v>5</v>
      </c>
      <c r="Q53">
        <v>14</v>
      </c>
      <c r="R53">
        <v>69</v>
      </c>
      <c r="S53">
        <v>55</v>
      </c>
      <c r="T53">
        <v>82</v>
      </c>
      <c r="U53" s="16">
        <f t="shared" si="2"/>
        <v>14</v>
      </c>
      <c r="V53" s="16">
        <f t="shared" si="3"/>
        <v>13</v>
      </c>
      <c r="W53">
        <v>80</v>
      </c>
      <c r="X53">
        <f>IF('CEA Summary'!$O$4=2, L53, IF('CEA Summary'!$O$4=1, R53))</f>
        <v>12</v>
      </c>
      <c r="Y53" s="53">
        <f>IF('CEA Summary'!$O$4=2, O53, IF('CEA Summary'!$O$4=1, U53))</f>
        <v>2</v>
      </c>
      <c r="Z53" s="53">
        <f>IF('CEA Summary'!$O$4=2, P53, IF('CEA Summary'!$O$4=1, V53))</f>
        <v>5</v>
      </c>
      <c r="AA53" s="53">
        <f>IF('CEA Summary'!$O$4=2, Q53, IF('CEA Summary'!$O$4=1, W53))</f>
        <v>14</v>
      </c>
    </row>
    <row r="54" spans="1:27" x14ac:dyDescent="0.25">
      <c r="A54" t="s">
        <v>65</v>
      </c>
      <c r="B54" t="s">
        <v>66</v>
      </c>
      <c r="C54" s="12">
        <v>33</v>
      </c>
      <c r="D54" s="12">
        <v>33</v>
      </c>
      <c r="E54" s="75">
        <v>0.81818179999999996</v>
      </c>
      <c r="F54" s="75">
        <v>0.81818179999999996</v>
      </c>
      <c r="G54" s="75">
        <v>0.87878789999999996</v>
      </c>
      <c r="H54" s="76" t="s">
        <v>293</v>
      </c>
      <c r="I54" s="12" t="s">
        <v>282</v>
      </c>
      <c r="J54" s="69">
        <v>2.1301230000000002</v>
      </c>
      <c r="K54" t="s">
        <v>65</v>
      </c>
      <c r="L54" s="16">
        <v>8</v>
      </c>
      <c r="M54">
        <v>5</v>
      </c>
      <c r="N54">
        <v>13</v>
      </c>
      <c r="O54" s="16">
        <f t="shared" si="0"/>
        <v>3</v>
      </c>
      <c r="P54" s="16">
        <f t="shared" si="1"/>
        <v>5</v>
      </c>
      <c r="Q54">
        <v>14</v>
      </c>
      <c r="R54">
        <v>88</v>
      </c>
      <c r="S54">
        <v>72</v>
      </c>
      <c r="T54">
        <v>97</v>
      </c>
      <c r="U54" s="16">
        <f t="shared" si="2"/>
        <v>16</v>
      </c>
      <c r="V54" s="16">
        <f t="shared" si="3"/>
        <v>9</v>
      </c>
      <c r="W54">
        <v>80</v>
      </c>
      <c r="X54">
        <f>IF('CEA Summary'!$O$4=2, L54, IF('CEA Summary'!$O$4=1, R54))</f>
        <v>8</v>
      </c>
      <c r="Y54" s="53">
        <f>IF('CEA Summary'!$O$4=2, O54, IF('CEA Summary'!$O$4=1, U54))</f>
        <v>3</v>
      </c>
      <c r="Z54" s="53">
        <f>IF('CEA Summary'!$O$4=2, P54, IF('CEA Summary'!$O$4=1, V54))</f>
        <v>5</v>
      </c>
      <c r="AA54" s="53">
        <f>IF('CEA Summary'!$O$4=2, Q54, IF('CEA Summary'!$O$4=1, W54))</f>
        <v>14</v>
      </c>
    </row>
    <row r="55" spans="1:27" x14ac:dyDescent="0.25">
      <c r="A55" t="s">
        <v>2</v>
      </c>
      <c r="B55" t="s">
        <v>196</v>
      </c>
      <c r="C55" s="12">
        <v>51</v>
      </c>
      <c r="D55" s="12">
        <v>50</v>
      </c>
      <c r="E55" s="75">
        <v>0.48</v>
      </c>
      <c r="F55" s="75">
        <v>0.82352939999999997</v>
      </c>
      <c r="G55" s="75">
        <v>0.52</v>
      </c>
      <c r="H55" s="76" t="s">
        <v>715</v>
      </c>
      <c r="I55" s="12" t="s">
        <v>225</v>
      </c>
      <c r="J55" s="69">
        <v>2.4729510000000001</v>
      </c>
      <c r="K55" t="s">
        <v>2</v>
      </c>
      <c r="L55" s="16">
        <v>14</v>
      </c>
      <c r="M55">
        <v>9</v>
      </c>
      <c r="N55">
        <v>23</v>
      </c>
      <c r="O55" s="16">
        <f t="shared" si="0"/>
        <v>5</v>
      </c>
      <c r="P55" s="16">
        <f t="shared" si="1"/>
        <v>9</v>
      </c>
      <c r="Q55">
        <v>14</v>
      </c>
      <c r="R55">
        <v>52</v>
      </c>
      <c r="S55">
        <v>37</v>
      </c>
      <c r="T55">
        <v>66</v>
      </c>
      <c r="U55" s="16">
        <f t="shared" si="2"/>
        <v>15</v>
      </c>
      <c r="V55" s="16">
        <f t="shared" si="3"/>
        <v>14</v>
      </c>
      <c r="W55">
        <v>80</v>
      </c>
      <c r="X55">
        <f>IF('CEA Summary'!$O$4=2, L55, IF('CEA Summary'!$O$4=1, R55))</f>
        <v>14</v>
      </c>
      <c r="Y55" s="53">
        <f>IF('CEA Summary'!$O$4=2, O55, IF('CEA Summary'!$O$4=1, U55))</f>
        <v>5</v>
      </c>
      <c r="Z55" s="53">
        <f>IF('CEA Summary'!$O$4=2, P55, IF('CEA Summary'!$O$4=1, V55))</f>
        <v>9</v>
      </c>
      <c r="AA55" s="53">
        <f>IF('CEA Summary'!$O$4=2, Q55, IF('CEA Summary'!$O$4=1, W55))</f>
        <v>14</v>
      </c>
    </row>
    <row r="56" spans="1:27" x14ac:dyDescent="0.25">
      <c r="A56" t="s">
        <v>84</v>
      </c>
      <c r="B56" t="s">
        <v>85</v>
      </c>
      <c r="C56" s="12">
        <v>40</v>
      </c>
      <c r="D56" s="12">
        <v>37</v>
      </c>
      <c r="E56" s="75">
        <v>0.75</v>
      </c>
      <c r="F56" s="75">
        <v>0.67500000000000004</v>
      </c>
      <c r="G56" s="75">
        <v>0.72972970000000004</v>
      </c>
      <c r="H56" s="76" t="s">
        <v>736</v>
      </c>
      <c r="I56" s="12" t="s">
        <v>276</v>
      </c>
      <c r="J56" s="69">
        <v>1.9468810000000001</v>
      </c>
      <c r="K56" t="s">
        <v>84</v>
      </c>
      <c r="L56" s="16">
        <v>11</v>
      </c>
      <c r="M56">
        <v>6</v>
      </c>
      <c r="N56">
        <v>15</v>
      </c>
      <c r="O56" s="16">
        <f t="shared" si="0"/>
        <v>5</v>
      </c>
      <c r="P56" s="16">
        <f t="shared" si="1"/>
        <v>4</v>
      </c>
      <c r="Q56">
        <v>14</v>
      </c>
      <c r="R56">
        <v>73</v>
      </c>
      <c r="S56">
        <v>56</v>
      </c>
      <c r="T56">
        <v>86</v>
      </c>
      <c r="U56" s="16">
        <f t="shared" si="2"/>
        <v>17</v>
      </c>
      <c r="V56" s="16">
        <f t="shared" si="3"/>
        <v>13</v>
      </c>
      <c r="W56">
        <v>80</v>
      </c>
      <c r="X56">
        <f>IF('CEA Summary'!$O$4=2, L56, IF('CEA Summary'!$O$4=1, R56))</f>
        <v>11</v>
      </c>
      <c r="Y56" s="53">
        <f>IF('CEA Summary'!$O$4=2, O56, IF('CEA Summary'!$O$4=1, U56))</f>
        <v>5</v>
      </c>
      <c r="Z56" s="53">
        <f>IF('CEA Summary'!$O$4=2, P56, IF('CEA Summary'!$O$4=1, V56))</f>
        <v>4</v>
      </c>
      <c r="AA56" s="53">
        <f>IF('CEA Summary'!$O$4=2, Q56, IF('CEA Summary'!$O$4=1, W56))</f>
        <v>14</v>
      </c>
    </row>
    <row r="57" spans="1:27" x14ac:dyDescent="0.25">
      <c r="A57" t="s">
        <v>15</v>
      </c>
      <c r="B57" t="s">
        <v>16</v>
      </c>
      <c r="C57" s="12" t="s">
        <v>345</v>
      </c>
      <c r="D57" s="12" t="s">
        <v>345</v>
      </c>
      <c r="E57" s="75" t="s">
        <v>346</v>
      </c>
      <c r="F57" s="75" t="s">
        <v>346</v>
      </c>
      <c r="G57" s="75" t="s">
        <v>346</v>
      </c>
      <c r="H57" s="76" t="s">
        <v>346</v>
      </c>
      <c r="I57" s="12" t="s">
        <v>346</v>
      </c>
      <c r="J57" s="69">
        <v>0</v>
      </c>
      <c r="K57" t="s">
        <v>15</v>
      </c>
      <c r="L57" s="16" t="e">
        <v>#N/A</v>
      </c>
      <c r="M57" s="16" t="e">
        <v>#N/A</v>
      </c>
      <c r="N57" s="16" t="e">
        <v>#N/A</v>
      </c>
      <c r="O57" s="16" t="e">
        <f t="shared" si="0"/>
        <v>#N/A</v>
      </c>
      <c r="P57" s="16" t="e">
        <f t="shared" si="1"/>
        <v>#N/A</v>
      </c>
      <c r="Q57">
        <v>14</v>
      </c>
      <c r="R57" t="e">
        <v>#VALUE!</v>
      </c>
      <c r="S57" t="e">
        <v>#N/A</v>
      </c>
      <c r="T57" t="e">
        <v>#N/A</v>
      </c>
      <c r="U57" s="16" t="e">
        <f t="shared" si="2"/>
        <v>#VALUE!</v>
      </c>
      <c r="V57" s="16" t="e">
        <f t="shared" si="3"/>
        <v>#N/A</v>
      </c>
      <c r="W57">
        <v>80</v>
      </c>
      <c r="X57" t="e">
        <f>IF('CEA Summary'!$O$4=2, L57, IF('CEA Summary'!$O$4=1, R57))</f>
        <v>#N/A</v>
      </c>
      <c r="Y57" s="53" t="e">
        <f>IF('CEA Summary'!$O$4=2, O57, IF('CEA Summary'!$O$4=1, U57))</f>
        <v>#N/A</v>
      </c>
      <c r="Z57" s="53" t="e">
        <f>IF('CEA Summary'!$O$4=2, P57, IF('CEA Summary'!$O$4=1, V57))</f>
        <v>#N/A</v>
      </c>
      <c r="AA57" s="53">
        <f>IF('CEA Summary'!$O$4=2, Q57, IF('CEA Summary'!$O$4=1, W57))</f>
        <v>14</v>
      </c>
    </row>
    <row r="58" spans="1:27" x14ac:dyDescent="0.25">
      <c r="A58" t="s">
        <v>129</v>
      </c>
      <c r="B58" t="s">
        <v>130</v>
      </c>
      <c r="C58" s="12">
        <v>38</v>
      </c>
      <c r="D58" s="12">
        <v>38</v>
      </c>
      <c r="E58" s="75">
        <v>0.54054049999999998</v>
      </c>
      <c r="F58" s="75">
        <v>0.3157895</v>
      </c>
      <c r="G58" s="75">
        <v>0.4736842</v>
      </c>
      <c r="H58" s="76" t="s">
        <v>749</v>
      </c>
      <c r="I58" s="12" t="s">
        <v>283</v>
      </c>
      <c r="J58" s="69">
        <v>2.2117710000000002</v>
      </c>
      <c r="K58" t="s">
        <v>129</v>
      </c>
      <c r="L58" s="16">
        <v>16</v>
      </c>
      <c r="M58">
        <v>9</v>
      </c>
      <c r="N58">
        <v>31</v>
      </c>
      <c r="O58" s="16">
        <f t="shared" si="0"/>
        <v>7</v>
      </c>
      <c r="P58" s="16">
        <f t="shared" si="1"/>
        <v>15</v>
      </c>
      <c r="Q58">
        <v>14</v>
      </c>
      <c r="R58">
        <v>47</v>
      </c>
      <c r="S58">
        <v>31</v>
      </c>
      <c r="T58">
        <v>64</v>
      </c>
      <c r="U58" s="16">
        <f t="shared" si="2"/>
        <v>16</v>
      </c>
      <c r="V58" s="16">
        <f t="shared" si="3"/>
        <v>17</v>
      </c>
      <c r="W58">
        <v>80</v>
      </c>
      <c r="X58">
        <f>IF('CEA Summary'!$O$4=2, L58, IF('CEA Summary'!$O$4=1, R58))</f>
        <v>16</v>
      </c>
      <c r="Y58" s="53">
        <f>IF('CEA Summary'!$O$4=2, O58, IF('CEA Summary'!$O$4=1, U58))</f>
        <v>7</v>
      </c>
      <c r="Z58" s="53">
        <f>IF('CEA Summary'!$O$4=2, P58, IF('CEA Summary'!$O$4=1, V58))</f>
        <v>15</v>
      </c>
      <c r="AA58" s="53">
        <f>IF('CEA Summary'!$O$4=2, Q58, IF('CEA Summary'!$O$4=1, W58))</f>
        <v>14</v>
      </c>
    </row>
    <row r="59" spans="1:27" x14ac:dyDescent="0.25">
      <c r="A59" t="s">
        <v>106</v>
      </c>
      <c r="B59" t="s">
        <v>107</v>
      </c>
      <c r="C59" s="12">
        <v>51</v>
      </c>
      <c r="D59" s="12">
        <v>51</v>
      </c>
      <c r="E59" s="75">
        <v>0.87755099999999997</v>
      </c>
      <c r="F59" s="75">
        <v>0.74509809999999999</v>
      </c>
      <c r="G59" s="75">
        <v>0.86</v>
      </c>
      <c r="H59" s="76" t="s">
        <v>516</v>
      </c>
      <c r="I59" s="12" t="s">
        <v>326</v>
      </c>
      <c r="J59" s="69">
        <v>4.285609</v>
      </c>
      <c r="K59" t="s">
        <v>106</v>
      </c>
      <c r="L59" s="16">
        <v>10</v>
      </c>
      <c r="M59">
        <v>8</v>
      </c>
      <c r="N59">
        <v>13</v>
      </c>
      <c r="O59" s="16">
        <f t="shared" si="0"/>
        <v>2</v>
      </c>
      <c r="P59" s="16">
        <f t="shared" si="1"/>
        <v>3</v>
      </c>
      <c r="Q59">
        <v>14</v>
      </c>
      <c r="R59">
        <v>86</v>
      </c>
      <c r="S59">
        <v>73</v>
      </c>
      <c r="T59">
        <v>94</v>
      </c>
      <c r="U59" s="16">
        <f t="shared" si="2"/>
        <v>13</v>
      </c>
      <c r="V59" s="16">
        <f t="shared" si="3"/>
        <v>8</v>
      </c>
      <c r="W59">
        <v>80</v>
      </c>
      <c r="X59">
        <f>IF('CEA Summary'!$O$4=2, L59, IF('CEA Summary'!$O$4=1, R59))</f>
        <v>10</v>
      </c>
      <c r="Y59" s="53">
        <f>IF('CEA Summary'!$O$4=2, O59, IF('CEA Summary'!$O$4=1, U59))</f>
        <v>2</v>
      </c>
      <c r="Z59" s="53">
        <f>IF('CEA Summary'!$O$4=2, P59, IF('CEA Summary'!$O$4=1, V59))</f>
        <v>3</v>
      </c>
      <c r="AA59" s="53">
        <f>IF('CEA Summary'!$O$4=2, Q59, IF('CEA Summary'!$O$4=1, W59))</f>
        <v>14</v>
      </c>
    </row>
    <row r="60" spans="1:27" x14ac:dyDescent="0.25">
      <c r="A60" t="s">
        <v>67</v>
      </c>
      <c r="B60" t="s">
        <v>68</v>
      </c>
      <c r="C60" s="12">
        <v>56</v>
      </c>
      <c r="D60" s="12">
        <v>56</v>
      </c>
      <c r="E60" s="75">
        <v>0.78571429999999998</v>
      </c>
      <c r="F60" s="75">
        <v>0.55357140000000005</v>
      </c>
      <c r="G60" s="75">
        <v>0.69642859999999995</v>
      </c>
      <c r="H60" s="76" t="s">
        <v>461</v>
      </c>
      <c r="I60" s="12" t="s">
        <v>284</v>
      </c>
      <c r="J60" s="69">
        <v>4.9386850000000004</v>
      </c>
      <c r="K60" t="s">
        <v>67</v>
      </c>
      <c r="L60" s="16">
        <v>11</v>
      </c>
      <c r="M60">
        <v>8</v>
      </c>
      <c r="N60">
        <v>17</v>
      </c>
      <c r="O60" s="16">
        <f t="shared" si="0"/>
        <v>3</v>
      </c>
      <c r="P60" s="16">
        <f t="shared" si="1"/>
        <v>6</v>
      </c>
      <c r="Q60">
        <v>14</v>
      </c>
      <c r="R60">
        <v>70</v>
      </c>
      <c r="S60">
        <v>56</v>
      </c>
      <c r="T60">
        <v>81</v>
      </c>
      <c r="U60" s="16">
        <f t="shared" si="2"/>
        <v>14</v>
      </c>
      <c r="V60" s="16">
        <f t="shared" si="3"/>
        <v>11</v>
      </c>
      <c r="W60">
        <v>80</v>
      </c>
      <c r="X60">
        <f>IF('CEA Summary'!$O$4=2, L60, IF('CEA Summary'!$O$4=1, R60))</f>
        <v>11</v>
      </c>
      <c r="Y60" s="53">
        <f>IF('CEA Summary'!$O$4=2, O60, IF('CEA Summary'!$O$4=1, U60))</f>
        <v>3</v>
      </c>
      <c r="Z60" s="53">
        <f>IF('CEA Summary'!$O$4=2, P60, IF('CEA Summary'!$O$4=1, V60))</f>
        <v>6</v>
      </c>
      <c r="AA60" s="53">
        <f>IF('CEA Summary'!$O$4=2, Q60, IF('CEA Summary'!$O$4=1, W60))</f>
        <v>14</v>
      </c>
    </row>
    <row r="61" spans="1:27" x14ac:dyDescent="0.25">
      <c r="A61" t="s">
        <v>55</v>
      </c>
      <c r="B61" t="s">
        <v>56</v>
      </c>
      <c r="C61" s="12">
        <v>63</v>
      </c>
      <c r="D61" s="12">
        <v>58</v>
      </c>
      <c r="E61" s="75">
        <v>0.76785709999999996</v>
      </c>
      <c r="F61" s="75">
        <v>0.38709680000000002</v>
      </c>
      <c r="G61" s="75">
        <v>0.68965520000000002</v>
      </c>
      <c r="H61" s="76" t="s">
        <v>730</v>
      </c>
      <c r="I61" s="12" t="s">
        <v>286</v>
      </c>
      <c r="J61" s="69">
        <v>0.91933770000000004</v>
      </c>
      <c r="K61" t="s">
        <v>55</v>
      </c>
      <c r="L61" s="16">
        <v>13</v>
      </c>
      <c r="M61">
        <v>10</v>
      </c>
      <c r="N61">
        <v>15</v>
      </c>
      <c r="O61" s="16">
        <f t="shared" si="0"/>
        <v>3</v>
      </c>
      <c r="P61" s="16">
        <f t="shared" si="1"/>
        <v>2</v>
      </c>
      <c r="Q61">
        <v>14</v>
      </c>
      <c r="R61">
        <v>69</v>
      </c>
      <c r="S61">
        <v>55</v>
      </c>
      <c r="T61">
        <v>80</v>
      </c>
      <c r="U61" s="16">
        <f t="shared" si="2"/>
        <v>14</v>
      </c>
      <c r="V61" s="16">
        <f t="shared" si="3"/>
        <v>11</v>
      </c>
      <c r="W61">
        <v>80</v>
      </c>
      <c r="X61">
        <f>IF('CEA Summary'!$O$4=2, L61, IF('CEA Summary'!$O$4=1, R61))</f>
        <v>13</v>
      </c>
      <c r="Y61" s="53">
        <f>IF('CEA Summary'!$O$4=2, O61, IF('CEA Summary'!$O$4=1, U61))</f>
        <v>3</v>
      </c>
      <c r="Z61" s="53">
        <f>IF('CEA Summary'!$O$4=2, P61, IF('CEA Summary'!$O$4=1, V61))</f>
        <v>2</v>
      </c>
      <c r="AA61" s="53">
        <f>IF('CEA Summary'!$O$4=2, Q61, IF('CEA Summary'!$O$4=1, W61))</f>
        <v>14</v>
      </c>
    </row>
    <row r="62" spans="1:27" x14ac:dyDescent="0.25">
      <c r="A62" t="s">
        <v>701</v>
      </c>
      <c r="B62" t="s">
        <v>702</v>
      </c>
      <c r="C62" s="12">
        <v>29</v>
      </c>
      <c r="D62" s="12">
        <v>29</v>
      </c>
      <c r="E62" s="75">
        <v>0.79310349999999996</v>
      </c>
      <c r="F62" s="75">
        <v>0.93103449999999999</v>
      </c>
      <c r="G62" s="75">
        <v>0.86206899999999997</v>
      </c>
      <c r="H62" s="76" t="s">
        <v>340</v>
      </c>
      <c r="I62" s="12" t="s">
        <v>284</v>
      </c>
      <c r="J62" s="69">
        <v>1.0475369999999999</v>
      </c>
      <c r="K62" t="s">
        <v>701</v>
      </c>
      <c r="L62" s="16">
        <v>8</v>
      </c>
      <c r="M62">
        <v>6</v>
      </c>
      <c r="N62">
        <v>13</v>
      </c>
      <c r="O62" s="16">
        <f t="shared" si="0"/>
        <v>2</v>
      </c>
      <c r="P62" s="16">
        <f t="shared" si="1"/>
        <v>5</v>
      </c>
      <c r="Q62">
        <v>14</v>
      </c>
      <c r="R62">
        <v>86</v>
      </c>
      <c r="S62">
        <v>68</v>
      </c>
      <c r="T62">
        <v>96</v>
      </c>
      <c r="U62" s="16">
        <f t="shared" si="2"/>
        <v>18</v>
      </c>
      <c r="V62" s="16">
        <f t="shared" si="3"/>
        <v>10</v>
      </c>
      <c r="W62">
        <v>80</v>
      </c>
      <c r="X62">
        <f>IF('CEA Summary'!$O$4=2, L62, IF('CEA Summary'!$O$4=1, R62))</f>
        <v>8</v>
      </c>
      <c r="Y62" s="53">
        <f>IF('CEA Summary'!$O$4=2, O62, IF('CEA Summary'!$O$4=1, U62))</f>
        <v>2</v>
      </c>
      <c r="Z62" s="53">
        <f>IF('CEA Summary'!$O$4=2, P62, IF('CEA Summary'!$O$4=1, V62))</f>
        <v>5</v>
      </c>
      <c r="AA62" s="53">
        <f>IF('CEA Summary'!$O$4=2, Q62, IF('CEA Summary'!$O$4=1, W62))</f>
        <v>14</v>
      </c>
    </row>
    <row r="63" spans="1:27" x14ac:dyDescent="0.25">
      <c r="A63" t="s">
        <v>104</v>
      </c>
      <c r="B63" t="s">
        <v>105</v>
      </c>
      <c r="C63" s="12">
        <v>37</v>
      </c>
      <c r="D63" s="12">
        <v>33</v>
      </c>
      <c r="E63" s="75">
        <v>0.78125</v>
      </c>
      <c r="F63" s="75">
        <v>0.40540540000000003</v>
      </c>
      <c r="G63" s="75">
        <v>0.60606059999999995</v>
      </c>
      <c r="H63" s="76" t="s">
        <v>742</v>
      </c>
      <c r="I63" s="12" t="s">
        <v>271</v>
      </c>
      <c r="J63" s="69">
        <v>1.8227979999999999</v>
      </c>
      <c r="K63" t="s">
        <v>104</v>
      </c>
      <c r="L63" s="16">
        <v>9</v>
      </c>
      <c r="M63">
        <v>7</v>
      </c>
      <c r="N63">
        <v>19</v>
      </c>
      <c r="O63" s="16">
        <f t="shared" si="0"/>
        <v>2</v>
      </c>
      <c r="P63" s="16">
        <f t="shared" si="1"/>
        <v>10</v>
      </c>
      <c r="Q63">
        <v>14</v>
      </c>
      <c r="R63">
        <v>61</v>
      </c>
      <c r="S63">
        <v>42</v>
      </c>
      <c r="T63">
        <v>77</v>
      </c>
      <c r="U63" s="16">
        <f t="shared" si="2"/>
        <v>19</v>
      </c>
      <c r="V63" s="16">
        <f t="shared" si="3"/>
        <v>16</v>
      </c>
      <c r="W63">
        <v>80</v>
      </c>
      <c r="X63">
        <f>IF('CEA Summary'!$O$4=2, L63, IF('CEA Summary'!$O$4=1, R63))</f>
        <v>9</v>
      </c>
      <c r="Y63" s="53">
        <f>IF('CEA Summary'!$O$4=2, O63, IF('CEA Summary'!$O$4=1, U63))</f>
        <v>2</v>
      </c>
      <c r="Z63" s="53">
        <f>IF('CEA Summary'!$O$4=2, P63, IF('CEA Summary'!$O$4=1, V63))</f>
        <v>10</v>
      </c>
      <c r="AA63" s="53">
        <f>IF('CEA Summary'!$O$4=2, Q63, IF('CEA Summary'!$O$4=1, W63))</f>
        <v>14</v>
      </c>
    </row>
    <row r="64" spans="1:27" x14ac:dyDescent="0.25">
      <c r="A64" t="s">
        <v>74</v>
      </c>
      <c r="B64" t="s">
        <v>75</v>
      </c>
      <c r="C64" s="12">
        <v>39</v>
      </c>
      <c r="D64" s="12">
        <v>38</v>
      </c>
      <c r="E64" s="75">
        <v>0.81081080000000005</v>
      </c>
      <c r="F64" s="75">
        <v>0.43589739999999999</v>
      </c>
      <c r="G64" s="75">
        <v>0.71052630000000006</v>
      </c>
      <c r="H64" s="76" t="s">
        <v>735</v>
      </c>
      <c r="I64" s="12" t="s">
        <v>268</v>
      </c>
      <c r="J64" s="69">
        <v>1.6063780000000001</v>
      </c>
      <c r="K64" t="s">
        <v>74</v>
      </c>
      <c r="L64" s="16">
        <v>12</v>
      </c>
      <c r="M64">
        <v>7</v>
      </c>
      <c r="N64">
        <v>15</v>
      </c>
      <c r="O64" s="16">
        <f t="shared" si="0"/>
        <v>5</v>
      </c>
      <c r="P64" s="16">
        <f t="shared" si="1"/>
        <v>3</v>
      </c>
      <c r="Q64">
        <v>14</v>
      </c>
      <c r="R64">
        <v>71</v>
      </c>
      <c r="S64">
        <v>54</v>
      </c>
      <c r="T64">
        <v>85</v>
      </c>
      <c r="U64" s="16">
        <f t="shared" si="2"/>
        <v>17</v>
      </c>
      <c r="V64" s="16">
        <f t="shared" si="3"/>
        <v>14</v>
      </c>
      <c r="W64">
        <v>80</v>
      </c>
      <c r="X64">
        <f>IF('CEA Summary'!$O$4=2, L64, IF('CEA Summary'!$O$4=1, R64))</f>
        <v>12</v>
      </c>
      <c r="Y64" s="53">
        <f>IF('CEA Summary'!$O$4=2, O64, IF('CEA Summary'!$O$4=1, U64))</f>
        <v>5</v>
      </c>
      <c r="Z64" s="53">
        <f>IF('CEA Summary'!$O$4=2, P64, IF('CEA Summary'!$O$4=1, V64))</f>
        <v>3</v>
      </c>
      <c r="AA64" s="53">
        <f>IF('CEA Summary'!$O$4=2, Q64, IF('CEA Summary'!$O$4=1, W64))</f>
        <v>14</v>
      </c>
    </row>
    <row r="65" spans="1:27" x14ac:dyDescent="0.25">
      <c r="A65" t="s">
        <v>677</v>
      </c>
      <c r="B65" t="s">
        <v>678</v>
      </c>
      <c r="C65" s="12">
        <v>38</v>
      </c>
      <c r="D65" s="12">
        <v>37</v>
      </c>
      <c r="E65" s="75">
        <v>0.82857139999999996</v>
      </c>
      <c r="F65" s="75">
        <v>0.59459459999999997</v>
      </c>
      <c r="G65" s="75">
        <v>0.78378380000000003</v>
      </c>
      <c r="H65" s="76" t="s">
        <v>718</v>
      </c>
      <c r="I65" s="12" t="s">
        <v>286</v>
      </c>
      <c r="J65" s="69">
        <v>0</v>
      </c>
      <c r="K65" t="s">
        <v>677</v>
      </c>
      <c r="L65" s="16">
        <v>11</v>
      </c>
      <c r="M65">
        <v>9</v>
      </c>
      <c r="N65">
        <v>14</v>
      </c>
      <c r="O65" s="16">
        <f t="shared" si="0"/>
        <v>2</v>
      </c>
      <c r="P65" s="16">
        <f t="shared" si="1"/>
        <v>3</v>
      </c>
      <c r="Q65">
        <v>14</v>
      </c>
      <c r="R65">
        <v>78</v>
      </c>
      <c r="S65">
        <v>62</v>
      </c>
      <c r="T65">
        <v>90</v>
      </c>
      <c r="U65" s="16">
        <f t="shared" si="2"/>
        <v>16</v>
      </c>
      <c r="V65" s="16">
        <f t="shared" si="3"/>
        <v>12</v>
      </c>
      <c r="W65">
        <v>80</v>
      </c>
      <c r="X65">
        <f>IF('CEA Summary'!$O$4=2, L65, IF('CEA Summary'!$O$4=1, R65))</f>
        <v>11</v>
      </c>
      <c r="Y65" s="53">
        <f>IF('CEA Summary'!$O$4=2, O65, IF('CEA Summary'!$O$4=1, U65))</f>
        <v>2</v>
      </c>
      <c r="Z65" s="53">
        <f>IF('CEA Summary'!$O$4=2, P65, IF('CEA Summary'!$O$4=1, V65))</f>
        <v>3</v>
      </c>
      <c r="AA65" s="53">
        <f>IF('CEA Summary'!$O$4=2, Q65, IF('CEA Summary'!$O$4=1, W65))</f>
        <v>14</v>
      </c>
    </row>
    <row r="66" spans="1:27" x14ac:dyDescent="0.25">
      <c r="A66" t="s">
        <v>114</v>
      </c>
      <c r="B66" t="s">
        <v>347</v>
      </c>
      <c r="C66" s="12">
        <v>21</v>
      </c>
      <c r="D66" s="12">
        <v>21</v>
      </c>
      <c r="E66" s="75">
        <v>0.61904760000000003</v>
      </c>
      <c r="F66" s="75">
        <v>0.85714290000000004</v>
      </c>
      <c r="G66" s="75">
        <v>0.61904760000000003</v>
      </c>
      <c r="H66" s="76" t="s">
        <v>745</v>
      </c>
      <c r="I66" s="12" t="s">
        <v>220</v>
      </c>
      <c r="J66" s="69">
        <v>3.771252</v>
      </c>
      <c r="K66" t="s">
        <v>114</v>
      </c>
      <c r="L66" s="16">
        <v>10</v>
      </c>
      <c r="M66">
        <v>8</v>
      </c>
      <c r="N66">
        <v>18</v>
      </c>
      <c r="O66" s="16">
        <f t="shared" ref="O66:O71" si="4">L66-M66</f>
        <v>2</v>
      </c>
      <c r="P66" s="16">
        <f t="shared" ref="P66:P71" si="5">N66-L66</f>
        <v>8</v>
      </c>
      <c r="Q66">
        <v>14</v>
      </c>
      <c r="R66">
        <v>62</v>
      </c>
      <c r="S66">
        <v>38</v>
      </c>
      <c r="T66">
        <v>82</v>
      </c>
      <c r="U66" s="16">
        <f t="shared" ref="U66:U71" si="6">R66-S66</f>
        <v>24</v>
      </c>
      <c r="V66" s="16">
        <f t="shared" ref="V66:V71" si="7">T66-R66</f>
        <v>20</v>
      </c>
      <c r="W66">
        <v>80</v>
      </c>
      <c r="X66">
        <f>IF('CEA Summary'!$O$4=2, L66, IF('CEA Summary'!$O$4=1, R66))</f>
        <v>10</v>
      </c>
      <c r="Y66" s="53">
        <f>IF('CEA Summary'!$O$4=2, O66, IF('CEA Summary'!$O$4=1, U66))</f>
        <v>2</v>
      </c>
      <c r="Z66" s="53">
        <f>IF('CEA Summary'!$O$4=2, P66, IF('CEA Summary'!$O$4=1, V66))</f>
        <v>8</v>
      </c>
      <c r="AA66" s="53">
        <f>IF('CEA Summary'!$O$4=2, Q66, IF('CEA Summary'!$O$4=1, W66))</f>
        <v>14</v>
      </c>
    </row>
    <row r="67" spans="1:27" x14ac:dyDescent="0.25">
      <c r="A67" t="s">
        <v>131</v>
      </c>
      <c r="B67" t="s">
        <v>132</v>
      </c>
      <c r="C67" s="12">
        <v>51</v>
      </c>
      <c r="D67" s="12">
        <v>50</v>
      </c>
      <c r="E67" s="75">
        <v>0.86</v>
      </c>
      <c r="F67" s="75">
        <v>0.8823529</v>
      </c>
      <c r="G67" s="75">
        <v>0.92</v>
      </c>
      <c r="H67" s="76" t="s">
        <v>750</v>
      </c>
      <c r="I67" s="12" t="s">
        <v>228</v>
      </c>
      <c r="J67" s="69">
        <v>0.53528710000000002</v>
      </c>
      <c r="K67" t="s">
        <v>131</v>
      </c>
      <c r="L67" s="16">
        <v>6</v>
      </c>
      <c r="M67">
        <v>4</v>
      </c>
      <c r="N67">
        <v>9</v>
      </c>
      <c r="O67" s="16">
        <f t="shared" si="4"/>
        <v>2</v>
      </c>
      <c r="P67" s="16">
        <f t="shared" si="5"/>
        <v>3</v>
      </c>
      <c r="Q67">
        <v>14</v>
      </c>
      <c r="R67">
        <v>92</v>
      </c>
      <c r="S67">
        <v>81</v>
      </c>
      <c r="T67">
        <v>98</v>
      </c>
      <c r="U67" s="16">
        <f t="shared" si="6"/>
        <v>11</v>
      </c>
      <c r="V67" s="16">
        <f t="shared" si="7"/>
        <v>6</v>
      </c>
      <c r="W67">
        <v>80</v>
      </c>
      <c r="X67">
        <f>IF('CEA Summary'!$O$4=2, L67, IF('CEA Summary'!$O$4=1, R67))</f>
        <v>6</v>
      </c>
      <c r="Y67" s="53">
        <f>IF('CEA Summary'!$O$4=2, O67, IF('CEA Summary'!$O$4=1, U67))</f>
        <v>2</v>
      </c>
      <c r="Z67" s="53">
        <f>IF('CEA Summary'!$O$4=2, P67, IF('CEA Summary'!$O$4=1, V67))</f>
        <v>3</v>
      </c>
      <c r="AA67" s="53">
        <f>IF('CEA Summary'!$O$4=2, Q67, IF('CEA Summary'!$O$4=1, W67))</f>
        <v>14</v>
      </c>
    </row>
    <row r="68" spans="1:27" x14ac:dyDescent="0.25">
      <c r="A68" t="s">
        <v>73</v>
      </c>
      <c r="B68" t="s">
        <v>197</v>
      </c>
      <c r="C68" s="12">
        <v>38</v>
      </c>
      <c r="D68" s="12">
        <v>32</v>
      </c>
      <c r="E68" s="75">
        <v>0.75</v>
      </c>
      <c r="F68" s="75">
        <v>0.5263158</v>
      </c>
      <c r="G68" s="75">
        <v>0.625</v>
      </c>
      <c r="H68" s="76" t="s">
        <v>734</v>
      </c>
      <c r="I68" s="12" t="s">
        <v>268</v>
      </c>
      <c r="J68" s="69">
        <v>0.65658190000000005</v>
      </c>
      <c r="K68" t="s">
        <v>73</v>
      </c>
      <c r="L68" s="16">
        <v>12</v>
      </c>
      <c r="M68">
        <v>7</v>
      </c>
      <c r="N68">
        <v>34</v>
      </c>
      <c r="O68" s="16">
        <f t="shared" si="4"/>
        <v>5</v>
      </c>
      <c r="P68" s="16">
        <f t="shared" si="5"/>
        <v>22</v>
      </c>
      <c r="Q68">
        <v>14</v>
      </c>
      <c r="R68">
        <v>63</v>
      </c>
      <c r="S68">
        <v>44</v>
      </c>
      <c r="T68">
        <v>79</v>
      </c>
      <c r="U68" s="16">
        <f t="shared" si="6"/>
        <v>19</v>
      </c>
      <c r="V68" s="16">
        <f t="shared" si="7"/>
        <v>16</v>
      </c>
      <c r="W68">
        <v>80</v>
      </c>
      <c r="X68">
        <f>IF('CEA Summary'!$O$4=2, L68, IF('CEA Summary'!$O$4=1, R68))</f>
        <v>12</v>
      </c>
      <c r="Y68" s="53">
        <f>IF('CEA Summary'!$O$4=2, O68, IF('CEA Summary'!$O$4=1, U68))</f>
        <v>5</v>
      </c>
      <c r="Z68" s="53">
        <f>IF('CEA Summary'!$O$4=2, P68, IF('CEA Summary'!$O$4=1, V68))</f>
        <v>22</v>
      </c>
      <c r="AA68" s="53">
        <f>IF('CEA Summary'!$O$4=2, Q68, IF('CEA Summary'!$O$4=1, W68))</f>
        <v>14</v>
      </c>
    </row>
    <row r="69" spans="1:27" x14ac:dyDescent="0.25">
      <c r="A69" t="s">
        <v>133</v>
      </c>
      <c r="B69" t="s">
        <v>134</v>
      </c>
      <c r="C69" s="12">
        <v>44</v>
      </c>
      <c r="D69" s="12">
        <v>44</v>
      </c>
      <c r="E69" s="75">
        <v>0.76744190000000001</v>
      </c>
      <c r="F69" s="75">
        <v>0.47727269999999999</v>
      </c>
      <c r="G69" s="75">
        <v>0.59090909999999996</v>
      </c>
      <c r="H69" s="76" t="s">
        <v>468</v>
      </c>
      <c r="I69" s="12" t="s">
        <v>751</v>
      </c>
      <c r="J69" s="69">
        <v>1.9899610000000001</v>
      </c>
      <c r="K69" t="s">
        <v>133</v>
      </c>
      <c r="L69" s="16">
        <v>12</v>
      </c>
      <c r="M69">
        <v>8</v>
      </c>
      <c r="N69">
        <v>22</v>
      </c>
      <c r="O69" s="16">
        <f t="shared" si="4"/>
        <v>4</v>
      </c>
      <c r="P69" s="16">
        <f t="shared" si="5"/>
        <v>10</v>
      </c>
      <c r="Q69">
        <v>14</v>
      </c>
      <c r="R69">
        <v>59</v>
      </c>
      <c r="S69">
        <v>43</v>
      </c>
      <c r="T69">
        <v>74</v>
      </c>
      <c r="U69" s="16">
        <f t="shared" si="6"/>
        <v>16</v>
      </c>
      <c r="V69" s="16">
        <f t="shared" si="7"/>
        <v>15</v>
      </c>
      <c r="W69">
        <v>80</v>
      </c>
      <c r="X69">
        <f>IF('CEA Summary'!$O$4=2, L69, IF('CEA Summary'!$O$4=1, R69))</f>
        <v>12</v>
      </c>
      <c r="Y69" s="53">
        <f>IF('CEA Summary'!$O$4=2, O69, IF('CEA Summary'!$O$4=1, U69))</f>
        <v>4</v>
      </c>
      <c r="Z69" s="53">
        <f>IF('CEA Summary'!$O$4=2, P69, IF('CEA Summary'!$O$4=1, V69))</f>
        <v>10</v>
      </c>
      <c r="AA69" s="53">
        <f>IF('CEA Summary'!$O$4=2, Q69, IF('CEA Summary'!$O$4=1, W69))</f>
        <v>14</v>
      </c>
    </row>
    <row r="70" spans="1:27" x14ac:dyDescent="0.25">
      <c r="A70" t="s">
        <v>137</v>
      </c>
      <c r="B70" t="s">
        <v>138</v>
      </c>
      <c r="C70" s="12">
        <v>46</v>
      </c>
      <c r="D70" s="12">
        <v>44</v>
      </c>
      <c r="E70" s="75">
        <v>0.81818179999999996</v>
      </c>
      <c r="F70" s="75">
        <v>0.43478260000000002</v>
      </c>
      <c r="G70" s="75">
        <v>0.70454539999999999</v>
      </c>
      <c r="H70" s="76" t="s">
        <v>752</v>
      </c>
      <c r="I70" s="12" t="s">
        <v>211</v>
      </c>
      <c r="J70" s="69">
        <v>2.5983830000000001</v>
      </c>
      <c r="K70" t="s">
        <v>137</v>
      </c>
      <c r="L70" s="16">
        <v>11</v>
      </c>
      <c r="M70">
        <v>6</v>
      </c>
      <c r="N70">
        <v>17</v>
      </c>
      <c r="O70" s="16">
        <f t="shared" si="4"/>
        <v>5</v>
      </c>
      <c r="P70" s="16">
        <f t="shared" si="5"/>
        <v>6</v>
      </c>
      <c r="Q70">
        <v>14</v>
      </c>
      <c r="R70">
        <v>70</v>
      </c>
      <c r="S70">
        <v>55</v>
      </c>
      <c r="T70">
        <v>83</v>
      </c>
      <c r="U70" s="16">
        <f t="shared" si="6"/>
        <v>15</v>
      </c>
      <c r="V70" s="16">
        <f t="shared" si="7"/>
        <v>13</v>
      </c>
      <c r="W70">
        <v>80</v>
      </c>
      <c r="X70">
        <f>IF('CEA Summary'!$O$4=2, L70, IF('CEA Summary'!$O$4=1, R70))</f>
        <v>11</v>
      </c>
      <c r="Y70" s="53">
        <f>IF('CEA Summary'!$O$4=2, O70, IF('CEA Summary'!$O$4=1, U70))</f>
        <v>5</v>
      </c>
      <c r="Z70" s="53">
        <f>IF('CEA Summary'!$O$4=2, P70, IF('CEA Summary'!$O$4=1, V70))</f>
        <v>6</v>
      </c>
      <c r="AA70" s="53">
        <f>IF('CEA Summary'!$O$4=2, Q70, IF('CEA Summary'!$O$4=1, W70))</f>
        <v>14</v>
      </c>
    </row>
    <row r="71" spans="1:27" x14ac:dyDescent="0.25">
      <c r="A71" t="s">
        <v>33</v>
      </c>
      <c r="B71" t="s">
        <v>34</v>
      </c>
      <c r="C71" s="12">
        <v>72</v>
      </c>
      <c r="D71" s="12">
        <v>70</v>
      </c>
      <c r="E71" s="75">
        <v>0.66176469999999998</v>
      </c>
      <c r="F71" s="75">
        <v>0.98591549999999994</v>
      </c>
      <c r="G71" s="75">
        <v>0.73913039999999997</v>
      </c>
      <c r="H71" s="76" t="s">
        <v>722</v>
      </c>
      <c r="I71" s="12" t="s">
        <v>214</v>
      </c>
      <c r="J71" s="69">
        <v>3.270734</v>
      </c>
      <c r="K71" t="s">
        <v>33</v>
      </c>
      <c r="L71" s="16">
        <v>6</v>
      </c>
      <c r="M71">
        <v>3</v>
      </c>
      <c r="N71">
        <v>15</v>
      </c>
      <c r="O71" s="16">
        <f t="shared" si="4"/>
        <v>3</v>
      </c>
      <c r="P71" s="16">
        <f t="shared" si="5"/>
        <v>9</v>
      </c>
      <c r="Q71">
        <v>14</v>
      </c>
      <c r="R71">
        <v>74</v>
      </c>
      <c r="S71">
        <v>62</v>
      </c>
      <c r="T71">
        <v>84</v>
      </c>
      <c r="U71" s="16">
        <f t="shared" si="6"/>
        <v>12</v>
      </c>
      <c r="V71" s="16">
        <f t="shared" si="7"/>
        <v>10</v>
      </c>
      <c r="W71">
        <v>80</v>
      </c>
      <c r="X71">
        <f>IF('CEA Summary'!$O$4=2, L71, IF('CEA Summary'!$O$4=1, R71))</f>
        <v>6</v>
      </c>
      <c r="Y71" s="53">
        <f>IF('CEA Summary'!$O$4=2, O71, IF('CEA Summary'!$O$4=1, U71))</f>
        <v>3</v>
      </c>
      <c r="Z71" s="53">
        <f>IF('CEA Summary'!$O$4=2, P71, IF('CEA Summary'!$O$4=1, V71))</f>
        <v>9</v>
      </c>
      <c r="AA71" s="53">
        <f>IF('CEA Summary'!$O$4=2, Q71, IF('CEA Summary'!$O$4=1, W71))</f>
        <v>14</v>
      </c>
    </row>
  </sheetData>
  <sortState ref="A2:AA72">
    <sortCondition ref="B2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activeCell="E1" sqref="E1"/>
    </sheetView>
  </sheetViews>
  <sheetFormatPr defaultRowHeight="15" x14ac:dyDescent="0.25"/>
  <cols>
    <col min="1" max="3" width="9.140625" style="55"/>
    <col min="4" max="4" width="9.140625" style="31"/>
    <col min="5" max="5" width="9.140625" style="55"/>
  </cols>
  <sheetData>
    <row r="1" spans="1:5" x14ac:dyDescent="0.25">
      <c r="A1" s="31" t="s">
        <v>360</v>
      </c>
      <c r="B1" s="31" t="s">
        <v>361</v>
      </c>
      <c r="C1" s="31" t="s">
        <v>363</v>
      </c>
      <c r="D1" s="31" t="s">
        <v>364</v>
      </c>
      <c r="E1" s="31" t="s">
        <v>415</v>
      </c>
    </row>
    <row r="2" spans="1:5" x14ac:dyDescent="0.25">
      <c r="A2" s="31" t="s">
        <v>362</v>
      </c>
      <c r="B2" s="31">
        <v>0</v>
      </c>
      <c r="C2" s="31">
        <v>40</v>
      </c>
      <c r="D2" s="31">
        <v>2.2000000000000002</v>
      </c>
      <c r="E2"/>
    </row>
    <row r="3" spans="1:5" x14ac:dyDescent="0.25">
      <c r="A3" s="31" t="s">
        <v>362</v>
      </c>
      <c r="B3">
        <v>10</v>
      </c>
      <c r="C3">
        <v>31.208770000000001</v>
      </c>
      <c r="D3" s="31">
        <v>2.2000000000000002</v>
      </c>
      <c r="E3"/>
    </row>
    <row r="4" spans="1:5" x14ac:dyDescent="0.25">
      <c r="A4" s="31" t="s">
        <v>362</v>
      </c>
      <c r="B4">
        <v>11</v>
      </c>
      <c r="C4">
        <v>30.569189999999999</v>
      </c>
      <c r="D4" s="31">
        <v>2.2000000000000002</v>
      </c>
      <c r="E4"/>
    </row>
    <row r="5" spans="1:5" x14ac:dyDescent="0.25">
      <c r="A5" s="31" t="s">
        <v>362</v>
      </c>
      <c r="B5">
        <v>24</v>
      </c>
      <c r="C5">
        <v>18.606010000000001</v>
      </c>
      <c r="D5" s="31">
        <v>2.2000000000000002</v>
      </c>
      <c r="E5"/>
    </row>
    <row r="6" spans="1:5" x14ac:dyDescent="0.25">
      <c r="A6" s="31" t="s">
        <v>362</v>
      </c>
      <c r="B6">
        <v>25</v>
      </c>
      <c r="C6">
        <v>18.238990000000001</v>
      </c>
      <c r="D6" s="31">
        <v>2.2000000000000002</v>
      </c>
      <c r="E6"/>
    </row>
    <row r="7" spans="1:5" x14ac:dyDescent="0.25">
      <c r="A7" s="31" t="s">
        <v>362</v>
      </c>
      <c r="B7">
        <v>37</v>
      </c>
      <c r="C7">
        <v>14.103059999999999</v>
      </c>
      <c r="D7" s="31">
        <v>2.2000000000000002</v>
      </c>
      <c r="E7"/>
    </row>
    <row r="8" spans="1:5" x14ac:dyDescent="0.25">
      <c r="A8" s="31" t="s">
        <v>362</v>
      </c>
      <c r="B8">
        <v>41</v>
      </c>
      <c r="C8">
        <v>13.585380000000001</v>
      </c>
      <c r="D8" s="31">
        <v>2.2000000000000002</v>
      </c>
      <c r="E8"/>
    </row>
    <row r="9" spans="1:5" x14ac:dyDescent="0.25">
      <c r="A9" s="31" t="s">
        <v>362</v>
      </c>
      <c r="B9">
        <v>42</v>
      </c>
      <c r="C9">
        <v>13.410640000000001</v>
      </c>
      <c r="D9" s="31">
        <v>2.2000000000000002</v>
      </c>
      <c r="E9"/>
    </row>
    <row r="10" spans="1:5" x14ac:dyDescent="0.25">
      <c r="A10" s="31" t="s">
        <v>362</v>
      </c>
      <c r="B10">
        <v>46</v>
      </c>
      <c r="C10">
        <v>12.652839999999999</v>
      </c>
      <c r="D10" s="31">
        <v>2.2000000000000002</v>
      </c>
      <c r="E10"/>
    </row>
    <row r="11" spans="1:5" x14ac:dyDescent="0.25">
      <c r="A11" s="31" t="s">
        <v>362</v>
      </c>
      <c r="B11">
        <v>50</v>
      </c>
      <c r="C11">
        <v>11.888439999999999</v>
      </c>
      <c r="D11" s="31">
        <v>2.2000000000000002</v>
      </c>
      <c r="E11"/>
    </row>
    <row r="12" spans="1:5" x14ac:dyDescent="0.25">
      <c r="A12" s="31" t="s">
        <v>362</v>
      </c>
      <c r="B12">
        <v>56</v>
      </c>
      <c r="C12">
        <v>11.34187</v>
      </c>
      <c r="D12" s="31">
        <v>2.2000000000000002</v>
      </c>
      <c r="E12"/>
    </row>
    <row r="13" spans="1:5" x14ac:dyDescent="0.25">
      <c r="A13" s="31" t="s">
        <v>362</v>
      </c>
      <c r="B13">
        <v>68</v>
      </c>
      <c r="C13">
        <v>10.17037</v>
      </c>
      <c r="D13" s="31">
        <v>2.2000000000000002</v>
      </c>
      <c r="E13"/>
    </row>
    <row r="14" spans="1:5" x14ac:dyDescent="0.25">
      <c r="A14" s="31" t="s">
        <v>362</v>
      </c>
      <c r="B14">
        <v>73</v>
      </c>
      <c r="C14">
        <v>9.7816469999999995</v>
      </c>
      <c r="D14" s="31">
        <v>2.2000000000000002</v>
      </c>
      <c r="E14"/>
    </row>
    <row r="15" spans="1:5" x14ac:dyDescent="0.25">
      <c r="A15" s="31" t="s">
        <v>362</v>
      </c>
      <c r="B15">
        <v>75</v>
      </c>
      <c r="C15">
        <v>9.7355809999999998</v>
      </c>
      <c r="D15" s="31">
        <v>2.2000000000000002</v>
      </c>
      <c r="E15"/>
    </row>
    <row r="16" spans="1:5" x14ac:dyDescent="0.25">
      <c r="A16" s="31" t="s">
        <v>362</v>
      </c>
      <c r="B16">
        <v>80</v>
      </c>
      <c r="C16">
        <v>9.5020640000000007</v>
      </c>
      <c r="D16" s="31">
        <v>2.2000000000000002</v>
      </c>
      <c r="E16"/>
    </row>
    <row r="17" spans="1:5" x14ac:dyDescent="0.25">
      <c r="A17" s="31" t="s">
        <v>362</v>
      </c>
      <c r="B17">
        <v>84</v>
      </c>
      <c r="C17">
        <v>9.2492420000000006</v>
      </c>
      <c r="D17" s="31">
        <v>2.2000000000000002</v>
      </c>
      <c r="E17"/>
    </row>
    <row r="18" spans="1:5" x14ac:dyDescent="0.25">
      <c r="A18" s="31" t="s">
        <v>362</v>
      </c>
      <c r="B18">
        <v>86</v>
      </c>
      <c r="C18">
        <v>9.1124749999999999</v>
      </c>
      <c r="D18" s="31">
        <v>2.2000000000000002</v>
      </c>
      <c r="E18"/>
    </row>
    <row r="19" spans="1:5" x14ac:dyDescent="0.25">
      <c r="A19" s="31" t="s">
        <v>362</v>
      </c>
      <c r="B19">
        <v>90</v>
      </c>
      <c r="C19">
        <v>8.8305530000000001</v>
      </c>
      <c r="D19" s="31">
        <v>2.2000000000000002</v>
      </c>
      <c r="E19"/>
    </row>
    <row r="20" spans="1:5" x14ac:dyDescent="0.25">
      <c r="A20" s="31" t="s">
        <v>362</v>
      </c>
      <c r="B20">
        <v>92</v>
      </c>
      <c r="C20">
        <v>8.6885980000000007</v>
      </c>
      <c r="D20" s="31">
        <v>2.2000000000000002</v>
      </c>
      <c r="E20"/>
    </row>
    <row r="21" spans="1:5" x14ac:dyDescent="0.25">
      <c r="A21" s="31" t="s">
        <v>362</v>
      </c>
      <c r="B21">
        <v>97</v>
      </c>
      <c r="C21">
        <v>8.6097210000000004</v>
      </c>
      <c r="D21" s="31">
        <v>2.2000000000000002</v>
      </c>
      <c r="E21"/>
    </row>
    <row r="22" spans="1:5" x14ac:dyDescent="0.25">
      <c r="A22" s="31" t="s">
        <v>362</v>
      </c>
      <c r="B22">
        <v>105</v>
      </c>
      <c r="C22">
        <v>8.3185739999999999</v>
      </c>
      <c r="D22" s="31">
        <v>2.2000000000000002</v>
      </c>
      <c r="E22"/>
    </row>
    <row r="23" spans="1:5" x14ac:dyDescent="0.25">
      <c r="A23" s="31" t="s">
        <v>362</v>
      </c>
      <c r="B23">
        <v>107</v>
      </c>
      <c r="C23">
        <v>8.2270909999999997</v>
      </c>
      <c r="D23" s="31">
        <v>2.2000000000000002</v>
      </c>
      <c r="E23"/>
    </row>
    <row r="24" spans="1:5" x14ac:dyDescent="0.25">
      <c r="A24" s="31" t="s">
        <v>362</v>
      </c>
      <c r="B24">
        <v>110</v>
      </c>
      <c r="C24">
        <v>8.0833460000000006</v>
      </c>
      <c r="D24" s="31">
        <v>2.2000000000000002</v>
      </c>
      <c r="E24"/>
    </row>
    <row r="25" spans="1:5" x14ac:dyDescent="0.25">
      <c r="A25" s="31" t="s">
        <v>362</v>
      </c>
      <c r="B25">
        <v>111</v>
      </c>
      <c r="C25">
        <v>8.0342920000000007</v>
      </c>
      <c r="D25" s="31">
        <v>2.2000000000000002</v>
      </c>
      <c r="E25"/>
    </row>
    <row r="26" spans="1:5" x14ac:dyDescent="0.25">
      <c r="A26" s="31" t="s">
        <v>362</v>
      </c>
      <c r="B26">
        <v>113</v>
      </c>
      <c r="C26">
        <v>7.9351859999999999</v>
      </c>
      <c r="D26" s="31">
        <v>2.2000000000000002</v>
      </c>
      <c r="E26"/>
    </row>
    <row r="27" spans="1:5" x14ac:dyDescent="0.25">
      <c r="A27" s="31" t="s">
        <v>362</v>
      </c>
      <c r="B27">
        <v>115</v>
      </c>
      <c r="C27">
        <v>7.8608989999999999</v>
      </c>
      <c r="D27" s="31">
        <v>2.2000000000000002</v>
      </c>
      <c r="E27"/>
    </row>
    <row r="28" spans="1:5" x14ac:dyDescent="0.25">
      <c r="A28" s="31" t="s">
        <v>362</v>
      </c>
      <c r="B28">
        <v>116</v>
      </c>
      <c r="C28">
        <v>7.8580540000000001</v>
      </c>
      <c r="D28" s="31">
        <v>2.2000000000000002</v>
      </c>
      <c r="E28"/>
    </row>
    <row r="29" spans="1:5" x14ac:dyDescent="0.25">
      <c r="A29" s="31" t="s">
        <v>362</v>
      </c>
      <c r="B29">
        <v>119</v>
      </c>
      <c r="C29">
        <v>7.8265149999999997</v>
      </c>
      <c r="D29" s="31">
        <v>2.2000000000000002</v>
      </c>
      <c r="E29"/>
    </row>
    <row r="30" spans="1:5" x14ac:dyDescent="0.25">
      <c r="A30" s="31" t="s">
        <v>362</v>
      </c>
      <c r="B30">
        <v>124</v>
      </c>
      <c r="C30">
        <v>7.718375</v>
      </c>
      <c r="D30" s="31">
        <v>2.2000000000000002</v>
      </c>
      <c r="E30"/>
    </row>
    <row r="31" spans="1:5" x14ac:dyDescent="0.25">
      <c r="A31" s="31" t="s">
        <v>362</v>
      </c>
      <c r="B31">
        <v>125</v>
      </c>
      <c r="C31">
        <v>7.6908640000000004</v>
      </c>
      <c r="D31" s="31">
        <v>2.2000000000000002</v>
      </c>
      <c r="E31"/>
    </row>
    <row r="32" spans="1:5" x14ac:dyDescent="0.25">
      <c r="A32" s="31" t="s">
        <v>362</v>
      </c>
      <c r="B32">
        <v>130</v>
      </c>
      <c r="C32">
        <v>7.534446</v>
      </c>
      <c r="D32" s="31">
        <v>2.2000000000000002</v>
      </c>
      <c r="E32"/>
    </row>
    <row r="33" spans="1:5" x14ac:dyDescent="0.25">
      <c r="A33" s="31" t="s">
        <v>362</v>
      </c>
      <c r="B33">
        <v>132</v>
      </c>
      <c r="C33">
        <v>7.4656539999999998</v>
      </c>
      <c r="D33" s="31">
        <v>2.2000000000000002</v>
      </c>
      <c r="E33"/>
    </row>
    <row r="34" spans="1:5" x14ac:dyDescent="0.25">
      <c r="A34" s="31" t="s">
        <v>362</v>
      </c>
      <c r="B34">
        <v>133</v>
      </c>
      <c r="C34">
        <v>7.4303670000000004</v>
      </c>
      <c r="D34" s="31">
        <v>2.2000000000000002</v>
      </c>
      <c r="E34"/>
    </row>
    <row r="35" spans="1:5" x14ac:dyDescent="0.25">
      <c r="A35" s="31" t="s">
        <v>362</v>
      </c>
      <c r="B35">
        <v>136</v>
      </c>
      <c r="C35">
        <v>7.3219459999999996</v>
      </c>
      <c r="D35" s="31">
        <v>2.2000000000000002</v>
      </c>
      <c r="E35"/>
    </row>
    <row r="36" spans="1:5" x14ac:dyDescent="0.25">
      <c r="A36" s="31" t="s">
        <v>362</v>
      </c>
      <c r="B36">
        <v>139</v>
      </c>
      <c r="C36">
        <v>7.2520040000000003</v>
      </c>
      <c r="D36" s="31">
        <v>2.2000000000000002</v>
      </c>
      <c r="E36"/>
    </row>
    <row r="37" spans="1:5" x14ac:dyDescent="0.25">
      <c r="A37" s="31" t="s">
        <v>362</v>
      </c>
      <c r="B37">
        <v>141</v>
      </c>
      <c r="C37">
        <v>7.2419739999999999</v>
      </c>
      <c r="D37" s="31">
        <v>2.2000000000000002</v>
      </c>
      <c r="E37"/>
    </row>
    <row r="38" spans="1:5" x14ac:dyDescent="0.25">
      <c r="A38" s="31" t="s">
        <v>362</v>
      </c>
      <c r="B38">
        <v>143</v>
      </c>
      <c r="C38">
        <v>7.2222179999999998</v>
      </c>
      <c r="D38" s="31">
        <v>2.2000000000000002</v>
      </c>
      <c r="E38"/>
    </row>
    <row r="39" spans="1:5" x14ac:dyDescent="0.25">
      <c r="A39" s="31" t="s">
        <v>362</v>
      </c>
      <c r="B39">
        <v>144</v>
      </c>
      <c r="C39">
        <v>7.209238</v>
      </c>
      <c r="D39" s="31">
        <v>2.2000000000000002</v>
      </c>
      <c r="E39"/>
    </row>
    <row r="40" spans="1:5" x14ac:dyDescent="0.25">
      <c r="A40" s="31" t="s">
        <v>362</v>
      </c>
      <c r="B40">
        <v>152</v>
      </c>
      <c r="C40">
        <v>7.052664</v>
      </c>
      <c r="D40" s="31">
        <v>2.2000000000000002</v>
      </c>
      <c r="E40"/>
    </row>
    <row r="41" spans="1:5" x14ac:dyDescent="0.25">
      <c r="A41" s="31" t="s">
        <v>362</v>
      </c>
      <c r="B41">
        <v>153</v>
      </c>
      <c r="C41">
        <v>7.028403</v>
      </c>
      <c r="D41" s="31">
        <v>2.2000000000000002</v>
      </c>
      <c r="E41"/>
    </row>
    <row r="42" spans="1:5" x14ac:dyDescent="0.25">
      <c r="A42" s="31" t="s">
        <v>362</v>
      </c>
      <c r="B42">
        <v>154</v>
      </c>
      <c r="C42">
        <v>7.003431</v>
      </c>
      <c r="D42" s="31">
        <v>2.2000000000000002</v>
      </c>
      <c r="E42"/>
    </row>
    <row r="43" spans="1:5" x14ac:dyDescent="0.25">
      <c r="A43" s="31" t="s">
        <v>362</v>
      </c>
      <c r="B43">
        <v>159</v>
      </c>
      <c r="C43">
        <v>6.8704070000000002</v>
      </c>
      <c r="D43" s="31">
        <v>2.2000000000000002</v>
      </c>
      <c r="E43"/>
    </row>
    <row r="44" spans="1:5" x14ac:dyDescent="0.25">
      <c r="A44" s="31" t="s">
        <v>362</v>
      </c>
      <c r="B44">
        <v>161</v>
      </c>
      <c r="C44">
        <v>6.8144929999999997</v>
      </c>
      <c r="D44" s="31">
        <v>2.2000000000000002</v>
      </c>
      <c r="E44"/>
    </row>
    <row r="45" spans="1:5" x14ac:dyDescent="0.25">
      <c r="A45" s="31" t="s">
        <v>362</v>
      </c>
      <c r="B45">
        <v>164</v>
      </c>
      <c r="C45">
        <v>6.7759600000000004</v>
      </c>
      <c r="D45" s="31">
        <v>2.2000000000000002</v>
      </c>
      <c r="E45"/>
    </row>
    <row r="46" spans="1:5" x14ac:dyDescent="0.25">
      <c r="A46" s="31" t="s">
        <v>362</v>
      </c>
      <c r="B46">
        <v>165</v>
      </c>
      <c r="C46">
        <v>6.7721790000000004</v>
      </c>
      <c r="D46" s="31">
        <v>2.2000000000000002</v>
      </c>
      <c r="E46"/>
    </row>
    <row r="47" spans="1:5" x14ac:dyDescent="0.25">
      <c r="A47" s="31" t="s">
        <v>362</v>
      </c>
      <c r="B47">
        <v>172</v>
      </c>
      <c r="C47">
        <v>6.7016289999999996</v>
      </c>
      <c r="D47" s="31">
        <v>2.2000000000000002</v>
      </c>
      <c r="E47"/>
    </row>
    <row r="48" spans="1:5" x14ac:dyDescent="0.25">
      <c r="A48" s="31" t="s">
        <v>362</v>
      </c>
      <c r="B48">
        <v>179</v>
      </c>
      <c r="C48">
        <v>6.5802290000000001</v>
      </c>
      <c r="D48" s="31">
        <v>2.2000000000000002</v>
      </c>
      <c r="E48"/>
    </row>
    <row r="49" spans="1:5" x14ac:dyDescent="0.25">
      <c r="A49" s="31" t="s">
        <v>362</v>
      </c>
      <c r="B49">
        <v>181</v>
      </c>
      <c r="C49">
        <v>6.5399089999999998</v>
      </c>
      <c r="D49" s="31">
        <v>2.2000000000000002</v>
      </c>
      <c r="E49"/>
    </row>
    <row r="50" spans="1:5" x14ac:dyDescent="0.25">
      <c r="A50" s="31" t="s">
        <v>362</v>
      </c>
      <c r="B50">
        <v>184</v>
      </c>
      <c r="C50">
        <v>6.4763210000000004</v>
      </c>
      <c r="D50" s="31">
        <v>2.2000000000000002</v>
      </c>
      <c r="E50"/>
    </row>
    <row r="51" spans="1:5" x14ac:dyDescent="0.25">
      <c r="A51" s="31" t="s">
        <v>362</v>
      </c>
      <c r="B51">
        <v>187</v>
      </c>
      <c r="C51">
        <v>6.4099510000000004</v>
      </c>
      <c r="D51" s="31">
        <v>2.2000000000000002</v>
      </c>
      <c r="E51"/>
    </row>
    <row r="52" spans="1:5" x14ac:dyDescent="0.25">
      <c r="A52" s="31" t="s">
        <v>362</v>
      </c>
      <c r="B52">
        <v>188</v>
      </c>
      <c r="C52">
        <v>6.3962260000000004</v>
      </c>
      <c r="D52" s="31">
        <v>2.2000000000000002</v>
      </c>
      <c r="E52"/>
    </row>
    <row r="53" spans="1:5" x14ac:dyDescent="0.25">
      <c r="A53" s="31" t="s">
        <v>362</v>
      </c>
      <c r="B53">
        <v>219</v>
      </c>
      <c r="C53">
        <v>6.0689630000000001</v>
      </c>
      <c r="D53" s="31">
        <v>2.2000000000000002</v>
      </c>
      <c r="E53"/>
    </row>
    <row r="54" spans="1:5" x14ac:dyDescent="0.25">
      <c r="A54" s="31" t="s">
        <v>362</v>
      </c>
      <c r="B54">
        <v>221</v>
      </c>
      <c r="C54">
        <v>6.0566120000000003</v>
      </c>
      <c r="D54" s="31">
        <v>2.2000000000000002</v>
      </c>
      <c r="E54"/>
    </row>
    <row r="55" spans="1:5" x14ac:dyDescent="0.25">
      <c r="A55" s="31" t="s">
        <v>362</v>
      </c>
      <c r="B55">
        <v>232</v>
      </c>
      <c r="C55">
        <v>5.9419279999999999</v>
      </c>
      <c r="D55" s="31">
        <v>2.2000000000000002</v>
      </c>
      <c r="E55"/>
    </row>
    <row r="56" spans="1:5" x14ac:dyDescent="0.25">
      <c r="A56" s="31" t="s">
        <v>362</v>
      </c>
      <c r="B56">
        <v>233</v>
      </c>
      <c r="C56">
        <v>5.9287130000000001</v>
      </c>
      <c r="D56" s="31">
        <v>2.2000000000000002</v>
      </c>
      <c r="E56"/>
    </row>
    <row r="57" spans="1:5" x14ac:dyDescent="0.25">
      <c r="A57" s="31" t="s">
        <v>362</v>
      </c>
      <c r="B57">
        <v>236</v>
      </c>
      <c r="C57">
        <v>5.8872010000000001</v>
      </c>
      <c r="D57" s="31">
        <v>2.2000000000000002</v>
      </c>
      <c r="E57"/>
    </row>
    <row r="58" spans="1:5" x14ac:dyDescent="0.25">
      <c r="A58" s="31" t="s">
        <v>362</v>
      </c>
      <c r="B58">
        <v>239</v>
      </c>
      <c r="C58">
        <v>5.843375</v>
      </c>
      <c r="D58" s="31">
        <v>2.2000000000000002</v>
      </c>
      <c r="E58"/>
    </row>
    <row r="59" spans="1:5" x14ac:dyDescent="0.25">
      <c r="A59" s="31" t="s">
        <v>362</v>
      </c>
      <c r="B59">
        <v>241</v>
      </c>
      <c r="C59">
        <v>5.820093</v>
      </c>
      <c r="D59" s="31">
        <v>2.2000000000000002</v>
      </c>
      <c r="E59"/>
    </row>
    <row r="60" spans="1:5" x14ac:dyDescent="0.25">
      <c r="A60" s="31" t="s">
        <v>362</v>
      </c>
      <c r="B60">
        <v>243</v>
      </c>
      <c r="C60">
        <v>5.8180579999999997</v>
      </c>
      <c r="D60" s="31">
        <v>2.2000000000000002</v>
      </c>
      <c r="E60"/>
    </row>
    <row r="61" spans="1:5" x14ac:dyDescent="0.25">
      <c r="A61" s="31" t="s">
        <v>362</v>
      </c>
      <c r="B61">
        <v>250</v>
      </c>
      <c r="C61">
        <v>5.7856490000000003</v>
      </c>
      <c r="D61" s="31">
        <v>2.2000000000000002</v>
      </c>
      <c r="E61"/>
    </row>
    <row r="62" spans="1:5" x14ac:dyDescent="0.25">
      <c r="A62" s="31" t="s">
        <v>362</v>
      </c>
      <c r="B62">
        <v>252</v>
      </c>
      <c r="C62">
        <v>5.7706739999999996</v>
      </c>
      <c r="D62" s="31">
        <v>2.2000000000000002</v>
      </c>
      <c r="E62"/>
    </row>
    <row r="63" spans="1:5" x14ac:dyDescent="0.25">
      <c r="A63" s="31" t="s">
        <v>362</v>
      </c>
      <c r="B63">
        <v>259</v>
      </c>
      <c r="C63">
        <v>5.7041539999999999</v>
      </c>
      <c r="D63" s="31">
        <v>2.2000000000000002</v>
      </c>
      <c r="E63"/>
    </row>
    <row r="64" spans="1:5" x14ac:dyDescent="0.25">
      <c r="A64" s="31" t="s">
        <v>362</v>
      </c>
      <c r="B64">
        <v>278</v>
      </c>
      <c r="C64">
        <v>5.5656369999999997</v>
      </c>
      <c r="D64" s="31">
        <v>2.2000000000000002</v>
      </c>
      <c r="E64"/>
    </row>
    <row r="65" spans="1:5" x14ac:dyDescent="0.25">
      <c r="A65" s="31" t="s">
        <v>362</v>
      </c>
      <c r="B65">
        <v>298</v>
      </c>
      <c r="C65">
        <v>5.4038329999999997</v>
      </c>
      <c r="D65" s="31">
        <v>2.2000000000000002</v>
      </c>
      <c r="E65"/>
    </row>
    <row r="66" spans="1:5" x14ac:dyDescent="0.25">
      <c r="A66" s="31" t="s">
        <v>362</v>
      </c>
      <c r="B66">
        <v>312</v>
      </c>
      <c r="C66">
        <v>5.3426970000000003</v>
      </c>
      <c r="D66" s="31">
        <v>2.2000000000000002</v>
      </c>
      <c r="E66">
        <v>8.9740000000000002E-4</v>
      </c>
    </row>
    <row r="67" spans="1:5" x14ac:dyDescent="0.25">
      <c r="A67" s="31" t="s">
        <v>362</v>
      </c>
      <c r="B67">
        <v>325</v>
      </c>
      <c r="C67">
        <v>5.2371090000000002</v>
      </c>
      <c r="D67" s="31">
        <v>2.2000000000000002</v>
      </c>
      <c r="E67">
        <v>1.5213900000000001E-2</v>
      </c>
    </row>
    <row r="68" spans="1:5" x14ac:dyDescent="0.25">
      <c r="A68" s="31" t="s">
        <v>362</v>
      </c>
      <c r="B68">
        <v>397</v>
      </c>
      <c r="C68">
        <v>4.9290570000000002</v>
      </c>
      <c r="D68" s="31">
        <v>2.2000000000000002</v>
      </c>
      <c r="E68">
        <v>0.1619468</v>
      </c>
    </row>
    <row r="69" spans="1:5" x14ac:dyDescent="0.25">
      <c r="A69" s="31" t="s">
        <v>362</v>
      </c>
      <c r="B69">
        <v>401</v>
      </c>
      <c r="C69">
        <v>4.9112349999999996</v>
      </c>
      <c r="D69" s="31">
        <v>2.2000000000000002</v>
      </c>
      <c r="E69">
        <v>0.17604649999999999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2" workbookViewId="0">
      <selection activeCell="C2" sqref="C2"/>
    </sheetView>
  </sheetViews>
  <sheetFormatPr defaultRowHeight="15" x14ac:dyDescent="0.25"/>
  <cols>
    <col min="1" max="1" width="10.42578125" bestFit="1" customWidth="1"/>
    <col min="2" max="2" width="9.7109375" bestFit="1" customWidth="1"/>
    <col min="3" max="3" width="15.42578125" bestFit="1" customWidth="1"/>
  </cols>
  <sheetData>
    <row r="1" spans="1:3" x14ac:dyDescent="0.25">
      <c r="A1" s="86" t="s">
        <v>365</v>
      </c>
      <c r="B1" s="86" t="s">
        <v>366</v>
      </c>
      <c r="C1" s="86" t="s">
        <v>367</v>
      </c>
    </row>
    <row r="2" spans="1:3" x14ac:dyDescent="0.25">
      <c r="A2" t="s">
        <v>0</v>
      </c>
      <c r="B2" s="86">
        <v>75</v>
      </c>
      <c r="C2" s="36">
        <v>4.7</v>
      </c>
    </row>
    <row r="3" spans="1:3" x14ac:dyDescent="0.25">
      <c r="A3" t="s">
        <v>2</v>
      </c>
      <c r="B3" s="86">
        <v>232</v>
      </c>
      <c r="C3" s="36">
        <v>2.5</v>
      </c>
    </row>
    <row r="4" spans="1:3" x14ac:dyDescent="0.25">
      <c r="A4" t="s">
        <v>3</v>
      </c>
      <c r="B4" s="86">
        <v>24</v>
      </c>
      <c r="C4" s="36">
        <v>4.5</v>
      </c>
    </row>
    <row r="5" spans="1:3" x14ac:dyDescent="0.25">
      <c r="A5" t="s">
        <v>7</v>
      </c>
      <c r="B5" s="86">
        <v>113</v>
      </c>
      <c r="C5" s="36">
        <v>3</v>
      </c>
    </row>
    <row r="6" spans="1:3" x14ac:dyDescent="0.25">
      <c r="A6" t="s">
        <v>9</v>
      </c>
      <c r="B6" s="86">
        <v>397</v>
      </c>
      <c r="C6" s="36">
        <v>1.9</v>
      </c>
    </row>
    <row r="7" spans="1:3" x14ac:dyDescent="0.25">
      <c r="A7" t="s">
        <v>674</v>
      </c>
      <c r="B7" s="86">
        <v>130</v>
      </c>
      <c r="C7" s="36">
        <v>0.7</v>
      </c>
    </row>
    <row r="8" spans="1:3" x14ac:dyDescent="0.25">
      <c r="A8" t="s">
        <v>677</v>
      </c>
      <c r="B8" s="86">
        <v>136</v>
      </c>
      <c r="C8" s="36">
        <v>0</v>
      </c>
    </row>
    <row r="9" spans="1:3" x14ac:dyDescent="0.25">
      <c r="A9" t="s">
        <v>11</v>
      </c>
      <c r="B9" s="86">
        <v>68</v>
      </c>
      <c r="C9" s="36">
        <v>7.8</v>
      </c>
    </row>
    <row r="10" spans="1:3" x14ac:dyDescent="0.25">
      <c r="A10" t="s">
        <v>13</v>
      </c>
      <c r="B10" s="86">
        <v>124</v>
      </c>
      <c r="C10" s="36">
        <v>2.8</v>
      </c>
    </row>
    <row r="11" spans="1:3" x14ac:dyDescent="0.25">
      <c r="A11" t="s">
        <v>15</v>
      </c>
      <c r="B11" s="86">
        <v>25</v>
      </c>
      <c r="C11" s="36">
        <v>0</v>
      </c>
    </row>
    <row r="12" spans="1:3" x14ac:dyDescent="0.25">
      <c r="A12" t="s">
        <v>17</v>
      </c>
      <c r="B12" s="86">
        <v>84</v>
      </c>
      <c r="C12" s="36">
        <v>1.4</v>
      </c>
    </row>
    <row r="13" spans="1:3" x14ac:dyDescent="0.25">
      <c r="A13" t="s">
        <v>19</v>
      </c>
      <c r="B13" s="86">
        <v>278</v>
      </c>
      <c r="C13" s="36">
        <v>2.2999999999999998</v>
      </c>
    </row>
    <row r="14" spans="1:3" x14ac:dyDescent="0.25">
      <c r="A14" t="s">
        <v>21</v>
      </c>
      <c r="B14" s="86">
        <v>73</v>
      </c>
      <c r="C14" s="36">
        <v>2.2999999999999998</v>
      </c>
    </row>
    <row r="15" spans="1:3" x14ac:dyDescent="0.25">
      <c r="A15" t="s">
        <v>31</v>
      </c>
      <c r="B15" s="86">
        <v>152</v>
      </c>
      <c r="C15" s="36">
        <v>2.2000000000000002</v>
      </c>
    </row>
    <row r="16" spans="1:3" x14ac:dyDescent="0.25">
      <c r="A16" t="s">
        <v>33</v>
      </c>
      <c r="B16" s="86">
        <v>298</v>
      </c>
      <c r="C16" s="36">
        <v>3.3</v>
      </c>
    </row>
    <row r="17" spans="1:3" x14ac:dyDescent="0.25">
      <c r="A17" t="s">
        <v>37</v>
      </c>
      <c r="B17" s="86">
        <v>179</v>
      </c>
      <c r="C17" s="36">
        <v>4.4000000000000004</v>
      </c>
    </row>
    <row r="18" spans="1:3" x14ac:dyDescent="0.25">
      <c r="A18" t="s">
        <v>38</v>
      </c>
      <c r="B18" s="86">
        <v>133</v>
      </c>
      <c r="C18" s="36">
        <v>1.3</v>
      </c>
    </row>
    <row r="19" spans="1:3" x14ac:dyDescent="0.25">
      <c r="A19" t="s">
        <v>42</v>
      </c>
      <c r="B19" s="86">
        <v>116</v>
      </c>
      <c r="C19" s="36">
        <v>1.7</v>
      </c>
    </row>
    <row r="20" spans="1:3" x14ac:dyDescent="0.25">
      <c r="A20" t="s">
        <v>44</v>
      </c>
      <c r="B20" s="86">
        <v>312</v>
      </c>
      <c r="C20" s="36">
        <v>2.2999999999999998</v>
      </c>
    </row>
    <row r="21" spans="1:3" x14ac:dyDescent="0.25">
      <c r="A21" t="s">
        <v>45</v>
      </c>
      <c r="B21" s="86">
        <v>116</v>
      </c>
      <c r="C21" s="36">
        <v>1.6</v>
      </c>
    </row>
    <row r="22" spans="1:3" x14ac:dyDescent="0.25">
      <c r="A22" t="s">
        <v>51</v>
      </c>
      <c r="B22" s="86">
        <v>241</v>
      </c>
      <c r="C22" s="36">
        <v>0.9</v>
      </c>
    </row>
    <row r="23" spans="1:3" x14ac:dyDescent="0.25">
      <c r="A23" t="s">
        <v>689</v>
      </c>
      <c r="B23" s="86">
        <v>219</v>
      </c>
      <c r="C23" s="36">
        <v>1.3</v>
      </c>
    </row>
    <row r="24" spans="1:3" x14ac:dyDescent="0.25">
      <c r="A24" t="s">
        <v>53</v>
      </c>
      <c r="B24" s="86">
        <v>115</v>
      </c>
      <c r="C24" s="36">
        <v>0.9</v>
      </c>
    </row>
    <row r="25" spans="1:3" x14ac:dyDescent="0.25">
      <c r="A25" t="s">
        <v>55</v>
      </c>
      <c r="B25" s="86">
        <v>233</v>
      </c>
      <c r="C25" s="36">
        <v>0.9</v>
      </c>
    </row>
    <row r="26" spans="1:3" x14ac:dyDescent="0.25">
      <c r="A26" t="s">
        <v>57</v>
      </c>
      <c r="B26" s="86">
        <v>107</v>
      </c>
      <c r="C26" s="36">
        <v>2.2999999999999998</v>
      </c>
    </row>
    <row r="27" spans="1:3" x14ac:dyDescent="0.25">
      <c r="A27" t="s">
        <v>63</v>
      </c>
      <c r="B27" s="86">
        <v>143</v>
      </c>
      <c r="C27" s="36">
        <v>1.9</v>
      </c>
    </row>
    <row r="28" spans="1:3" x14ac:dyDescent="0.25">
      <c r="A28" t="s">
        <v>65</v>
      </c>
      <c r="B28" s="86">
        <v>141</v>
      </c>
      <c r="C28" s="36">
        <v>2.1</v>
      </c>
    </row>
    <row r="29" spans="1:3" x14ac:dyDescent="0.25">
      <c r="A29" t="s">
        <v>67</v>
      </c>
      <c r="B29" s="86">
        <v>164</v>
      </c>
      <c r="C29" s="36">
        <v>4.9000000000000004</v>
      </c>
    </row>
    <row r="30" spans="1:3" x14ac:dyDescent="0.25">
      <c r="A30" t="s">
        <v>69</v>
      </c>
      <c r="B30" s="86">
        <v>236</v>
      </c>
      <c r="C30" s="36">
        <v>0.9</v>
      </c>
    </row>
    <row r="31" spans="1:3" x14ac:dyDescent="0.25">
      <c r="A31" t="s">
        <v>71</v>
      </c>
      <c r="B31" s="86">
        <v>239</v>
      </c>
      <c r="C31" s="36">
        <v>0.7</v>
      </c>
    </row>
    <row r="32" spans="1:3" x14ac:dyDescent="0.25">
      <c r="A32" t="s">
        <v>73</v>
      </c>
      <c r="B32" s="86">
        <v>161</v>
      </c>
      <c r="C32" s="36">
        <v>0.7</v>
      </c>
    </row>
    <row r="33" spans="1:3" x14ac:dyDescent="0.25">
      <c r="A33" t="s">
        <v>74</v>
      </c>
      <c r="B33" s="86">
        <v>139</v>
      </c>
      <c r="C33" s="36">
        <v>1.6</v>
      </c>
    </row>
    <row r="34" spans="1:3" x14ac:dyDescent="0.25">
      <c r="A34" t="s">
        <v>80</v>
      </c>
      <c r="B34" s="86">
        <v>188</v>
      </c>
      <c r="C34" s="36">
        <v>4.3</v>
      </c>
    </row>
    <row r="35" spans="1:3" x14ac:dyDescent="0.25">
      <c r="A35" t="s">
        <v>84</v>
      </c>
      <c r="B35" s="86">
        <v>144</v>
      </c>
      <c r="C35" s="36">
        <v>1.9</v>
      </c>
    </row>
    <row r="36" spans="1:3" x14ac:dyDescent="0.25">
      <c r="A36" t="s">
        <v>86</v>
      </c>
      <c r="B36" s="86">
        <v>110</v>
      </c>
      <c r="C36" s="36">
        <v>0.8</v>
      </c>
    </row>
    <row r="37" spans="1:3" x14ac:dyDescent="0.25">
      <c r="A37" t="s">
        <v>88</v>
      </c>
      <c r="B37" s="86">
        <v>115</v>
      </c>
      <c r="C37" s="36">
        <v>1</v>
      </c>
    </row>
    <row r="38" spans="1:3" x14ac:dyDescent="0.25">
      <c r="A38" t="s">
        <v>90</v>
      </c>
      <c r="B38" s="86">
        <v>130</v>
      </c>
      <c r="C38" s="36">
        <v>0.7</v>
      </c>
    </row>
    <row r="39" spans="1:3" x14ac:dyDescent="0.25">
      <c r="A39" t="s">
        <v>92</v>
      </c>
      <c r="B39" s="86">
        <v>42</v>
      </c>
      <c r="C39" s="36">
        <v>3</v>
      </c>
    </row>
    <row r="40" spans="1:3" x14ac:dyDescent="0.25">
      <c r="A40" t="s">
        <v>102</v>
      </c>
      <c r="B40" s="86">
        <v>113</v>
      </c>
      <c r="C40" s="36">
        <v>5.6</v>
      </c>
    </row>
    <row r="41" spans="1:3" x14ac:dyDescent="0.25">
      <c r="A41" t="s">
        <v>104</v>
      </c>
      <c r="B41" s="86">
        <v>187</v>
      </c>
      <c r="C41" s="36">
        <v>1.8</v>
      </c>
    </row>
    <row r="42" spans="1:3" x14ac:dyDescent="0.25">
      <c r="A42" t="s">
        <v>106</v>
      </c>
      <c r="B42" s="86">
        <v>154</v>
      </c>
      <c r="C42" s="36">
        <v>4.3</v>
      </c>
    </row>
    <row r="43" spans="1:3" x14ac:dyDescent="0.25">
      <c r="A43" t="s">
        <v>108</v>
      </c>
      <c r="B43" s="86">
        <v>11</v>
      </c>
      <c r="C43" s="36">
        <v>8.9</v>
      </c>
    </row>
    <row r="44" spans="1:3" x14ac:dyDescent="0.25">
      <c r="A44" t="s">
        <v>110</v>
      </c>
      <c r="B44" s="86">
        <v>232</v>
      </c>
      <c r="C44" s="36">
        <v>2.1</v>
      </c>
    </row>
    <row r="45" spans="1:3" x14ac:dyDescent="0.25">
      <c r="A45" t="s">
        <v>112</v>
      </c>
      <c r="B45" s="86">
        <v>184</v>
      </c>
      <c r="C45" s="36">
        <v>1.6</v>
      </c>
    </row>
    <row r="46" spans="1:3" x14ac:dyDescent="0.25">
      <c r="A46" t="s">
        <v>114</v>
      </c>
      <c r="B46" s="86">
        <v>90</v>
      </c>
      <c r="C46" s="36">
        <v>3.8</v>
      </c>
    </row>
    <row r="47" spans="1:3" x14ac:dyDescent="0.25">
      <c r="A47" t="s">
        <v>115</v>
      </c>
      <c r="B47" s="86">
        <v>325</v>
      </c>
      <c r="C47" s="36">
        <v>2.4</v>
      </c>
    </row>
    <row r="48" spans="1:3" x14ac:dyDescent="0.25">
      <c r="A48" t="s">
        <v>117</v>
      </c>
      <c r="B48" s="86">
        <v>80</v>
      </c>
      <c r="C48" s="36">
        <v>2.2999999999999998</v>
      </c>
    </row>
    <row r="49" spans="1:3" x14ac:dyDescent="0.25">
      <c r="A49" t="s">
        <v>119</v>
      </c>
      <c r="B49" s="86">
        <v>153</v>
      </c>
      <c r="C49" s="36">
        <v>0.6</v>
      </c>
    </row>
    <row r="50" spans="1:3" x14ac:dyDescent="0.25">
      <c r="A50" t="s">
        <v>121</v>
      </c>
      <c r="B50" s="86">
        <v>250</v>
      </c>
      <c r="C50" s="36">
        <v>3.2</v>
      </c>
    </row>
    <row r="51" spans="1:3" x14ac:dyDescent="0.25">
      <c r="A51" t="s">
        <v>123</v>
      </c>
      <c r="B51" s="86">
        <v>152</v>
      </c>
      <c r="C51" s="36">
        <v>3.7</v>
      </c>
    </row>
    <row r="52" spans="1:3" x14ac:dyDescent="0.25">
      <c r="A52" t="s">
        <v>125</v>
      </c>
      <c r="B52" s="86">
        <v>252</v>
      </c>
      <c r="C52" s="36">
        <v>1.4</v>
      </c>
    </row>
    <row r="53" spans="1:3" x14ac:dyDescent="0.25">
      <c r="A53" t="s">
        <v>127</v>
      </c>
      <c r="B53" s="86">
        <v>221</v>
      </c>
      <c r="C53" s="36">
        <v>5.6</v>
      </c>
    </row>
    <row r="54" spans="1:3" x14ac:dyDescent="0.25">
      <c r="A54" t="s">
        <v>129</v>
      </c>
      <c r="B54" s="86">
        <v>132</v>
      </c>
      <c r="C54" s="36">
        <v>2.2000000000000002</v>
      </c>
    </row>
    <row r="55" spans="1:3" x14ac:dyDescent="0.25">
      <c r="A55" t="s">
        <v>131</v>
      </c>
      <c r="B55" s="86">
        <v>181</v>
      </c>
      <c r="C55" s="36">
        <v>0.5</v>
      </c>
    </row>
    <row r="56" spans="1:3" x14ac:dyDescent="0.25">
      <c r="A56" t="s">
        <v>133</v>
      </c>
      <c r="B56" s="86">
        <v>111</v>
      </c>
      <c r="C56" s="36">
        <v>2</v>
      </c>
    </row>
    <row r="57" spans="1:3" x14ac:dyDescent="0.25">
      <c r="A57" t="s">
        <v>135</v>
      </c>
      <c r="B57" s="86">
        <v>124</v>
      </c>
      <c r="C57" s="36">
        <v>0.7</v>
      </c>
    </row>
    <row r="58" spans="1:3" x14ac:dyDescent="0.25">
      <c r="A58" t="s">
        <v>137</v>
      </c>
      <c r="B58" s="86">
        <v>172</v>
      </c>
      <c r="C58" s="36">
        <v>2.6</v>
      </c>
    </row>
    <row r="59" spans="1:3" x14ac:dyDescent="0.25">
      <c r="A59" t="s">
        <v>141</v>
      </c>
      <c r="B59" s="86">
        <v>159</v>
      </c>
      <c r="C59" s="36">
        <v>1.9</v>
      </c>
    </row>
    <row r="60" spans="1:3" x14ac:dyDescent="0.25">
      <c r="A60" t="s">
        <v>147</v>
      </c>
      <c r="B60" s="86">
        <v>259</v>
      </c>
      <c r="C60" s="36">
        <v>1.2</v>
      </c>
    </row>
    <row r="61" spans="1:3" x14ac:dyDescent="0.25">
      <c r="A61" t="s">
        <v>149</v>
      </c>
      <c r="B61" s="86">
        <v>165</v>
      </c>
      <c r="C61" s="36">
        <v>3.7</v>
      </c>
    </row>
    <row r="62" spans="1:3" x14ac:dyDescent="0.25">
      <c r="A62" t="s">
        <v>151</v>
      </c>
      <c r="B62" s="86">
        <v>97</v>
      </c>
      <c r="C62" s="36">
        <v>3.3</v>
      </c>
    </row>
    <row r="63" spans="1:3" x14ac:dyDescent="0.25">
      <c r="A63" t="s">
        <v>153</v>
      </c>
      <c r="B63" s="86">
        <v>153</v>
      </c>
      <c r="C63" s="36">
        <v>3.6</v>
      </c>
    </row>
    <row r="64" spans="1:3" x14ac:dyDescent="0.25">
      <c r="A64" t="s">
        <v>701</v>
      </c>
      <c r="B64" s="86">
        <v>119</v>
      </c>
      <c r="C64" s="36">
        <v>1</v>
      </c>
    </row>
    <row r="65" spans="1:3" x14ac:dyDescent="0.25">
      <c r="A65" t="s">
        <v>155</v>
      </c>
      <c r="B65" s="86">
        <v>105</v>
      </c>
      <c r="C65" s="36">
        <v>3.9</v>
      </c>
    </row>
    <row r="66" spans="1:3" x14ac:dyDescent="0.25">
      <c r="A66" t="s">
        <v>159</v>
      </c>
      <c r="B66" s="86">
        <v>243</v>
      </c>
      <c r="C66" s="36">
        <v>2.1</v>
      </c>
    </row>
    <row r="67" spans="1:3" x14ac:dyDescent="0.25">
      <c r="A67" t="s">
        <v>161</v>
      </c>
      <c r="B67" s="86">
        <v>86</v>
      </c>
      <c r="C67" s="36">
        <v>0</v>
      </c>
    </row>
    <row r="68" spans="1:3" x14ac:dyDescent="0.25">
      <c r="A68" t="s">
        <v>163</v>
      </c>
      <c r="B68" s="86">
        <v>105</v>
      </c>
      <c r="C68" s="36">
        <v>1.6</v>
      </c>
    </row>
    <row r="69" spans="1:3" x14ac:dyDescent="0.25">
      <c r="A69" t="s">
        <v>165</v>
      </c>
      <c r="B69" s="86">
        <v>50</v>
      </c>
      <c r="C69" s="36">
        <v>2.2999999999999998</v>
      </c>
    </row>
    <row r="70" spans="1:3" x14ac:dyDescent="0.25">
      <c r="A70" t="s">
        <v>167</v>
      </c>
      <c r="B70" s="86">
        <v>125</v>
      </c>
      <c r="C70" s="36">
        <v>0.8</v>
      </c>
    </row>
    <row r="71" spans="1:3" x14ac:dyDescent="0.25">
      <c r="A71" t="s">
        <v>169</v>
      </c>
      <c r="B71" s="86">
        <v>37</v>
      </c>
      <c r="C71" s="36">
        <v>3.4</v>
      </c>
    </row>
    <row r="72" spans="1:3" x14ac:dyDescent="0.25">
      <c r="A72" t="s">
        <v>173</v>
      </c>
      <c r="B72" s="86">
        <v>401</v>
      </c>
      <c r="C72" s="36">
        <v>3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>
      <selection activeCell="B7" sqref="B7"/>
    </sheetView>
  </sheetViews>
  <sheetFormatPr defaultRowHeight="15" x14ac:dyDescent="0.25"/>
  <cols>
    <col min="1" max="1" width="10.85546875" customWidth="1"/>
    <col min="2" max="2" width="63.7109375" bestFit="1" customWidth="1"/>
    <col min="3" max="3" width="11.85546875" customWidth="1"/>
    <col min="4" max="4" width="13.42578125" customWidth="1"/>
    <col min="5" max="5" width="12.5703125" customWidth="1"/>
    <col min="6" max="6" width="16.42578125" customWidth="1"/>
    <col min="7" max="7" width="22" customWidth="1"/>
    <col min="8" max="8" width="13.28515625" customWidth="1"/>
    <col min="9" max="9" width="19.85546875" customWidth="1"/>
    <col min="10" max="10" width="20.85546875" customWidth="1"/>
    <col min="11" max="11" width="18.28515625" customWidth="1"/>
    <col min="12" max="12" width="17.42578125" customWidth="1"/>
  </cols>
  <sheetData>
    <row r="1" spans="1:16" x14ac:dyDescent="0.25">
      <c r="A1">
        <v>0</v>
      </c>
      <c r="B1" t="s">
        <v>381</v>
      </c>
      <c r="E1">
        <f t="shared" ref="E1:H5" si="0">QUARTILE(E$8:E$83,$A1)</f>
        <v>0.31</v>
      </c>
      <c r="F1">
        <f t="shared" si="0"/>
        <v>0</v>
      </c>
      <c r="G1">
        <f t="shared" si="0"/>
        <v>0.27</v>
      </c>
      <c r="H1">
        <f t="shared" si="0"/>
        <v>0.19</v>
      </c>
    </row>
    <row r="2" spans="1:16" x14ac:dyDescent="0.25">
      <c r="A2">
        <v>1</v>
      </c>
      <c r="B2" t="s">
        <v>382</v>
      </c>
      <c r="E2">
        <f t="shared" si="0"/>
        <v>0.88500000000000001</v>
      </c>
      <c r="F2">
        <f t="shared" si="0"/>
        <v>0.97</v>
      </c>
      <c r="G2">
        <f t="shared" si="0"/>
        <v>0.82</v>
      </c>
      <c r="H2">
        <f t="shared" si="0"/>
        <v>0.745</v>
      </c>
    </row>
    <row r="3" spans="1:16" x14ac:dyDescent="0.25">
      <c r="A3">
        <v>2</v>
      </c>
      <c r="B3" t="s">
        <v>383</v>
      </c>
      <c r="E3">
        <f t="shared" si="0"/>
        <v>0.95</v>
      </c>
      <c r="F3">
        <f t="shared" si="0"/>
        <v>0.99</v>
      </c>
      <c r="G3">
        <f t="shared" si="0"/>
        <v>0.91</v>
      </c>
      <c r="H3">
        <f t="shared" si="0"/>
        <v>0.91</v>
      </c>
    </row>
    <row r="4" spans="1:16" x14ac:dyDescent="0.25">
      <c r="A4">
        <v>3</v>
      </c>
      <c r="B4" t="s">
        <v>384</v>
      </c>
      <c r="E4">
        <f t="shared" si="0"/>
        <v>1</v>
      </c>
      <c r="F4">
        <f t="shared" si="0"/>
        <v>1</v>
      </c>
      <c r="G4">
        <f t="shared" si="0"/>
        <v>0.97</v>
      </c>
      <c r="H4">
        <f t="shared" si="0"/>
        <v>0.95499999999999996</v>
      </c>
    </row>
    <row r="5" spans="1:16" x14ac:dyDescent="0.25">
      <c r="A5">
        <v>4</v>
      </c>
      <c r="B5" t="s">
        <v>385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7" spans="1:16" ht="75" x14ac:dyDescent="0.25">
      <c r="A7" s="10" t="s">
        <v>176</v>
      </c>
      <c r="B7" s="10" t="s">
        <v>175</v>
      </c>
      <c r="C7" s="9" t="s">
        <v>184</v>
      </c>
      <c r="D7" s="9" t="s">
        <v>185</v>
      </c>
      <c r="E7" s="10" t="s">
        <v>192</v>
      </c>
      <c r="F7" s="9" t="s">
        <v>186</v>
      </c>
      <c r="G7" s="9" t="s">
        <v>187</v>
      </c>
      <c r="H7" s="9" t="s">
        <v>188</v>
      </c>
      <c r="I7" s="10" t="s">
        <v>189</v>
      </c>
      <c r="J7" s="10" t="s">
        <v>190</v>
      </c>
      <c r="K7" s="10" t="s">
        <v>191</v>
      </c>
      <c r="L7" s="10" t="s">
        <v>302</v>
      </c>
      <c r="M7" s="18" t="s">
        <v>386</v>
      </c>
      <c r="N7" s="37" t="s">
        <v>387</v>
      </c>
      <c r="O7" s="37" t="s">
        <v>388</v>
      </c>
      <c r="P7" s="37" t="s">
        <v>389</v>
      </c>
    </row>
    <row r="8" spans="1:16" x14ac:dyDescent="0.25">
      <c r="A8" s="8" t="s">
        <v>7</v>
      </c>
      <c r="B8" s="3" t="s">
        <v>8</v>
      </c>
      <c r="C8" s="4">
        <v>40</v>
      </c>
      <c r="D8" s="4">
        <v>25</v>
      </c>
      <c r="E8" s="7">
        <v>0.85</v>
      </c>
      <c r="F8" s="7">
        <v>1</v>
      </c>
      <c r="G8" s="7">
        <v>0.82</v>
      </c>
      <c r="H8" s="7">
        <v>0.88</v>
      </c>
      <c r="I8" s="8" t="s">
        <v>560</v>
      </c>
      <c r="J8" s="8" t="s">
        <v>306</v>
      </c>
      <c r="K8" s="8" t="s">
        <v>230</v>
      </c>
      <c r="L8" s="13">
        <v>8.0000000000000002E-3</v>
      </c>
      <c r="M8">
        <f>+IF(E8&lt;E$2,1,IF(E8&lt;E$3,2,IF(E8&lt;E$4,3,4)))</f>
        <v>1</v>
      </c>
      <c r="N8">
        <f t="shared" ref="N8:P71" si="1">+IF(F8&lt;F$2,1,IF(F8&lt;F$3,2,IF(F8&lt;F$4,3,4)))</f>
        <v>4</v>
      </c>
      <c r="O8">
        <f t="shared" si="1"/>
        <v>2</v>
      </c>
      <c r="P8">
        <f t="shared" si="1"/>
        <v>2</v>
      </c>
    </row>
    <row r="9" spans="1:16" x14ac:dyDescent="0.25">
      <c r="A9" s="8" t="s">
        <v>117</v>
      </c>
      <c r="B9" s="3" t="s">
        <v>118</v>
      </c>
      <c r="C9" s="4">
        <v>27</v>
      </c>
      <c r="D9" s="4">
        <v>24</v>
      </c>
      <c r="E9" s="7">
        <v>1</v>
      </c>
      <c r="F9" s="7">
        <v>0.96</v>
      </c>
      <c r="G9" s="7">
        <v>0.83</v>
      </c>
      <c r="H9" s="7">
        <v>0.7</v>
      </c>
      <c r="I9" s="8" t="s">
        <v>561</v>
      </c>
      <c r="J9" s="8" t="s">
        <v>346</v>
      </c>
      <c r="K9" s="8" t="s">
        <v>221</v>
      </c>
      <c r="L9" s="13">
        <v>8.0000000000000002E-3</v>
      </c>
      <c r="M9">
        <f t="shared" ref="M9:P72" si="2">+IF(E9&lt;E$2,1,IF(E9&lt;E$3,2,IF(E9&lt;E$4,3,4)))</f>
        <v>4</v>
      </c>
      <c r="N9">
        <f t="shared" si="1"/>
        <v>1</v>
      </c>
      <c r="O9">
        <f t="shared" si="1"/>
        <v>2</v>
      </c>
      <c r="P9">
        <f t="shared" si="1"/>
        <v>1</v>
      </c>
    </row>
    <row r="10" spans="1:16" x14ac:dyDescent="0.25">
      <c r="A10" s="8" t="s">
        <v>45</v>
      </c>
      <c r="B10" s="3" t="s">
        <v>46</v>
      </c>
      <c r="C10" s="4">
        <v>30</v>
      </c>
      <c r="D10" s="4">
        <v>29</v>
      </c>
      <c r="E10" s="7">
        <v>1</v>
      </c>
      <c r="F10" s="7">
        <v>1</v>
      </c>
      <c r="G10" s="7">
        <v>1</v>
      </c>
      <c r="H10" s="7">
        <v>0.93</v>
      </c>
      <c r="I10" s="8" t="s">
        <v>562</v>
      </c>
      <c r="J10" s="8" t="s">
        <v>346</v>
      </c>
      <c r="K10" s="8" t="s">
        <v>291</v>
      </c>
      <c r="L10" s="13">
        <v>0</v>
      </c>
      <c r="M10">
        <f t="shared" si="2"/>
        <v>4</v>
      </c>
      <c r="N10">
        <f t="shared" si="1"/>
        <v>4</v>
      </c>
      <c r="O10">
        <f t="shared" si="1"/>
        <v>4</v>
      </c>
      <c r="P10">
        <f t="shared" si="1"/>
        <v>3</v>
      </c>
    </row>
    <row r="11" spans="1:16" x14ac:dyDescent="0.25">
      <c r="A11" s="8" t="s">
        <v>11</v>
      </c>
      <c r="B11" s="3" t="s">
        <v>12</v>
      </c>
      <c r="C11" s="4">
        <v>39</v>
      </c>
      <c r="D11" s="4">
        <v>21</v>
      </c>
      <c r="E11" s="7">
        <v>0.51</v>
      </c>
      <c r="F11" s="7">
        <v>0.97</v>
      </c>
      <c r="G11" s="7">
        <v>0.52</v>
      </c>
      <c r="H11" s="7">
        <v>0.21</v>
      </c>
      <c r="I11" s="8" t="s">
        <v>563</v>
      </c>
      <c r="J11" s="8" t="s">
        <v>564</v>
      </c>
      <c r="K11" s="8" t="s">
        <v>277</v>
      </c>
      <c r="L11" s="13">
        <v>3.7999999999999999E-2</v>
      </c>
      <c r="M11">
        <f t="shared" si="2"/>
        <v>1</v>
      </c>
      <c r="N11">
        <f t="shared" si="1"/>
        <v>2</v>
      </c>
      <c r="O11">
        <f t="shared" si="1"/>
        <v>1</v>
      </c>
      <c r="P11">
        <f t="shared" si="1"/>
        <v>1</v>
      </c>
    </row>
    <row r="12" spans="1:16" x14ac:dyDescent="0.25">
      <c r="A12" s="8" t="s">
        <v>35</v>
      </c>
      <c r="B12" s="3" t="s">
        <v>36</v>
      </c>
      <c r="C12" s="4">
        <v>22</v>
      </c>
      <c r="D12" s="4">
        <v>16</v>
      </c>
      <c r="E12" s="7">
        <v>0.64</v>
      </c>
      <c r="F12" s="7">
        <v>1</v>
      </c>
      <c r="G12" s="7">
        <v>0.56000000000000005</v>
      </c>
      <c r="H12" s="7">
        <v>0.55000000000000004</v>
      </c>
      <c r="I12" s="8" t="s">
        <v>565</v>
      </c>
      <c r="J12" s="8" t="s">
        <v>339</v>
      </c>
      <c r="K12" s="8" t="s">
        <v>263</v>
      </c>
      <c r="L12" s="13">
        <v>2.4E-2</v>
      </c>
      <c r="M12">
        <f t="shared" si="2"/>
        <v>1</v>
      </c>
      <c r="N12">
        <f t="shared" si="1"/>
        <v>4</v>
      </c>
      <c r="O12">
        <f t="shared" si="1"/>
        <v>1</v>
      </c>
      <c r="P12">
        <f t="shared" si="1"/>
        <v>1</v>
      </c>
    </row>
    <row r="13" spans="1:16" x14ac:dyDescent="0.25">
      <c r="A13" s="8" t="s">
        <v>31</v>
      </c>
      <c r="B13" s="3" t="s">
        <v>32</v>
      </c>
      <c r="C13" s="4">
        <v>67</v>
      </c>
      <c r="D13" s="4">
        <v>61</v>
      </c>
      <c r="E13" s="7">
        <v>0.82</v>
      </c>
      <c r="F13" s="7">
        <v>0.99</v>
      </c>
      <c r="G13" s="7">
        <v>0.82</v>
      </c>
      <c r="H13" s="7">
        <v>0.64</v>
      </c>
      <c r="I13" s="8" t="s">
        <v>566</v>
      </c>
      <c r="J13" s="8" t="s">
        <v>219</v>
      </c>
      <c r="K13" s="8" t="s">
        <v>286</v>
      </c>
      <c r="L13" s="13">
        <v>1.9E-2</v>
      </c>
      <c r="M13">
        <f t="shared" si="2"/>
        <v>1</v>
      </c>
      <c r="N13">
        <f t="shared" si="1"/>
        <v>3</v>
      </c>
      <c r="O13">
        <f t="shared" si="1"/>
        <v>2</v>
      </c>
      <c r="P13">
        <f t="shared" si="1"/>
        <v>1</v>
      </c>
    </row>
    <row r="14" spans="1:16" x14ac:dyDescent="0.25">
      <c r="A14" s="8" t="s">
        <v>173</v>
      </c>
      <c r="B14" s="3" t="s">
        <v>174</v>
      </c>
      <c r="C14" s="4">
        <v>92</v>
      </c>
      <c r="D14" s="4">
        <v>55</v>
      </c>
      <c r="E14" s="7">
        <v>0.89</v>
      </c>
      <c r="F14" s="7">
        <v>0.98</v>
      </c>
      <c r="G14" s="7">
        <v>0.79</v>
      </c>
      <c r="H14" s="7">
        <v>0.77</v>
      </c>
      <c r="I14" s="8" t="s">
        <v>567</v>
      </c>
      <c r="J14" s="8" t="s">
        <v>568</v>
      </c>
      <c r="K14" s="8" t="s">
        <v>226</v>
      </c>
      <c r="L14" s="13">
        <v>8.0000000000000002E-3</v>
      </c>
      <c r="M14">
        <f t="shared" si="2"/>
        <v>2</v>
      </c>
      <c r="N14">
        <f t="shared" si="1"/>
        <v>2</v>
      </c>
      <c r="O14">
        <f t="shared" si="1"/>
        <v>1</v>
      </c>
      <c r="P14">
        <f t="shared" si="1"/>
        <v>2</v>
      </c>
    </row>
    <row r="15" spans="1:16" x14ac:dyDescent="0.25">
      <c r="A15" s="8" t="s">
        <v>0</v>
      </c>
      <c r="B15" s="3" t="s">
        <v>1</v>
      </c>
      <c r="C15" s="4">
        <v>31</v>
      </c>
      <c r="D15" s="4">
        <v>26</v>
      </c>
      <c r="E15" s="7">
        <v>0.9</v>
      </c>
      <c r="F15" s="7">
        <v>0.97</v>
      </c>
      <c r="G15" s="7">
        <v>0.9</v>
      </c>
      <c r="H15" s="7">
        <v>0.77</v>
      </c>
      <c r="I15" s="8" t="s">
        <v>569</v>
      </c>
      <c r="J15" s="8" t="s">
        <v>570</v>
      </c>
      <c r="K15" s="8" t="s">
        <v>211</v>
      </c>
      <c r="L15" s="13">
        <v>1.4E-2</v>
      </c>
      <c r="M15">
        <f t="shared" si="2"/>
        <v>2</v>
      </c>
      <c r="N15">
        <f t="shared" si="1"/>
        <v>2</v>
      </c>
      <c r="O15">
        <f t="shared" si="1"/>
        <v>2</v>
      </c>
      <c r="P15">
        <f t="shared" si="1"/>
        <v>2</v>
      </c>
    </row>
    <row r="16" spans="1:16" x14ac:dyDescent="0.25">
      <c r="A16" s="8" t="s">
        <v>17</v>
      </c>
      <c r="B16" s="3" t="s">
        <v>18</v>
      </c>
      <c r="C16" s="4">
        <v>28</v>
      </c>
      <c r="D16" s="4">
        <v>12</v>
      </c>
      <c r="E16" s="7">
        <v>1</v>
      </c>
      <c r="F16" s="7">
        <v>1</v>
      </c>
      <c r="G16" s="7">
        <v>1</v>
      </c>
      <c r="H16" s="7">
        <v>1</v>
      </c>
      <c r="I16" s="8" t="s">
        <v>571</v>
      </c>
      <c r="J16" s="8" t="s">
        <v>297</v>
      </c>
      <c r="K16" s="8" t="s">
        <v>203</v>
      </c>
      <c r="L16" s="13">
        <v>1.7999999999999999E-2</v>
      </c>
      <c r="M16">
        <f t="shared" si="2"/>
        <v>4</v>
      </c>
      <c r="N16">
        <f t="shared" si="1"/>
        <v>4</v>
      </c>
      <c r="O16">
        <f t="shared" si="1"/>
        <v>4</v>
      </c>
      <c r="P16">
        <f t="shared" si="1"/>
        <v>4</v>
      </c>
    </row>
    <row r="17" spans="1:16" x14ac:dyDescent="0.25">
      <c r="A17" s="8" t="s">
        <v>145</v>
      </c>
      <c r="B17" s="3" t="s">
        <v>146</v>
      </c>
      <c r="C17" s="4">
        <v>68</v>
      </c>
      <c r="D17" s="4">
        <v>39</v>
      </c>
      <c r="E17" s="7">
        <v>1</v>
      </c>
      <c r="F17" s="7">
        <v>1</v>
      </c>
      <c r="G17" s="7">
        <v>0.89</v>
      </c>
      <c r="H17" s="7">
        <v>0.76</v>
      </c>
      <c r="I17" s="8" t="s">
        <v>572</v>
      </c>
      <c r="J17" s="8" t="s">
        <v>573</v>
      </c>
      <c r="K17" s="8" t="s">
        <v>263</v>
      </c>
      <c r="L17" s="13">
        <v>1.0999999999999999E-2</v>
      </c>
      <c r="M17">
        <f t="shared" si="2"/>
        <v>4</v>
      </c>
      <c r="N17">
        <f t="shared" si="1"/>
        <v>4</v>
      </c>
      <c r="O17">
        <f t="shared" si="1"/>
        <v>2</v>
      </c>
      <c r="P17">
        <f t="shared" si="1"/>
        <v>2</v>
      </c>
    </row>
    <row r="18" spans="1:16" x14ac:dyDescent="0.25">
      <c r="A18" s="8" t="s">
        <v>139</v>
      </c>
      <c r="B18" s="3" t="s">
        <v>140</v>
      </c>
      <c r="C18" s="4">
        <v>15</v>
      </c>
      <c r="D18" s="4">
        <v>10</v>
      </c>
      <c r="E18" s="7">
        <v>0.73</v>
      </c>
      <c r="F18" s="7">
        <v>1</v>
      </c>
      <c r="G18" s="7">
        <v>0.7</v>
      </c>
      <c r="H18" s="7">
        <v>0.73</v>
      </c>
      <c r="I18" s="8" t="s">
        <v>574</v>
      </c>
      <c r="J18" s="8" t="s">
        <v>575</v>
      </c>
      <c r="K18" s="8" t="s">
        <v>300</v>
      </c>
      <c r="L18" s="13">
        <v>0</v>
      </c>
      <c r="M18">
        <f t="shared" si="2"/>
        <v>1</v>
      </c>
      <c r="N18">
        <f t="shared" si="1"/>
        <v>4</v>
      </c>
      <c r="O18">
        <f t="shared" si="1"/>
        <v>1</v>
      </c>
      <c r="P18">
        <f t="shared" si="1"/>
        <v>1</v>
      </c>
    </row>
    <row r="19" spans="1:16" x14ac:dyDescent="0.25">
      <c r="A19" s="8" t="s">
        <v>51</v>
      </c>
      <c r="B19" s="3" t="s">
        <v>52</v>
      </c>
      <c r="C19" s="4">
        <v>122</v>
      </c>
      <c r="D19" s="4">
        <v>83</v>
      </c>
      <c r="E19" s="7">
        <v>0.59</v>
      </c>
      <c r="F19" s="7">
        <v>0.98</v>
      </c>
      <c r="G19" s="7">
        <v>0.59</v>
      </c>
      <c r="H19" s="7">
        <v>0.74</v>
      </c>
      <c r="I19" s="8" t="s">
        <v>576</v>
      </c>
      <c r="J19" s="8" t="s">
        <v>307</v>
      </c>
      <c r="K19" s="8" t="s">
        <v>284</v>
      </c>
      <c r="L19" s="13">
        <v>3.0000000000000001E-3</v>
      </c>
      <c r="M19">
        <f t="shared" si="2"/>
        <v>1</v>
      </c>
      <c r="N19">
        <f t="shared" si="1"/>
        <v>2</v>
      </c>
      <c r="O19">
        <f t="shared" si="1"/>
        <v>1</v>
      </c>
      <c r="P19">
        <f t="shared" si="1"/>
        <v>1</v>
      </c>
    </row>
    <row r="20" spans="1:16" x14ac:dyDescent="0.25">
      <c r="A20" s="8" t="s">
        <v>3</v>
      </c>
      <c r="B20" s="3" t="s">
        <v>4</v>
      </c>
      <c r="C20" s="4">
        <v>35</v>
      </c>
      <c r="D20" s="4">
        <v>19</v>
      </c>
      <c r="E20" s="7">
        <v>0.97</v>
      </c>
      <c r="F20" s="7">
        <v>1</v>
      </c>
      <c r="G20" s="7">
        <v>0.96</v>
      </c>
      <c r="H20" s="7">
        <v>0.91</v>
      </c>
      <c r="I20" s="8" t="s">
        <v>577</v>
      </c>
      <c r="J20" s="8" t="s">
        <v>341</v>
      </c>
      <c r="K20" s="8" t="s">
        <v>305</v>
      </c>
      <c r="L20" s="13">
        <v>5.8999999999999997E-2</v>
      </c>
      <c r="M20">
        <f t="shared" si="2"/>
        <v>3</v>
      </c>
      <c r="N20">
        <f t="shared" si="1"/>
        <v>4</v>
      </c>
      <c r="O20">
        <f t="shared" si="1"/>
        <v>3</v>
      </c>
      <c r="P20">
        <f t="shared" si="1"/>
        <v>3</v>
      </c>
    </row>
    <row r="21" spans="1:16" x14ac:dyDescent="0.25">
      <c r="A21" s="8" t="s">
        <v>78</v>
      </c>
      <c r="B21" s="3" t="s">
        <v>79</v>
      </c>
      <c r="C21" s="4">
        <v>29</v>
      </c>
      <c r="D21" s="4">
        <v>28</v>
      </c>
      <c r="E21" s="7">
        <v>1</v>
      </c>
      <c r="F21" s="7">
        <v>1</v>
      </c>
      <c r="G21" s="7">
        <v>0.92</v>
      </c>
      <c r="H21" s="7">
        <v>1</v>
      </c>
      <c r="I21" s="8" t="s">
        <v>578</v>
      </c>
      <c r="J21" s="8" t="s">
        <v>346</v>
      </c>
      <c r="K21" s="8" t="s">
        <v>221</v>
      </c>
      <c r="L21" s="13">
        <v>0.01</v>
      </c>
      <c r="M21">
        <f t="shared" si="2"/>
        <v>4</v>
      </c>
      <c r="N21">
        <f t="shared" si="1"/>
        <v>4</v>
      </c>
      <c r="O21">
        <f t="shared" si="1"/>
        <v>3</v>
      </c>
      <c r="P21">
        <f t="shared" si="1"/>
        <v>4</v>
      </c>
    </row>
    <row r="22" spans="1:16" x14ac:dyDescent="0.25">
      <c r="A22" s="8" t="s">
        <v>69</v>
      </c>
      <c r="B22" s="3" t="s">
        <v>70</v>
      </c>
      <c r="C22" s="4">
        <v>78</v>
      </c>
      <c r="D22" s="4">
        <v>75</v>
      </c>
      <c r="E22" s="7">
        <v>0.88</v>
      </c>
      <c r="F22" s="7">
        <v>0.99</v>
      </c>
      <c r="G22" s="7">
        <v>0.87</v>
      </c>
      <c r="H22" s="7">
        <v>0.74</v>
      </c>
      <c r="I22" s="8" t="s">
        <v>579</v>
      </c>
      <c r="J22" s="8" t="s">
        <v>346</v>
      </c>
      <c r="K22" s="8" t="s">
        <v>286</v>
      </c>
      <c r="L22" s="13">
        <v>1.2E-2</v>
      </c>
      <c r="M22">
        <f t="shared" si="2"/>
        <v>1</v>
      </c>
      <c r="N22">
        <f t="shared" si="1"/>
        <v>3</v>
      </c>
      <c r="O22">
        <f t="shared" si="1"/>
        <v>2</v>
      </c>
      <c r="P22">
        <f t="shared" si="1"/>
        <v>1</v>
      </c>
    </row>
    <row r="23" spans="1:16" x14ac:dyDescent="0.25">
      <c r="A23" s="8" t="s">
        <v>5</v>
      </c>
      <c r="B23" s="3" t="s">
        <v>6</v>
      </c>
      <c r="C23" s="4">
        <v>18</v>
      </c>
      <c r="D23" s="4">
        <v>14</v>
      </c>
      <c r="E23" s="7">
        <v>1</v>
      </c>
      <c r="F23" s="7">
        <v>1</v>
      </c>
      <c r="G23" s="7">
        <v>1</v>
      </c>
      <c r="H23" s="7">
        <v>0.94</v>
      </c>
      <c r="I23" s="8" t="s">
        <v>580</v>
      </c>
      <c r="J23" s="8" t="s">
        <v>346</v>
      </c>
      <c r="K23" s="8" t="s">
        <v>285</v>
      </c>
      <c r="L23" s="13">
        <v>2.5999999999999999E-2</v>
      </c>
      <c r="M23">
        <f t="shared" si="2"/>
        <v>4</v>
      </c>
      <c r="N23">
        <f t="shared" si="1"/>
        <v>4</v>
      </c>
      <c r="O23">
        <f t="shared" si="1"/>
        <v>4</v>
      </c>
      <c r="P23">
        <f t="shared" si="1"/>
        <v>3</v>
      </c>
    </row>
    <row r="24" spans="1:16" x14ac:dyDescent="0.25">
      <c r="A24" s="8" t="s">
        <v>90</v>
      </c>
      <c r="B24" s="3" t="s">
        <v>91</v>
      </c>
      <c r="C24" s="4">
        <v>38</v>
      </c>
      <c r="D24" s="4">
        <v>30</v>
      </c>
      <c r="E24" s="7">
        <v>0.92</v>
      </c>
      <c r="F24" s="7">
        <v>0.97</v>
      </c>
      <c r="G24" s="7">
        <v>0.86</v>
      </c>
      <c r="H24" s="7">
        <v>0.92</v>
      </c>
      <c r="I24" s="8" t="s">
        <v>581</v>
      </c>
      <c r="J24" s="8" t="s">
        <v>582</v>
      </c>
      <c r="K24" s="8" t="s">
        <v>284</v>
      </c>
      <c r="L24" s="13">
        <v>8.0000000000000002E-3</v>
      </c>
      <c r="M24">
        <f t="shared" si="2"/>
        <v>2</v>
      </c>
      <c r="N24">
        <f t="shared" si="1"/>
        <v>2</v>
      </c>
      <c r="O24">
        <f t="shared" si="1"/>
        <v>2</v>
      </c>
      <c r="P24">
        <f t="shared" si="1"/>
        <v>3</v>
      </c>
    </row>
    <row r="25" spans="1:16" x14ac:dyDescent="0.25">
      <c r="A25" s="8" t="s">
        <v>135</v>
      </c>
      <c r="B25" s="3" t="s">
        <v>136</v>
      </c>
      <c r="C25" s="4">
        <v>26</v>
      </c>
      <c r="D25" s="4">
        <v>23</v>
      </c>
      <c r="E25" s="7">
        <v>0.92</v>
      </c>
      <c r="F25" s="7">
        <v>0.96</v>
      </c>
      <c r="G25" s="7">
        <v>0.9</v>
      </c>
      <c r="H25" s="7">
        <v>0.77</v>
      </c>
      <c r="I25" s="8" t="s">
        <v>583</v>
      </c>
      <c r="J25" s="8" t="s">
        <v>346</v>
      </c>
      <c r="K25" s="8" t="s">
        <v>220</v>
      </c>
      <c r="L25" s="13">
        <v>0</v>
      </c>
      <c r="M25">
        <f t="shared" si="2"/>
        <v>2</v>
      </c>
      <c r="N25">
        <f t="shared" si="1"/>
        <v>1</v>
      </c>
      <c r="O25">
        <f t="shared" si="1"/>
        <v>2</v>
      </c>
      <c r="P25">
        <f t="shared" si="1"/>
        <v>2</v>
      </c>
    </row>
    <row r="26" spans="1:16" x14ac:dyDescent="0.25">
      <c r="A26" s="8" t="s">
        <v>123</v>
      </c>
      <c r="B26" s="3" t="s">
        <v>124</v>
      </c>
      <c r="C26" s="4">
        <v>58</v>
      </c>
      <c r="D26" s="4">
        <v>31</v>
      </c>
      <c r="E26" s="7">
        <v>0.91</v>
      </c>
      <c r="F26" s="7">
        <v>0.98</v>
      </c>
      <c r="G26" s="7">
        <v>0.91</v>
      </c>
      <c r="H26" s="7">
        <v>0.62</v>
      </c>
      <c r="I26" s="8" t="s">
        <v>584</v>
      </c>
      <c r="J26" s="8" t="s">
        <v>319</v>
      </c>
      <c r="K26" s="8" t="s">
        <v>286</v>
      </c>
      <c r="L26" s="13">
        <v>5.0000000000000001E-3</v>
      </c>
      <c r="M26">
        <f t="shared" si="2"/>
        <v>2</v>
      </c>
      <c r="N26">
        <f t="shared" si="1"/>
        <v>2</v>
      </c>
      <c r="O26">
        <f t="shared" si="1"/>
        <v>3</v>
      </c>
      <c r="P26">
        <f t="shared" si="1"/>
        <v>1</v>
      </c>
    </row>
    <row r="27" spans="1:16" x14ac:dyDescent="0.25">
      <c r="A27" s="8" t="s">
        <v>149</v>
      </c>
      <c r="B27" s="3" t="s">
        <v>150</v>
      </c>
      <c r="C27" s="4">
        <v>41</v>
      </c>
      <c r="D27" s="4">
        <v>26</v>
      </c>
      <c r="E27" s="7">
        <v>0.98</v>
      </c>
      <c r="F27" s="7">
        <v>0.98</v>
      </c>
      <c r="G27" s="7">
        <v>0.97</v>
      </c>
      <c r="H27" s="7">
        <v>1</v>
      </c>
      <c r="I27" s="8" t="s">
        <v>585</v>
      </c>
      <c r="J27" s="8" t="s">
        <v>315</v>
      </c>
      <c r="K27" s="8" t="s">
        <v>284</v>
      </c>
      <c r="L27" s="13">
        <v>8.9999999999999993E-3</v>
      </c>
      <c r="M27">
        <f t="shared" si="2"/>
        <v>3</v>
      </c>
      <c r="N27">
        <f t="shared" si="1"/>
        <v>2</v>
      </c>
      <c r="O27">
        <f t="shared" si="1"/>
        <v>4</v>
      </c>
      <c r="P27">
        <f t="shared" si="1"/>
        <v>4</v>
      </c>
    </row>
    <row r="28" spans="1:16" x14ac:dyDescent="0.25">
      <c r="A28" s="8" t="s">
        <v>37</v>
      </c>
      <c r="B28" s="3" t="s">
        <v>198</v>
      </c>
      <c r="C28" s="4">
        <v>59</v>
      </c>
      <c r="D28" s="4">
        <v>45</v>
      </c>
      <c r="E28" s="7">
        <v>0.85</v>
      </c>
      <c r="F28" s="7">
        <v>0.97</v>
      </c>
      <c r="G28" s="7">
        <v>0.84</v>
      </c>
      <c r="H28" s="7">
        <v>0.56000000000000005</v>
      </c>
      <c r="I28" s="8" t="s">
        <v>586</v>
      </c>
      <c r="J28" s="8" t="s">
        <v>338</v>
      </c>
      <c r="K28" s="8" t="s">
        <v>221</v>
      </c>
      <c r="L28" s="13">
        <v>1.0999999999999999E-2</v>
      </c>
      <c r="M28">
        <f t="shared" si="2"/>
        <v>1</v>
      </c>
      <c r="N28">
        <f t="shared" si="1"/>
        <v>2</v>
      </c>
      <c r="O28">
        <f t="shared" si="1"/>
        <v>2</v>
      </c>
      <c r="P28">
        <f t="shared" si="1"/>
        <v>1</v>
      </c>
    </row>
    <row r="29" spans="1:16" x14ac:dyDescent="0.25">
      <c r="A29" s="8" t="s">
        <v>38</v>
      </c>
      <c r="B29" s="3" t="s">
        <v>39</v>
      </c>
      <c r="C29" s="4">
        <v>44</v>
      </c>
      <c r="D29" s="4">
        <v>34</v>
      </c>
      <c r="E29" s="7">
        <v>0.98</v>
      </c>
      <c r="F29" s="7">
        <v>1</v>
      </c>
      <c r="G29" s="7">
        <v>1</v>
      </c>
      <c r="H29" s="7">
        <v>0.98</v>
      </c>
      <c r="I29" s="8" t="s">
        <v>587</v>
      </c>
      <c r="J29" s="8" t="s">
        <v>303</v>
      </c>
      <c r="K29" s="8" t="s">
        <v>214</v>
      </c>
      <c r="L29" s="13">
        <v>0.02</v>
      </c>
      <c r="M29">
        <f t="shared" si="2"/>
        <v>3</v>
      </c>
      <c r="N29">
        <f t="shared" si="1"/>
        <v>4</v>
      </c>
      <c r="O29">
        <f t="shared" si="1"/>
        <v>4</v>
      </c>
      <c r="P29">
        <f t="shared" si="1"/>
        <v>4</v>
      </c>
    </row>
    <row r="30" spans="1:16" x14ac:dyDescent="0.25">
      <c r="A30" s="8" t="s">
        <v>112</v>
      </c>
      <c r="B30" s="3" t="s">
        <v>113</v>
      </c>
      <c r="C30" s="4">
        <v>59</v>
      </c>
      <c r="D30" s="4">
        <v>37</v>
      </c>
      <c r="E30" s="7">
        <v>0.93</v>
      </c>
      <c r="F30" s="7">
        <v>1</v>
      </c>
      <c r="G30" s="7">
        <v>0.93</v>
      </c>
      <c r="H30" s="7">
        <v>0.76</v>
      </c>
      <c r="I30" s="8" t="s">
        <v>588</v>
      </c>
      <c r="J30" s="8" t="s">
        <v>224</v>
      </c>
      <c r="K30" s="8" t="s">
        <v>291</v>
      </c>
      <c r="L30" s="13">
        <v>1.0999999999999999E-2</v>
      </c>
      <c r="M30">
        <f t="shared" si="2"/>
        <v>2</v>
      </c>
      <c r="N30">
        <f t="shared" si="1"/>
        <v>4</v>
      </c>
      <c r="O30">
        <f t="shared" si="1"/>
        <v>3</v>
      </c>
      <c r="P30">
        <f t="shared" si="1"/>
        <v>2</v>
      </c>
    </row>
    <row r="31" spans="1:16" x14ac:dyDescent="0.25">
      <c r="A31" s="8" t="s">
        <v>63</v>
      </c>
      <c r="B31" s="3" t="s">
        <v>64</v>
      </c>
      <c r="C31" s="4">
        <v>100</v>
      </c>
      <c r="D31" s="4">
        <v>74</v>
      </c>
      <c r="E31" s="7">
        <v>0.84</v>
      </c>
      <c r="F31" s="7">
        <v>0.92</v>
      </c>
      <c r="G31" s="7">
        <v>0.81</v>
      </c>
      <c r="H31" s="7">
        <v>0.37</v>
      </c>
      <c r="I31" s="8" t="s">
        <v>589</v>
      </c>
      <c r="J31" s="8" t="s">
        <v>315</v>
      </c>
      <c r="K31" s="8" t="s">
        <v>214</v>
      </c>
      <c r="L31" s="13">
        <v>3.0000000000000001E-3</v>
      </c>
      <c r="M31">
        <f t="shared" si="2"/>
        <v>1</v>
      </c>
      <c r="N31">
        <f t="shared" si="1"/>
        <v>1</v>
      </c>
      <c r="O31">
        <f t="shared" si="1"/>
        <v>1</v>
      </c>
      <c r="P31">
        <f t="shared" si="1"/>
        <v>1</v>
      </c>
    </row>
    <row r="32" spans="1:16" x14ac:dyDescent="0.25">
      <c r="A32" s="8" t="s">
        <v>127</v>
      </c>
      <c r="B32" s="3" t="s">
        <v>128</v>
      </c>
      <c r="C32" s="4">
        <v>48</v>
      </c>
      <c r="D32" s="4">
        <v>24</v>
      </c>
      <c r="E32" s="7">
        <v>0.98</v>
      </c>
      <c r="F32" s="7">
        <v>0</v>
      </c>
      <c r="G32" s="7">
        <v>0.96</v>
      </c>
      <c r="H32" s="7">
        <v>0.96</v>
      </c>
      <c r="I32" s="8" t="s">
        <v>590</v>
      </c>
      <c r="J32" s="8" t="s">
        <v>591</v>
      </c>
      <c r="K32" s="8" t="s">
        <v>334</v>
      </c>
      <c r="L32" s="13">
        <v>1.2E-2</v>
      </c>
      <c r="M32">
        <f t="shared" si="2"/>
        <v>3</v>
      </c>
      <c r="N32">
        <f t="shared" si="1"/>
        <v>1</v>
      </c>
      <c r="O32">
        <f t="shared" si="1"/>
        <v>3</v>
      </c>
      <c r="P32">
        <f t="shared" si="1"/>
        <v>4</v>
      </c>
    </row>
    <row r="33" spans="1:16" x14ac:dyDescent="0.25">
      <c r="A33" s="8" t="s">
        <v>153</v>
      </c>
      <c r="B33" s="3" t="s">
        <v>154</v>
      </c>
      <c r="C33" s="4">
        <v>28</v>
      </c>
      <c r="D33" s="4">
        <v>11</v>
      </c>
      <c r="E33" s="7">
        <v>0.32</v>
      </c>
      <c r="F33" s="7">
        <v>0.96</v>
      </c>
      <c r="G33" s="7">
        <v>0.28999999999999998</v>
      </c>
      <c r="H33" s="7">
        <v>0.89</v>
      </c>
      <c r="I33" s="8" t="s">
        <v>592</v>
      </c>
      <c r="J33" s="8" t="s">
        <v>322</v>
      </c>
      <c r="K33" s="8" t="s">
        <v>323</v>
      </c>
      <c r="L33" s="13">
        <v>0</v>
      </c>
      <c r="M33">
        <f t="shared" si="2"/>
        <v>1</v>
      </c>
      <c r="N33">
        <f t="shared" si="1"/>
        <v>1</v>
      </c>
      <c r="O33">
        <f t="shared" si="1"/>
        <v>1</v>
      </c>
      <c r="P33">
        <f t="shared" si="1"/>
        <v>2</v>
      </c>
    </row>
    <row r="34" spans="1:16" x14ac:dyDescent="0.25">
      <c r="A34" s="8" t="s">
        <v>71</v>
      </c>
      <c r="B34" s="3" t="s">
        <v>72</v>
      </c>
      <c r="C34" s="4">
        <v>10</v>
      </c>
      <c r="D34" s="4">
        <v>9</v>
      </c>
      <c r="E34" s="7">
        <v>1</v>
      </c>
      <c r="F34" s="7">
        <v>0.9</v>
      </c>
      <c r="G34" s="7">
        <v>0.88</v>
      </c>
      <c r="H34" s="7">
        <v>0.9</v>
      </c>
      <c r="I34" s="8" t="s">
        <v>593</v>
      </c>
      <c r="J34" s="8" t="s">
        <v>346</v>
      </c>
      <c r="K34" s="8" t="s">
        <v>594</v>
      </c>
      <c r="L34" s="13">
        <v>4.2000000000000003E-2</v>
      </c>
      <c r="M34">
        <f t="shared" si="2"/>
        <v>4</v>
      </c>
      <c r="N34">
        <f t="shared" si="1"/>
        <v>1</v>
      </c>
      <c r="O34">
        <f t="shared" si="1"/>
        <v>2</v>
      </c>
      <c r="P34">
        <f t="shared" si="1"/>
        <v>2</v>
      </c>
    </row>
    <row r="35" spans="1:16" x14ac:dyDescent="0.25">
      <c r="A35" s="8" t="s">
        <v>147</v>
      </c>
      <c r="B35" s="3" t="s">
        <v>148</v>
      </c>
      <c r="C35" s="4">
        <v>68</v>
      </c>
      <c r="D35" s="4">
        <v>54</v>
      </c>
      <c r="E35" s="7">
        <v>0.91</v>
      </c>
      <c r="F35" s="7">
        <v>1</v>
      </c>
      <c r="G35" s="7">
        <v>0.88</v>
      </c>
      <c r="H35" s="7">
        <v>0.87</v>
      </c>
      <c r="I35" s="8" t="s">
        <v>595</v>
      </c>
      <c r="J35" s="8" t="s">
        <v>596</v>
      </c>
      <c r="K35" s="8" t="s">
        <v>304</v>
      </c>
      <c r="L35" s="13">
        <v>1.4999999999999999E-2</v>
      </c>
      <c r="M35">
        <f t="shared" si="2"/>
        <v>2</v>
      </c>
      <c r="N35">
        <f t="shared" si="1"/>
        <v>4</v>
      </c>
      <c r="O35">
        <f t="shared" si="1"/>
        <v>2</v>
      </c>
      <c r="P35">
        <f t="shared" si="1"/>
        <v>2</v>
      </c>
    </row>
    <row r="36" spans="1:16" x14ac:dyDescent="0.25">
      <c r="A36" s="8" t="s">
        <v>102</v>
      </c>
      <c r="B36" s="3" t="s">
        <v>103</v>
      </c>
      <c r="C36" s="4">
        <v>71</v>
      </c>
      <c r="D36" s="4">
        <v>50</v>
      </c>
      <c r="E36" s="7">
        <v>0.92</v>
      </c>
      <c r="F36" s="7">
        <v>1</v>
      </c>
      <c r="G36" s="7">
        <v>0.88</v>
      </c>
      <c r="H36" s="7">
        <v>0.87</v>
      </c>
      <c r="I36" s="8" t="s">
        <v>597</v>
      </c>
      <c r="J36" s="8" t="s">
        <v>307</v>
      </c>
      <c r="K36" s="8" t="s">
        <v>286</v>
      </c>
      <c r="L36" s="13">
        <v>4.0000000000000001E-3</v>
      </c>
      <c r="M36">
        <f t="shared" si="2"/>
        <v>2</v>
      </c>
      <c r="N36">
        <f t="shared" si="1"/>
        <v>4</v>
      </c>
      <c r="O36">
        <f t="shared" si="1"/>
        <v>2</v>
      </c>
      <c r="P36">
        <f t="shared" si="1"/>
        <v>2</v>
      </c>
    </row>
    <row r="37" spans="1:16" x14ac:dyDescent="0.25">
      <c r="A37" s="8" t="s">
        <v>13</v>
      </c>
      <c r="B37" s="3" t="s">
        <v>14</v>
      </c>
      <c r="C37" s="4">
        <v>31</v>
      </c>
      <c r="D37" s="4">
        <v>25</v>
      </c>
      <c r="E37" s="7">
        <v>1</v>
      </c>
      <c r="F37" s="7">
        <v>1</v>
      </c>
      <c r="G37" s="7">
        <v>1</v>
      </c>
      <c r="H37" s="7">
        <v>0.97</v>
      </c>
      <c r="I37" s="8" t="s">
        <v>598</v>
      </c>
      <c r="J37" s="8" t="s">
        <v>219</v>
      </c>
      <c r="K37" s="8" t="s">
        <v>291</v>
      </c>
      <c r="L37" s="13">
        <v>1.2E-2</v>
      </c>
      <c r="M37">
        <f t="shared" si="2"/>
        <v>4</v>
      </c>
      <c r="N37">
        <f t="shared" si="1"/>
        <v>4</v>
      </c>
      <c r="O37">
        <f t="shared" si="1"/>
        <v>4</v>
      </c>
      <c r="P37">
        <f t="shared" si="1"/>
        <v>4</v>
      </c>
    </row>
    <row r="38" spans="1:16" x14ac:dyDescent="0.25">
      <c r="A38" s="8" t="s">
        <v>9</v>
      </c>
      <c r="B38" s="3" t="s">
        <v>10</v>
      </c>
      <c r="C38" s="4">
        <v>90</v>
      </c>
      <c r="D38" s="4">
        <v>45</v>
      </c>
      <c r="E38" s="7">
        <v>0.93</v>
      </c>
      <c r="F38" s="7">
        <v>0.97</v>
      </c>
      <c r="G38" s="7">
        <v>0.91</v>
      </c>
      <c r="H38" s="7">
        <v>0.92</v>
      </c>
      <c r="I38" s="8" t="s">
        <v>599</v>
      </c>
      <c r="J38" s="8" t="s">
        <v>307</v>
      </c>
      <c r="K38" s="8" t="s">
        <v>284</v>
      </c>
      <c r="L38" s="13">
        <v>7.0000000000000001E-3</v>
      </c>
      <c r="M38">
        <f t="shared" si="2"/>
        <v>2</v>
      </c>
      <c r="N38">
        <f t="shared" si="1"/>
        <v>2</v>
      </c>
      <c r="O38">
        <f t="shared" si="1"/>
        <v>3</v>
      </c>
      <c r="P38">
        <f t="shared" si="1"/>
        <v>3</v>
      </c>
    </row>
    <row r="39" spans="1:16" x14ac:dyDescent="0.25">
      <c r="A39" s="8" t="s">
        <v>92</v>
      </c>
      <c r="B39" s="3" t="s">
        <v>93</v>
      </c>
      <c r="C39" s="4">
        <v>20</v>
      </c>
      <c r="D39" s="4">
        <v>15</v>
      </c>
      <c r="E39" s="7">
        <v>1</v>
      </c>
      <c r="F39" s="7">
        <v>1</v>
      </c>
      <c r="G39" s="7">
        <v>1</v>
      </c>
      <c r="H39" s="7">
        <v>0.95</v>
      </c>
      <c r="I39" s="8" t="s">
        <v>600</v>
      </c>
      <c r="J39" s="8" t="s">
        <v>227</v>
      </c>
      <c r="K39" s="8" t="s">
        <v>286</v>
      </c>
      <c r="L39" s="13">
        <v>0</v>
      </c>
      <c r="M39">
        <f t="shared" si="2"/>
        <v>4</v>
      </c>
      <c r="N39">
        <f t="shared" si="1"/>
        <v>4</v>
      </c>
      <c r="O39">
        <f t="shared" si="1"/>
        <v>4</v>
      </c>
      <c r="P39">
        <f t="shared" si="1"/>
        <v>3</v>
      </c>
    </row>
    <row r="40" spans="1:16" x14ac:dyDescent="0.25">
      <c r="A40" s="8" t="s">
        <v>96</v>
      </c>
      <c r="B40" s="3" t="s">
        <v>97</v>
      </c>
      <c r="C40" s="4">
        <v>37</v>
      </c>
      <c r="D40" s="4">
        <v>26</v>
      </c>
      <c r="E40" s="7">
        <v>0.95</v>
      </c>
      <c r="F40" s="7">
        <v>0.95</v>
      </c>
      <c r="G40" s="7">
        <v>0.77</v>
      </c>
      <c r="H40" s="7">
        <v>0.97</v>
      </c>
      <c r="I40" s="8" t="s">
        <v>601</v>
      </c>
      <c r="J40" s="8" t="s">
        <v>596</v>
      </c>
      <c r="K40" s="8" t="s">
        <v>284</v>
      </c>
      <c r="L40" s="13">
        <v>3.4000000000000002E-2</v>
      </c>
      <c r="M40">
        <f t="shared" si="2"/>
        <v>3</v>
      </c>
      <c r="N40">
        <f t="shared" si="1"/>
        <v>1</v>
      </c>
      <c r="O40">
        <f t="shared" si="1"/>
        <v>1</v>
      </c>
      <c r="P40">
        <f t="shared" si="1"/>
        <v>4</v>
      </c>
    </row>
    <row r="41" spans="1:16" x14ac:dyDescent="0.25">
      <c r="A41" s="8" t="s">
        <v>110</v>
      </c>
      <c r="B41" s="3" t="s">
        <v>111</v>
      </c>
      <c r="C41" s="4">
        <v>61</v>
      </c>
      <c r="D41" s="4">
        <v>30</v>
      </c>
      <c r="E41" s="7">
        <v>0.95</v>
      </c>
      <c r="F41" s="7">
        <v>0.05</v>
      </c>
      <c r="G41" s="7">
        <v>0.91</v>
      </c>
      <c r="H41" s="7">
        <v>0.93</v>
      </c>
      <c r="I41" s="8" t="s">
        <v>602</v>
      </c>
      <c r="J41" s="8" t="s">
        <v>314</v>
      </c>
      <c r="K41" s="8" t="s">
        <v>214</v>
      </c>
      <c r="L41" s="13">
        <v>1.9E-2</v>
      </c>
      <c r="M41">
        <f t="shared" si="2"/>
        <v>3</v>
      </c>
      <c r="N41">
        <f t="shared" si="1"/>
        <v>1</v>
      </c>
      <c r="O41">
        <f t="shared" si="1"/>
        <v>3</v>
      </c>
      <c r="P41">
        <f t="shared" si="1"/>
        <v>3</v>
      </c>
    </row>
    <row r="42" spans="1:16" x14ac:dyDescent="0.25">
      <c r="A42" s="8" t="s">
        <v>155</v>
      </c>
      <c r="B42" s="3" t="s">
        <v>156</v>
      </c>
      <c r="C42" s="4" t="s">
        <v>345</v>
      </c>
      <c r="D42" s="4">
        <v>0</v>
      </c>
      <c r="E42" s="7" t="s">
        <v>346</v>
      </c>
      <c r="F42" s="7" t="s">
        <v>346</v>
      </c>
      <c r="G42" s="7" t="s">
        <v>346</v>
      </c>
      <c r="H42" s="7" t="s">
        <v>346</v>
      </c>
      <c r="I42" s="8" t="s">
        <v>346</v>
      </c>
      <c r="J42" s="8" t="s">
        <v>346</v>
      </c>
      <c r="K42" s="8" t="s">
        <v>335</v>
      </c>
      <c r="L42" s="13">
        <v>3.5999999999999997E-2</v>
      </c>
      <c r="M42">
        <f t="shared" si="2"/>
        <v>4</v>
      </c>
      <c r="N42">
        <f t="shared" si="1"/>
        <v>4</v>
      </c>
      <c r="O42">
        <f t="shared" si="1"/>
        <v>4</v>
      </c>
      <c r="P42">
        <f t="shared" si="1"/>
        <v>4</v>
      </c>
    </row>
    <row r="43" spans="1:16" x14ac:dyDescent="0.25">
      <c r="A43" s="8" t="s">
        <v>171</v>
      </c>
      <c r="B43" s="3" t="s">
        <v>172</v>
      </c>
      <c r="C43" s="4">
        <v>15</v>
      </c>
      <c r="D43" s="4">
        <v>7</v>
      </c>
      <c r="E43" s="7">
        <v>1</v>
      </c>
      <c r="F43" s="7">
        <v>1</v>
      </c>
      <c r="G43" s="7">
        <v>1</v>
      </c>
      <c r="H43" s="7">
        <v>1</v>
      </c>
      <c r="I43" s="8" t="s">
        <v>603</v>
      </c>
      <c r="J43" s="8" t="s">
        <v>336</v>
      </c>
      <c r="K43" s="8" t="s">
        <v>270</v>
      </c>
      <c r="L43" s="13">
        <v>0</v>
      </c>
      <c r="M43">
        <f t="shared" si="2"/>
        <v>4</v>
      </c>
      <c r="N43">
        <f t="shared" si="1"/>
        <v>4</v>
      </c>
      <c r="O43">
        <f t="shared" si="1"/>
        <v>4</v>
      </c>
      <c r="P43">
        <f t="shared" si="1"/>
        <v>4</v>
      </c>
    </row>
    <row r="44" spans="1:16" x14ac:dyDescent="0.25">
      <c r="A44" s="8" t="s">
        <v>165</v>
      </c>
      <c r="B44" s="3" t="s">
        <v>166</v>
      </c>
      <c r="C44" s="4">
        <v>18</v>
      </c>
      <c r="D44" s="4">
        <v>18</v>
      </c>
      <c r="E44" s="7">
        <v>0.67</v>
      </c>
      <c r="F44" s="7">
        <v>1</v>
      </c>
      <c r="G44" s="7">
        <v>0.59</v>
      </c>
      <c r="H44" s="7">
        <v>0.56000000000000005</v>
      </c>
      <c r="I44" s="8" t="s">
        <v>604</v>
      </c>
      <c r="J44" s="8" t="s">
        <v>335</v>
      </c>
      <c r="K44" s="8" t="s">
        <v>220</v>
      </c>
      <c r="L44" s="13">
        <v>0</v>
      </c>
      <c r="M44">
        <f t="shared" si="2"/>
        <v>1</v>
      </c>
      <c r="N44">
        <f t="shared" si="1"/>
        <v>4</v>
      </c>
      <c r="O44">
        <f t="shared" si="1"/>
        <v>1</v>
      </c>
      <c r="P44">
        <f t="shared" si="1"/>
        <v>1</v>
      </c>
    </row>
    <row r="45" spans="1:16" x14ac:dyDescent="0.25">
      <c r="A45" s="8" t="s">
        <v>159</v>
      </c>
      <c r="B45" s="3" t="s">
        <v>160</v>
      </c>
      <c r="C45" s="4">
        <v>58</v>
      </c>
      <c r="D45" s="4">
        <v>39</v>
      </c>
      <c r="E45" s="7">
        <v>1</v>
      </c>
      <c r="F45" s="7">
        <v>0.95</v>
      </c>
      <c r="G45" s="7">
        <v>1</v>
      </c>
      <c r="H45" s="7">
        <v>0.93</v>
      </c>
      <c r="I45" s="8" t="s">
        <v>605</v>
      </c>
      <c r="J45" s="8" t="s">
        <v>320</v>
      </c>
      <c r="K45" s="8" t="s">
        <v>284</v>
      </c>
      <c r="L45" s="13">
        <v>2.7E-2</v>
      </c>
      <c r="M45">
        <f t="shared" si="2"/>
        <v>4</v>
      </c>
      <c r="N45">
        <f t="shared" si="1"/>
        <v>1</v>
      </c>
      <c r="O45">
        <f t="shared" si="1"/>
        <v>4</v>
      </c>
      <c r="P45">
        <f t="shared" si="1"/>
        <v>3</v>
      </c>
    </row>
    <row r="46" spans="1:16" x14ac:dyDescent="0.25">
      <c r="A46" s="8" t="s">
        <v>161</v>
      </c>
      <c r="B46" s="3" t="s">
        <v>162</v>
      </c>
      <c r="C46" s="4">
        <v>13</v>
      </c>
      <c r="D46" s="4">
        <v>3</v>
      </c>
      <c r="E46" s="7">
        <v>1</v>
      </c>
      <c r="F46" s="7">
        <v>1</v>
      </c>
      <c r="G46" s="7">
        <v>1</v>
      </c>
      <c r="H46" s="7">
        <v>1</v>
      </c>
      <c r="I46" s="8" t="s">
        <v>606</v>
      </c>
      <c r="J46" s="8" t="s">
        <v>321</v>
      </c>
      <c r="K46" s="8" t="s">
        <v>346</v>
      </c>
      <c r="L46" s="13">
        <v>0</v>
      </c>
      <c r="M46">
        <f t="shared" si="2"/>
        <v>4</v>
      </c>
      <c r="N46">
        <f t="shared" si="1"/>
        <v>4</v>
      </c>
      <c r="O46">
        <f t="shared" si="1"/>
        <v>4</v>
      </c>
      <c r="P46">
        <f t="shared" si="1"/>
        <v>4</v>
      </c>
    </row>
    <row r="47" spans="1:16" x14ac:dyDescent="0.25">
      <c r="A47" s="8" t="s">
        <v>163</v>
      </c>
      <c r="B47" s="3" t="s">
        <v>164</v>
      </c>
      <c r="C47" s="4">
        <v>51</v>
      </c>
      <c r="D47" s="4">
        <v>34</v>
      </c>
      <c r="E47" s="7">
        <v>0.98</v>
      </c>
      <c r="F47" s="7">
        <v>1</v>
      </c>
      <c r="G47" s="7">
        <v>0.98</v>
      </c>
      <c r="H47" s="7">
        <v>0.94</v>
      </c>
      <c r="I47" s="8" t="s">
        <v>607</v>
      </c>
      <c r="J47" s="8" t="s">
        <v>608</v>
      </c>
      <c r="K47" s="8" t="s">
        <v>263</v>
      </c>
      <c r="L47" s="13">
        <v>1.0999999999999999E-2</v>
      </c>
      <c r="M47">
        <f t="shared" si="2"/>
        <v>3</v>
      </c>
      <c r="N47">
        <f t="shared" si="1"/>
        <v>4</v>
      </c>
      <c r="O47">
        <f t="shared" si="1"/>
        <v>4</v>
      </c>
      <c r="P47">
        <f t="shared" si="1"/>
        <v>3</v>
      </c>
    </row>
    <row r="48" spans="1:16" x14ac:dyDescent="0.25">
      <c r="A48" s="8" t="s">
        <v>167</v>
      </c>
      <c r="B48" s="3" t="s">
        <v>168</v>
      </c>
      <c r="C48" s="4">
        <v>64</v>
      </c>
      <c r="D48" s="4">
        <v>18</v>
      </c>
      <c r="E48" s="7">
        <v>0.69</v>
      </c>
      <c r="F48" s="7">
        <v>0.98</v>
      </c>
      <c r="G48" s="7">
        <v>0.71</v>
      </c>
      <c r="H48" s="7">
        <v>0.94</v>
      </c>
      <c r="I48" s="8" t="s">
        <v>609</v>
      </c>
      <c r="J48" s="8" t="s">
        <v>324</v>
      </c>
      <c r="K48" s="8" t="s">
        <v>300</v>
      </c>
      <c r="L48" s="13">
        <v>6.0000000000000001E-3</v>
      </c>
      <c r="M48">
        <f t="shared" si="2"/>
        <v>1</v>
      </c>
      <c r="N48">
        <f t="shared" si="1"/>
        <v>2</v>
      </c>
      <c r="O48">
        <f t="shared" si="1"/>
        <v>1</v>
      </c>
      <c r="P48">
        <f t="shared" si="1"/>
        <v>3</v>
      </c>
    </row>
    <row r="49" spans="1:16" x14ac:dyDescent="0.25">
      <c r="A49" s="8" t="s">
        <v>169</v>
      </c>
      <c r="B49" s="3" t="s">
        <v>170</v>
      </c>
      <c r="C49" s="4">
        <v>16</v>
      </c>
      <c r="D49" s="4">
        <v>11</v>
      </c>
      <c r="E49" s="7">
        <v>0.31</v>
      </c>
      <c r="F49" s="7">
        <v>1</v>
      </c>
      <c r="G49" s="7">
        <v>0.27</v>
      </c>
      <c r="H49" s="7">
        <v>0.19</v>
      </c>
      <c r="I49" s="8" t="s">
        <v>610</v>
      </c>
      <c r="J49" s="8" t="s">
        <v>325</v>
      </c>
      <c r="K49" s="8" t="s">
        <v>220</v>
      </c>
      <c r="L49" s="13">
        <v>0</v>
      </c>
      <c r="M49">
        <f t="shared" si="2"/>
        <v>1</v>
      </c>
      <c r="N49">
        <f t="shared" si="1"/>
        <v>4</v>
      </c>
      <c r="O49">
        <f t="shared" si="1"/>
        <v>1</v>
      </c>
      <c r="P49">
        <f t="shared" si="1"/>
        <v>1</v>
      </c>
    </row>
    <row r="50" spans="1:16" x14ac:dyDescent="0.25">
      <c r="A50" s="8" t="s">
        <v>80</v>
      </c>
      <c r="B50" s="3" t="s">
        <v>81</v>
      </c>
      <c r="C50" s="4">
        <v>87</v>
      </c>
      <c r="D50" s="4">
        <v>27</v>
      </c>
      <c r="E50" s="7">
        <v>0.74</v>
      </c>
      <c r="F50" s="7">
        <v>1</v>
      </c>
      <c r="G50" s="7">
        <v>0.73</v>
      </c>
      <c r="H50" s="7">
        <v>0.74</v>
      </c>
      <c r="I50" s="8" t="s">
        <v>611</v>
      </c>
      <c r="J50" s="8" t="s">
        <v>288</v>
      </c>
      <c r="K50" s="8" t="s">
        <v>284</v>
      </c>
      <c r="L50" s="13">
        <v>2.1000000000000001E-2</v>
      </c>
      <c r="M50">
        <f t="shared" si="2"/>
        <v>1</v>
      </c>
      <c r="N50">
        <f t="shared" si="1"/>
        <v>4</v>
      </c>
      <c r="O50">
        <f t="shared" si="1"/>
        <v>1</v>
      </c>
      <c r="P50">
        <f t="shared" si="1"/>
        <v>1</v>
      </c>
    </row>
    <row r="51" spans="1:16" x14ac:dyDescent="0.25">
      <c r="A51" s="8" t="s">
        <v>121</v>
      </c>
      <c r="B51" s="3" t="s">
        <v>122</v>
      </c>
      <c r="C51" s="4">
        <v>60</v>
      </c>
      <c r="D51" s="4">
        <v>35</v>
      </c>
      <c r="E51" s="7">
        <v>0.97</v>
      </c>
      <c r="F51" s="7">
        <v>0.97</v>
      </c>
      <c r="G51" s="7">
        <v>0.96</v>
      </c>
      <c r="H51" s="7">
        <v>0.95</v>
      </c>
      <c r="I51" s="8" t="s">
        <v>612</v>
      </c>
      <c r="J51" s="8" t="s">
        <v>213</v>
      </c>
      <c r="K51" s="8" t="s">
        <v>286</v>
      </c>
      <c r="L51" s="13">
        <v>2.8000000000000001E-2</v>
      </c>
      <c r="M51">
        <f t="shared" si="2"/>
        <v>3</v>
      </c>
      <c r="N51">
        <f t="shared" si="1"/>
        <v>2</v>
      </c>
      <c r="O51">
        <f t="shared" si="1"/>
        <v>3</v>
      </c>
      <c r="P51">
        <f t="shared" si="1"/>
        <v>3</v>
      </c>
    </row>
    <row r="52" spans="1:16" x14ac:dyDescent="0.25">
      <c r="A52" s="8" t="s">
        <v>86</v>
      </c>
      <c r="B52" s="3" t="s">
        <v>87</v>
      </c>
      <c r="C52" s="4">
        <v>42</v>
      </c>
      <c r="D52" s="4">
        <v>26</v>
      </c>
      <c r="E52" s="7">
        <v>0.93</v>
      </c>
      <c r="F52" s="7">
        <v>1</v>
      </c>
      <c r="G52" s="7">
        <v>0.92</v>
      </c>
      <c r="H52" s="7">
        <v>0.71</v>
      </c>
      <c r="I52" s="8" t="s">
        <v>613</v>
      </c>
      <c r="J52" s="8" t="s">
        <v>219</v>
      </c>
      <c r="K52" s="8" t="s">
        <v>214</v>
      </c>
      <c r="L52" s="13">
        <v>3.4000000000000002E-2</v>
      </c>
      <c r="M52">
        <f t="shared" si="2"/>
        <v>2</v>
      </c>
      <c r="N52">
        <f t="shared" si="1"/>
        <v>4</v>
      </c>
      <c r="O52">
        <f t="shared" si="1"/>
        <v>3</v>
      </c>
      <c r="P52">
        <f t="shared" si="1"/>
        <v>1</v>
      </c>
    </row>
    <row r="53" spans="1:16" x14ac:dyDescent="0.25">
      <c r="A53" s="8" t="s">
        <v>88</v>
      </c>
      <c r="B53" s="3" t="s">
        <v>89</v>
      </c>
      <c r="C53" s="4">
        <v>36</v>
      </c>
      <c r="D53" s="4">
        <v>24</v>
      </c>
      <c r="E53" s="7">
        <v>0.94</v>
      </c>
      <c r="F53" s="7">
        <v>0.92</v>
      </c>
      <c r="G53" s="7">
        <v>0.94</v>
      </c>
      <c r="H53" s="7">
        <v>0.94</v>
      </c>
      <c r="I53" s="8" t="s">
        <v>614</v>
      </c>
      <c r="J53" s="8" t="s">
        <v>314</v>
      </c>
      <c r="K53" s="8" t="s">
        <v>304</v>
      </c>
      <c r="L53" s="13">
        <v>1.4999999999999999E-2</v>
      </c>
      <c r="M53">
        <f t="shared" si="2"/>
        <v>2</v>
      </c>
      <c r="N53">
        <f t="shared" si="1"/>
        <v>1</v>
      </c>
      <c r="O53">
        <f t="shared" si="1"/>
        <v>3</v>
      </c>
      <c r="P53">
        <f t="shared" si="1"/>
        <v>3</v>
      </c>
    </row>
    <row r="54" spans="1:16" x14ac:dyDescent="0.25">
      <c r="A54" s="8" t="s">
        <v>141</v>
      </c>
      <c r="B54" s="3" t="s">
        <v>142</v>
      </c>
      <c r="C54" s="4">
        <v>45</v>
      </c>
      <c r="D54" s="4">
        <v>38</v>
      </c>
      <c r="E54" s="7">
        <v>0.93</v>
      </c>
      <c r="F54" s="7">
        <v>1</v>
      </c>
      <c r="G54" s="7">
        <v>0.93</v>
      </c>
      <c r="H54" s="7">
        <v>0.93</v>
      </c>
      <c r="I54" s="8" t="s">
        <v>615</v>
      </c>
      <c r="J54" s="8" t="s">
        <v>616</v>
      </c>
      <c r="K54" s="8" t="s">
        <v>284</v>
      </c>
      <c r="L54" s="13">
        <v>1.0999999999999999E-2</v>
      </c>
      <c r="M54">
        <f t="shared" si="2"/>
        <v>2</v>
      </c>
      <c r="N54">
        <f t="shared" si="1"/>
        <v>4</v>
      </c>
      <c r="O54">
        <f t="shared" si="1"/>
        <v>3</v>
      </c>
      <c r="P54">
        <f t="shared" si="1"/>
        <v>3</v>
      </c>
    </row>
    <row r="55" spans="1:16" x14ac:dyDescent="0.25">
      <c r="A55" s="8" t="s">
        <v>115</v>
      </c>
      <c r="B55" s="3" t="s">
        <v>116</v>
      </c>
      <c r="C55" s="4">
        <v>84</v>
      </c>
      <c r="D55" s="4">
        <v>48</v>
      </c>
      <c r="E55" s="7">
        <v>0.89</v>
      </c>
      <c r="F55" s="7">
        <v>0.96</v>
      </c>
      <c r="G55" s="7">
        <v>0.89</v>
      </c>
      <c r="H55" s="7">
        <v>0.88</v>
      </c>
      <c r="I55" s="8" t="s">
        <v>617</v>
      </c>
      <c r="J55" s="8" t="s">
        <v>218</v>
      </c>
      <c r="K55" s="8" t="s">
        <v>263</v>
      </c>
      <c r="L55" s="13">
        <v>1.2999999999999999E-2</v>
      </c>
      <c r="M55">
        <f t="shared" si="2"/>
        <v>2</v>
      </c>
      <c r="N55">
        <f t="shared" si="1"/>
        <v>1</v>
      </c>
      <c r="O55">
        <f t="shared" si="1"/>
        <v>2</v>
      </c>
      <c r="P55">
        <f t="shared" si="1"/>
        <v>2</v>
      </c>
    </row>
    <row r="56" spans="1:16" x14ac:dyDescent="0.25">
      <c r="A56" s="8" t="s">
        <v>125</v>
      </c>
      <c r="B56" s="3" t="s">
        <v>126</v>
      </c>
      <c r="C56" s="4">
        <v>57</v>
      </c>
      <c r="D56" s="4">
        <v>46</v>
      </c>
      <c r="E56" s="7">
        <v>0.96</v>
      </c>
      <c r="F56" s="7">
        <v>0.95</v>
      </c>
      <c r="G56" s="7">
        <v>0.96</v>
      </c>
      <c r="H56" s="7">
        <v>0.98</v>
      </c>
      <c r="I56" s="8" t="s">
        <v>618</v>
      </c>
      <c r="J56" s="8" t="s">
        <v>320</v>
      </c>
      <c r="K56" s="8" t="s">
        <v>214</v>
      </c>
      <c r="L56" s="13">
        <v>1.2E-2</v>
      </c>
      <c r="M56">
        <f t="shared" si="2"/>
        <v>3</v>
      </c>
      <c r="N56">
        <f t="shared" si="1"/>
        <v>1</v>
      </c>
      <c r="O56">
        <f t="shared" si="1"/>
        <v>3</v>
      </c>
      <c r="P56">
        <f t="shared" si="1"/>
        <v>4</v>
      </c>
    </row>
    <row r="57" spans="1:16" x14ac:dyDescent="0.25">
      <c r="A57" s="8" t="s">
        <v>98</v>
      </c>
      <c r="B57" s="3" t="s">
        <v>99</v>
      </c>
      <c r="C57" s="4">
        <v>19</v>
      </c>
      <c r="D57" s="4">
        <v>15</v>
      </c>
      <c r="E57" s="7">
        <v>1</v>
      </c>
      <c r="F57" s="7">
        <v>1</v>
      </c>
      <c r="G57" s="7">
        <v>1</v>
      </c>
      <c r="H57" s="7">
        <v>1</v>
      </c>
      <c r="I57" s="8" t="s">
        <v>619</v>
      </c>
      <c r="J57" s="8" t="s">
        <v>346</v>
      </c>
      <c r="K57" s="8" t="s">
        <v>620</v>
      </c>
      <c r="L57" s="13">
        <v>2.9000000000000001E-2</v>
      </c>
      <c r="M57">
        <f t="shared" si="2"/>
        <v>4</v>
      </c>
      <c r="N57">
        <f t="shared" si="1"/>
        <v>4</v>
      </c>
      <c r="O57">
        <f t="shared" si="1"/>
        <v>4</v>
      </c>
      <c r="P57">
        <f t="shared" si="1"/>
        <v>4</v>
      </c>
    </row>
    <row r="58" spans="1:16" x14ac:dyDescent="0.25">
      <c r="A58" s="8" t="s">
        <v>40</v>
      </c>
      <c r="B58" s="3" t="s">
        <v>41</v>
      </c>
      <c r="C58" s="4">
        <v>40</v>
      </c>
      <c r="D58" s="4">
        <v>18</v>
      </c>
      <c r="E58" s="7">
        <v>0.95</v>
      </c>
      <c r="F58" s="7">
        <v>0.98</v>
      </c>
      <c r="G58" s="7">
        <v>0.91</v>
      </c>
      <c r="H58" s="7">
        <v>0.93</v>
      </c>
      <c r="I58" s="8" t="s">
        <v>621</v>
      </c>
      <c r="J58" s="8" t="s">
        <v>312</v>
      </c>
      <c r="K58" s="8" t="s">
        <v>286</v>
      </c>
      <c r="L58" s="13">
        <v>3.5999999999999997E-2</v>
      </c>
      <c r="M58">
        <f t="shared" si="2"/>
        <v>3</v>
      </c>
      <c r="N58">
        <f t="shared" si="1"/>
        <v>2</v>
      </c>
      <c r="O58">
        <f t="shared" si="1"/>
        <v>3</v>
      </c>
      <c r="P58">
        <f t="shared" si="1"/>
        <v>3</v>
      </c>
    </row>
    <row r="59" spans="1:16" x14ac:dyDescent="0.25">
      <c r="A59" s="8" t="s">
        <v>108</v>
      </c>
      <c r="B59" s="3" t="s">
        <v>109</v>
      </c>
      <c r="C59" s="4">
        <v>6</v>
      </c>
      <c r="D59" s="4">
        <v>5</v>
      </c>
      <c r="E59" s="7">
        <v>1</v>
      </c>
      <c r="F59" s="7">
        <v>1</v>
      </c>
      <c r="G59" s="7">
        <v>1</v>
      </c>
      <c r="H59" s="7">
        <v>1</v>
      </c>
      <c r="I59" s="8" t="s">
        <v>622</v>
      </c>
      <c r="J59" s="8" t="s">
        <v>346</v>
      </c>
      <c r="K59" s="8" t="s">
        <v>623</v>
      </c>
      <c r="L59" s="13">
        <v>0</v>
      </c>
      <c r="M59">
        <f t="shared" si="2"/>
        <v>4</v>
      </c>
      <c r="N59">
        <f t="shared" si="1"/>
        <v>4</v>
      </c>
      <c r="O59">
        <f t="shared" si="1"/>
        <v>4</v>
      </c>
      <c r="P59">
        <f t="shared" si="1"/>
        <v>4</v>
      </c>
    </row>
    <row r="60" spans="1:16" x14ac:dyDescent="0.25">
      <c r="A60" s="8" t="s">
        <v>42</v>
      </c>
      <c r="B60" s="3" t="s">
        <v>43</v>
      </c>
      <c r="C60" s="4">
        <v>24</v>
      </c>
      <c r="D60" s="4">
        <v>19</v>
      </c>
      <c r="E60" s="7">
        <v>0.96</v>
      </c>
      <c r="F60" s="7">
        <v>1</v>
      </c>
      <c r="G60" s="7">
        <v>0.9</v>
      </c>
      <c r="H60" s="7">
        <v>0.96</v>
      </c>
      <c r="I60" s="8" t="s">
        <v>624</v>
      </c>
      <c r="J60" s="8" t="s">
        <v>313</v>
      </c>
      <c r="K60" s="8" t="s">
        <v>284</v>
      </c>
      <c r="L60" s="13">
        <v>2.1999999999999999E-2</v>
      </c>
      <c r="M60">
        <f t="shared" si="2"/>
        <v>3</v>
      </c>
      <c r="N60">
        <f t="shared" si="1"/>
        <v>4</v>
      </c>
      <c r="O60">
        <f t="shared" si="1"/>
        <v>2</v>
      </c>
      <c r="P60">
        <f t="shared" si="1"/>
        <v>4</v>
      </c>
    </row>
    <row r="61" spans="1:16" x14ac:dyDescent="0.25">
      <c r="A61" s="8" t="s">
        <v>53</v>
      </c>
      <c r="B61" s="3" t="s">
        <v>54</v>
      </c>
      <c r="C61" s="4">
        <v>27</v>
      </c>
      <c r="D61" s="4">
        <v>13</v>
      </c>
      <c r="E61" s="7">
        <v>1</v>
      </c>
      <c r="F61" s="7">
        <v>1</v>
      </c>
      <c r="G61" s="7">
        <v>1</v>
      </c>
      <c r="H61" s="7">
        <v>0.81</v>
      </c>
      <c r="I61" s="8" t="s">
        <v>625</v>
      </c>
      <c r="J61" s="8" t="s">
        <v>245</v>
      </c>
      <c r="K61" s="8" t="s">
        <v>286</v>
      </c>
      <c r="L61" s="13">
        <v>1.4E-2</v>
      </c>
      <c r="M61">
        <f t="shared" si="2"/>
        <v>4</v>
      </c>
      <c r="N61">
        <f t="shared" si="1"/>
        <v>4</v>
      </c>
      <c r="O61">
        <f t="shared" si="1"/>
        <v>4</v>
      </c>
      <c r="P61">
        <f t="shared" si="1"/>
        <v>2</v>
      </c>
    </row>
    <row r="62" spans="1:16" x14ac:dyDescent="0.25">
      <c r="A62" s="8" t="s">
        <v>21</v>
      </c>
      <c r="B62" s="3" t="s">
        <v>22</v>
      </c>
      <c r="C62" s="4">
        <v>50</v>
      </c>
      <c r="D62" s="4">
        <v>33</v>
      </c>
      <c r="E62" s="7">
        <v>0.6</v>
      </c>
      <c r="F62" s="7">
        <v>1</v>
      </c>
      <c r="G62" s="7">
        <v>0.61</v>
      </c>
      <c r="H62" s="7">
        <v>0.7</v>
      </c>
      <c r="I62" s="8" t="s">
        <v>626</v>
      </c>
      <c r="J62" s="8" t="s">
        <v>310</v>
      </c>
      <c r="K62" s="8" t="s">
        <v>284</v>
      </c>
      <c r="L62" s="13">
        <v>0</v>
      </c>
      <c r="M62">
        <f t="shared" si="2"/>
        <v>1</v>
      </c>
      <c r="N62">
        <f t="shared" si="1"/>
        <v>4</v>
      </c>
      <c r="O62">
        <f t="shared" si="1"/>
        <v>1</v>
      </c>
      <c r="P62">
        <f t="shared" si="1"/>
        <v>1</v>
      </c>
    </row>
    <row r="63" spans="1:16" x14ac:dyDescent="0.25">
      <c r="A63" s="8" t="s">
        <v>94</v>
      </c>
      <c r="B63" s="3" t="s">
        <v>95</v>
      </c>
      <c r="C63" s="4">
        <v>83</v>
      </c>
      <c r="D63" s="4">
        <v>46</v>
      </c>
      <c r="E63" s="7">
        <v>0.88</v>
      </c>
      <c r="F63" s="7">
        <v>0.99</v>
      </c>
      <c r="G63" s="7">
        <v>0.71</v>
      </c>
      <c r="H63" s="7">
        <v>0.75</v>
      </c>
      <c r="I63" s="8" t="s">
        <v>627</v>
      </c>
      <c r="J63" s="8" t="s">
        <v>294</v>
      </c>
      <c r="K63" s="8" t="s">
        <v>283</v>
      </c>
      <c r="L63" s="13">
        <v>1.6E-2</v>
      </c>
      <c r="M63">
        <f t="shared" si="2"/>
        <v>1</v>
      </c>
      <c r="N63">
        <f t="shared" si="1"/>
        <v>3</v>
      </c>
      <c r="O63">
        <f t="shared" si="1"/>
        <v>1</v>
      </c>
      <c r="P63">
        <f t="shared" si="1"/>
        <v>2</v>
      </c>
    </row>
    <row r="64" spans="1:16" x14ac:dyDescent="0.25">
      <c r="A64" s="8" t="s">
        <v>57</v>
      </c>
      <c r="B64" s="3" t="s">
        <v>58</v>
      </c>
      <c r="C64" s="4">
        <v>28</v>
      </c>
      <c r="D64" s="4">
        <v>16</v>
      </c>
      <c r="E64" s="7">
        <v>0.89</v>
      </c>
      <c r="F64" s="7">
        <v>1</v>
      </c>
      <c r="G64" s="7">
        <v>0.8</v>
      </c>
      <c r="H64" s="7">
        <v>0.71</v>
      </c>
      <c r="I64" s="8" t="s">
        <v>628</v>
      </c>
      <c r="J64" s="8" t="s">
        <v>337</v>
      </c>
      <c r="K64" s="8" t="s">
        <v>221</v>
      </c>
      <c r="L64" s="13">
        <v>1.4E-2</v>
      </c>
      <c r="M64">
        <f t="shared" si="2"/>
        <v>2</v>
      </c>
      <c r="N64">
        <f t="shared" si="1"/>
        <v>4</v>
      </c>
      <c r="O64">
        <f t="shared" si="1"/>
        <v>1</v>
      </c>
      <c r="P64">
        <f t="shared" si="1"/>
        <v>1</v>
      </c>
    </row>
    <row r="65" spans="1:16" x14ac:dyDescent="0.25">
      <c r="A65" s="8" t="s">
        <v>151</v>
      </c>
      <c r="B65" s="3" t="s">
        <v>152</v>
      </c>
      <c r="C65" s="4">
        <v>30</v>
      </c>
      <c r="D65" s="4">
        <v>19</v>
      </c>
      <c r="E65" s="7">
        <v>0.97</v>
      </c>
      <c r="F65" s="7">
        <v>0.97</v>
      </c>
      <c r="G65" s="7">
        <v>0.96</v>
      </c>
      <c r="H65" s="7">
        <v>0.87</v>
      </c>
      <c r="I65" s="8" t="s">
        <v>629</v>
      </c>
      <c r="J65" s="8" t="s">
        <v>630</v>
      </c>
      <c r="K65" s="8" t="s">
        <v>291</v>
      </c>
      <c r="L65" s="13">
        <v>0</v>
      </c>
      <c r="M65">
        <f t="shared" si="2"/>
        <v>3</v>
      </c>
      <c r="N65">
        <f t="shared" si="1"/>
        <v>2</v>
      </c>
      <c r="O65">
        <f t="shared" si="1"/>
        <v>3</v>
      </c>
      <c r="P65">
        <f t="shared" si="1"/>
        <v>2</v>
      </c>
    </row>
    <row r="66" spans="1:16" x14ac:dyDescent="0.25">
      <c r="A66" s="8" t="s">
        <v>119</v>
      </c>
      <c r="B66" s="3" t="s">
        <v>120</v>
      </c>
      <c r="C66" s="4">
        <v>39</v>
      </c>
      <c r="D66" s="4">
        <v>17</v>
      </c>
      <c r="E66" s="7">
        <v>0.85</v>
      </c>
      <c r="F66" s="7">
        <v>0.92</v>
      </c>
      <c r="G66" s="7">
        <v>0.81</v>
      </c>
      <c r="H66" s="7">
        <v>0.92</v>
      </c>
      <c r="I66" s="8" t="s">
        <v>631</v>
      </c>
      <c r="J66" s="8" t="s">
        <v>632</v>
      </c>
      <c r="K66" s="8" t="s">
        <v>284</v>
      </c>
      <c r="L66" s="13">
        <v>0</v>
      </c>
      <c r="M66">
        <f t="shared" si="2"/>
        <v>1</v>
      </c>
      <c r="N66">
        <f t="shared" si="1"/>
        <v>1</v>
      </c>
      <c r="O66">
        <f t="shared" si="1"/>
        <v>1</v>
      </c>
      <c r="P66">
        <f t="shared" si="1"/>
        <v>3</v>
      </c>
    </row>
    <row r="67" spans="1:16" x14ac:dyDescent="0.25">
      <c r="A67" s="8" t="s">
        <v>19</v>
      </c>
      <c r="B67" s="3" t="s">
        <v>20</v>
      </c>
      <c r="C67" s="4">
        <v>31</v>
      </c>
      <c r="D67" s="4">
        <v>18</v>
      </c>
      <c r="E67" s="7">
        <v>0.97</v>
      </c>
      <c r="F67" s="7">
        <v>0.97</v>
      </c>
      <c r="G67" s="7">
        <v>0.9</v>
      </c>
      <c r="H67" s="7">
        <v>0.81</v>
      </c>
      <c r="I67" s="8" t="s">
        <v>633</v>
      </c>
      <c r="J67" s="8" t="s">
        <v>309</v>
      </c>
      <c r="K67" s="8" t="s">
        <v>291</v>
      </c>
      <c r="L67" s="13">
        <v>1.2E-2</v>
      </c>
      <c r="M67">
        <f t="shared" si="2"/>
        <v>3</v>
      </c>
      <c r="N67">
        <f t="shared" si="1"/>
        <v>2</v>
      </c>
      <c r="O67">
        <f t="shared" si="1"/>
        <v>2</v>
      </c>
      <c r="P67">
        <f t="shared" si="1"/>
        <v>2</v>
      </c>
    </row>
    <row r="68" spans="1:16" x14ac:dyDescent="0.25">
      <c r="A68" s="8" t="s">
        <v>65</v>
      </c>
      <c r="B68" s="3" t="s">
        <v>66</v>
      </c>
      <c r="C68" s="4">
        <v>90</v>
      </c>
      <c r="D68" s="4">
        <v>86</v>
      </c>
      <c r="E68" s="7">
        <v>0.7</v>
      </c>
      <c r="F68" s="7">
        <v>0.98</v>
      </c>
      <c r="G68" s="7">
        <v>0.69</v>
      </c>
      <c r="H68" s="7">
        <v>0.71</v>
      </c>
      <c r="I68" s="8" t="s">
        <v>634</v>
      </c>
      <c r="J68" s="8" t="s">
        <v>346</v>
      </c>
      <c r="K68" s="8" t="s">
        <v>214</v>
      </c>
      <c r="L68" s="13">
        <v>0</v>
      </c>
      <c r="M68">
        <f t="shared" si="2"/>
        <v>1</v>
      </c>
      <c r="N68">
        <f t="shared" si="1"/>
        <v>2</v>
      </c>
      <c r="O68">
        <f t="shared" si="1"/>
        <v>1</v>
      </c>
      <c r="P68">
        <f t="shared" si="1"/>
        <v>1</v>
      </c>
    </row>
    <row r="69" spans="1:16" x14ac:dyDescent="0.25">
      <c r="A69" s="8" t="s">
        <v>2</v>
      </c>
      <c r="B69" s="3" t="s">
        <v>196</v>
      </c>
      <c r="C69" s="4">
        <v>68</v>
      </c>
      <c r="D69" s="4">
        <v>29</v>
      </c>
      <c r="E69" s="7">
        <v>1</v>
      </c>
      <c r="F69" s="7">
        <v>0.99</v>
      </c>
      <c r="G69" s="7">
        <v>0.92</v>
      </c>
      <c r="H69" s="7">
        <v>0.96</v>
      </c>
      <c r="I69" s="8" t="s">
        <v>635</v>
      </c>
      <c r="J69" s="8" t="s">
        <v>303</v>
      </c>
      <c r="K69" s="8" t="s">
        <v>304</v>
      </c>
      <c r="L69" s="13">
        <v>2.1999999999999999E-2</v>
      </c>
      <c r="M69">
        <f t="shared" si="2"/>
        <v>4</v>
      </c>
      <c r="N69">
        <f t="shared" si="1"/>
        <v>3</v>
      </c>
      <c r="O69">
        <f t="shared" si="1"/>
        <v>3</v>
      </c>
      <c r="P69">
        <f t="shared" si="1"/>
        <v>4</v>
      </c>
    </row>
    <row r="70" spans="1:16" x14ac:dyDescent="0.25">
      <c r="A70" s="8" t="s">
        <v>23</v>
      </c>
      <c r="B70" s="3" t="s">
        <v>24</v>
      </c>
      <c r="C70" s="4">
        <v>56</v>
      </c>
      <c r="D70" s="4">
        <v>30</v>
      </c>
      <c r="E70" s="7">
        <v>0.98</v>
      </c>
      <c r="F70" s="7">
        <v>0.98</v>
      </c>
      <c r="G70" s="7">
        <v>0.98</v>
      </c>
      <c r="H70" s="7">
        <v>0.98</v>
      </c>
      <c r="I70" s="8" t="s">
        <v>636</v>
      </c>
      <c r="J70" s="8" t="s">
        <v>340</v>
      </c>
      <c r="K70" s="8" t="s">
        <v>284</v>
      </c>
      <c r="L70" s="13">
        <v>2.3E-2</v>
      </c>
      <c r="M70">
        <f t="shared" si="2"/>
        <v>3</v>
      </c>
      <c r="N70">
        <f t="shared" si="1"/>
        <v>2</v>
      </c>
      <c r="O70">
        <f t="shared" si="1"/>
        <v>4</v>
      </c>
      <c r="P70">
        <f t="shared" si="1"/>
        <v>4</v>
      </c>
    </row>
    <row r="71" spans="1:16" x14ac:dyDescent="0.25">
      <c r="A71" s="8" t="s">
        <v>84</v>
      </c>
      <c r="B71" s="3" t="s">
        <v>85</v>
      </c>
      <c r="C71" s="4">
        <v>57</v>
      </c>
      <c r="D71" s="4">
        <v>32</v>
      </c>
      <c r="E71" s="7">
        <v>0.93</v>
      </c>
      <c r="F71" s="7">
        <v>0.96</v>
      </c>
      <c r="G71" s="7">
        <v>0.93</v>
      </c>
      <c r="H71" s="7">
        <v>0.77</v>
      </c>
      <c r="I71" s="8" t="s">
        <v>637</v>
      </c>
      <c r="J71" s="8" t="s">
        <v>314</v>
      </c>
      <c r="K71" s="8" t="s">
        <v>286</v>
      </c>
      <c r="L71" s="13">
        <v>0</v>
      </c>
      <c r="M71">
        <f t="shared" si="2"/>
        <v>2</v>
      </c>
      <c r="N71">
        <f t="shared" si="1"/>
        <v>1</v>
      </c>
      <c r="O71">
        <f t="shared" si="1"/>
        <v>3</v>
      </c>
      <c r="P71">
        <f t="shared" si="1"/>
        <v>2</v>
      </c>
    </row>
    <row r="72" spans="1:16" x14ac:dyDescent="0.25">
      <c r="A72" s="8" t="s">
        <v>15</v>
      </c>
      <c r="B72" s="3" t="s">
        <v>16</v>
      </c>
      <c r="C72" s="4">
        <v>30</v>
      </c>
      <c r="D72" s="4">
        <v>21</v>
      </c>
      <c r="E72" s="7">
        <v>1</v>
      </c>
      <c r="F72" s="7">
        <v>1</v>
      </c>
      <c r="G72" s="7">
        <v>1</v>
      </c>
      <c r="H72" s="7">
        <v>0.97</v>
      </c>
      <c r="I72" s="8" t="s">
        <v>638</v>
      </c>
      <c r="J72" s="8" t="s">
        <v>308</v>
      </c>
      <c r="K72" s="8" t="s">
        <v>286</v>
      </c>
      <c r="L72" s="13">
        <v>0</v>
      </c>
      <c r="M72">
        <f t="shared" si="2"/>
        <v>4</v>
      </c>
      <c r="N72">
        <f t="shared" si="2"/>
        <v>4</v>
      </c>
      <c r="O72">
        <f t="shared" si="2"/>
        <v>4</v>
      </c>
      <c r="P72">
        <f t="shared" si="2"/>
        <v>4</v>
      </c>
    </row>
    <row r="73" spans="1:16" x14ac:dyDescent="0.25">
      <c r="A73" s="8" t="s">
        <v>129</v>
      </c>
      <c r="B73" s="3" t="s">
        <v>130</v>
      </c>
      <c r="C73" s="4">
        <v>26</v>
      </c>
      <c r="D73" s="4">
        <v>13</v>
      </c>
      <c r="E73" s="7">
        <v>0.96</v>
      </c>
      <c r="F73" s="7">
        <v>1</v>
      </c>
      <c r="G73" s="7">
        <v>0.96</v>
      </c>
      <c r="H73" s="7">
        <v>1</v>
      </c>
      <c r="I73" s="8" t="s">
        <v>639</v>
      </c>
      <c r="J73" s="8" t="s">
        <v>314</v>
      </c>
      <c r="K73" s="8" t="s">
        <v>211</v>
      </c>
      <c r="L73" s="13">
        <v>4.8000000000000001E-2</v>
      </c>
      <c r="M73">
        <f t="shared" ref="M73:P83" si="3">+IF(E73&lt;E$2,1,IF(E73&lt;E$3,2,IF(E73&lt;E$4,3,4)))</f>
        <v>3</v>
      </c>
      <c r="N73">
        <f t="shared" si="3"/>
        <v>4</v>
      </c>
      <c r="O73">
        <f t="shared" si="3"/>
        <v>3</v>
      </c>
      <c r="P73">
        <f t="shared" si="3"/>
        <v>4</v>
      </c>
    </row>
    <row r="74" spans="1:16" x14ac:dyDescent="0.25">
      <c r="A74" s="8" t="s">
        <v>67</v>
      </c>
      <c r="B74" s="3" t="s">
        <v>68</v>
      </c>
      <c r="C74" s="4">
        <v>127</v>
      </c>
      <c r="D74" s="4">
        <v>69</v>
      </c>
      <c r="E74" s="7">
        <v>0.99</v>
      </c>
      <c r="F74" s="7">
        <v>0.98</v>
      </c>
      <c r="G74" s="7">
        <v>0.98</v>
      </c>
      <c r="H74" s="7">
        <v>0.94</v>
      </c>
      <c r="I74" s="8" t="s">
        <v>640</v>
      </c>
      <c r="J74" s="8" t="s">
        <v>316</v>
      </c>
      <c r="K74" s="8" t="s">
        <v>284</v>
      </c>
      <c r="L74" s="13">
        <v>2.3E-2</v>
      </c>
      <c r="M74">
        <f t="shared" si="3"/>
        <v>3</v>
      </c>
      <c r="N74">
        <f t="shared" si="3"/>
        <v>2</v>
      </c>
      <c r="O74">
        <f t="shared" si="3"/>
        <v>4</v>
      </c>
      <c r="P74">
        <f t="shared" si="3"/>
        <v>3</v>
      </c>
    </row>
    <row r="75" spans="1:16" x14ac:dyDescent="0.25">
      <c r="A75" s="8" t="s">
        <v>55</v>
      </c>
      <c r="B75" s="3" t="s">
        <v>56</v>
      </c>
      <c r="C75" s="4">
        <v>98</v>
      </c>
      <c r="D75" s="4">
        <v>41</v>
      </c>
      <c r="E75" s="7">
        <v>0.92</v>
      </c>
      <c r="F75" s="7">
        <v>1</v>
      </c>
      <c r="G75" s="7">
        <v>0.91</v>
      </c>
      <c r="H75" s="7">
        <v>0.9</v>
      </c>
      <c r="I75" s="8" t="s">
        <v>641</v>
      </c>
      <c r="J75" s="8" t="s">
        <v>314</v>
      </c>
      <c r="K75" s="8" t="s">
        <v>286</v>
      </c>
      <c r="L75" s="13">
        <v>1.0999999999999999E-2</v>
      </c>
      <c r="M75">
        <f t="shared" si="3"/>
        <v>2</v>
      </c>
      <c r="N75">
        <f t="shared" si="3"/>
        <v>4</v>
      </c>
      <c r="O75">
        <f t="shared" si="3"/>
        <v>3</v>
      </c>
      <c r="P75">
        <f t="shared" si="3"/>
        <v>2</v>
      </c>
    </row>
    <row r="76" spans="1:16" x14ac:dyDescent="0.25">
      <c r="A76" s="8" t="s">
        <v>104</v>
      </c>
      <c r="B76" s="3" t="s">
        <v>105</v>
      </c>
      <c r="C76" s="4">
        <v>80</v>
      </c>
      <c r="D76" s="4">
        <v>69</v>
      </c>
      <c r="E76" s="7">
        <v>0.98</v>
      </c>
      <c r="F76" s="7">
        <v>1</v>
      </c>
      <c r="G76" s="7">
        <v>0.97</v>
      </c>
      <c r="H76" s="7">
        <v>0.95</v>
      </c>
      <c r="I76" s="8" t="s">
        <v>642</v>
      </c>
      <c r="J76" s="8" t="s">
        <v>310</v>
      </c>
      <c r="K76" s="8" t="s">
        <v>286</v>
      </c>
      <c r="L76" s="13">
        <v>1.7000000000000001E-2</v>
      </c>
      <c r="M76">
        <f t="shared" si="3"/>
        <v>3</v>
      </c>
      <c r="N76">
        <f t="shared" si="3"/>
        <v>4</v>
      </c>
      <c r="O76">
        <f t="shared" si="3"/>
        <v>4</v>
      </c>
      <c r="P76">
        <f t="shared" si="3"/>
        <v>3</v>
      </c>
    </row>
    <row r="77" spans="1:16" x14ac:dyDescent="0.25">
      <c r="A77" s="8" t="s">
        <v>74</v>
      </c>
      <c r="B77" s="3" t="s">
        <v>75</v>
      </c>
      <c r="C77" s="4">
        <v>46</v>
      </c>
      <c r="D77" s="4">
        <v>30</v>
      </c>
      <c r="E77" s="7">
        <v>0.98</v>
      </c>
      <c r="F77" s="7">
        <v>1</v>
      </c>
      <c r="G77" s="7">
        <v>0.95</v>
      </c>
      <c r="H77" s="7">
        <v>0.93</v>
      </c>
      <c r="I77" s="8" t="s">
        <v>643</v>
      </c>
      <c r="J77" s="8" t="s">
        <v>303</v>
      </c>
      <c r="K77" s="8" t="s">
        <v>210</v>
      </c>
      <c r="L77" s="13">
        <v>2.5000000000000001E-2</v>
      </c>
      <c r="M77">
        <f t="shared" si="3"/>
        <v>3</v>
      </c>
      <c r="N77">
        <f t="shared" si="3"/>
        <v>4</v>
      </c>
      <c r="O77">
        <f t="shared" si="3"/>
        <v>3</v>
      </c>
      <c r="P77">
        <f t="shared" si="3"/>
        <v>3</v>
      </c>
    </row>
    <row r="78" spans="1:16" x14ac:dyDescent="0.25">
      <c r="A78" s="8" t="s">
        <v>114</v>
      </c>
      <c r="B78" s="1" t="s">
        <v>347</v>
      </c>
      <c r="C78" s="4">
        <v>68</v>
      </c>
      <c r="D78" s="4">
        <v>53</v>
      </c>
      <c r="E78" s="7">
        <v>1</v>
      </c>
      <c r="F78" s="7">
        <v>1</v>
      </c>
      <c r="G78" s="7">
        <v>0.98</v>
      </c>
      <c r="H78" s="7">
        <v>0.99</v>
      </c>
      <c r="I78" s="8" t="s">
        <v>644</v>
      </c>
      <c r="J78" s="8" t="s">
        <v>318</v>
      </c>
      <c r="K78" s="8" t="s">
        <v>205</v>
      </c>
      <c r="L78" s="13">
        <v>2.1000000000000001E-2</v>
      </c>
      <c r="M78">
        <f t="shared" si="3"/>
        <v>4</v>
      </c>
      <c r="N78">
        <f t="shared" si="3"/>
        <v>4</v>
      </c>
      <c r="O78">
        <f t="shared" si="3"/>
        <v>4</v>
      </c>
      <c r="P78">
        <f t="shared" si="3"/>
        <v>4</v>
      </c>
    </row>
    <row r="79" spans="1:16" x14ac:dyDescent="0.25">
      <c r="A79" s="8" t="s">
        <v>131</v>
      </c>
      <c r="B79" s="3" t="s">
        <v>132</v>
      </c>
      <c r="C79" s="4">
        <v>60</v>
      </c>
      <c r="D79" s="4">
        <v>30</v>
      </c>
      <c r="E79" s="7">
        <v>0.6</v>
      </c>
      <c r="F79" s="7">
        <v>0.97</v>
      </c>
      <c r="G79" s="7">
        <v>0.56000000000000005</v>
      </c>
      <c r="H79" s="7">
        <v>0.35</v>
      </c>
      <c r="I79" s="8" t="s">
        <v>645</v>
      </c>
      <c r="J79" s="8" t="s">
        <v>321</v>
      </c>
      <c r="K79" s="8" t="s">
        <v>301</v>
      </c>
      <c r="L79" s="13">
        <v>5.0000000000000001E-3</v>
      </c>
      <c r="M79">
        <f t="shared" si="3"/>
        <v>1</v>
      </c>
      <c r="N79">
        <f t="shared" si="3"/>
        <v>2</v>
      </c>
      <c r="O79">
        <f t="shared" si="3"/>
        <v>1</v>
      </c>
      <c r="P79">
        <f t="shared" si="3"/>
        <v>1</v>
      </c>
    </row>
    <row r="80" spans="1:16" x14ac:dyDescent="0.25">
      <c r="A80" s="8" t="s">
        <v>73</v>
      </c>
      <c r="B80" s="3" t="s">
        <v>197</v>
      </c>
      <c r="C80" s="4">
        <v>36</v>
      </c>
      <c r="D80" s="4">
        <v>21</v>
      </c>
      <c r="E80" s="7">
        <v>0.97</v>
      </c>
      <c r="F80" s="7">
        <v>1</v>
      </c>
      <c r="G80" s="7">
        <v>1</v>
      </c>
      <c r="H80" s="7">
        <v>1</v>
      </c>
      <c r="I80" s="8" t="s">
        <v>646</v>
      </c>
      <c r="J80" s="8" t="s">
        <v>317</v>
      </c>
      <c r="K80" s="8" t="s">
        <v>286</v>
      </c>
      <c r="L80" s="13">
        <v>2.1999999999999999E-2</v>
      </c>
      <c r="M80">
        <f t="shared" si="3"/>
        <v>3</v>
      </c>
      <c r="N80">
        <f t="shared" si="3"/>
        <v>4</v>
      </c>
      <c r="O80">
        <f t="shared" si="3"/>
        <v>4</v>
      </c>
      <c r="P80">
        <f t="shared" si="3"/>
        <v>4</v>
      </c>
    </row>
    <row r="81" spans="1:16" x14ac:dyDescent="0.25">
      <c r="A81" s="8" t="s">
        <v>133</v>
      </c>
      <c r="B81" s="3" t="s">
        <v>134</v>
      </c>
      <c r="C81" s="4">
        <v>45</v>
      </c>
      <c r="D81" s="4">
        <v>38</v>
      </c>
      <c r="E81" s="7">
        <v>1</v>
      </c>
      <c r="F81" s="7">
        <v>0.98</v>
      </c>
      <c r="G81" s="7">
        <v>0.94</v>
      </c>
      <c r="H81" s="7">
        <v>0.91</v>
      </c>
      <c r="I81" s="8" t="s">
        <v>647</v>
      </c>
      <c r="J81" s="8" t="s">
        <v>307</v>
      </c>
      <c r="K81" s="8" t="s">
        <v>214</v>
      </c>
      <c r="L81" s="13">
        <v>1.2E-2</v>
      </c>
      <c r="M81">
        <f t="shared" si="3"/>
        <v>4</v>
      </c>
      <c r="N81">
        <f t="shared" si="3"/>
        <v>2</v>
      </c>
      <c r="O81">
        <f t="shared" si="3"/>
        <v>3</v>
      </c>
      <c r="P81">
        <f t="shared" si="3"/>
        <v>3</v>
      </c>
    </row>
    <row r="82" spans="1:16" x14ac:dyDescent="0.25">
      <c r="A82" s="8" t="s">
        <v>137</v>
      </c>
      <c r="B82" s="3" t="s">
        <v>138</v>
      </c>
      <c r="C82" s="4">
        <v>73</v>
      </c>
      <c r="D82" s="4">
        <v>34</v>
      </c>
      <c r="E82" s="7">
        <v>1</v>
      </c>
      <c r="F82" s="7">
        <v>0.99</v>
      </c>
      <c r="G82" s="7">
        <v>0.95</v>
      </c>
      <c r="H82" s="7">
        <v>0.63</v>
      </c>
      <c r="I82" s="8" t="s">
        <v>648</v>
      </c>
      <c r="J82" s="8" t="s">
        <v>288</v>
      </c>
      <c r="K82" s="8" t="s">
        <v>220</v>
      </c>
      <c r="L82" s="13">
        <v>5.0000000000000001E-3</v>
      </c>
      <c r="M82">
        <f t="shared" si="3"/>
        <v>4</v>
      </c>
      <c r="N82">
        <f t="shared" si="3"/>
        <v>3</v>
      </c>
      <c r="O82">
        <f t="shared" si="3"/>
        <v>3</v>
      </c>
      <c r="P82">
        <f t="shared" si="3"/>
        <v>1</v>
      </c>
    </row>
    <row r="83" spans="1:16" x14ac:dyDescent="0.25">
      <c r="A83" s="8" t="s">
        <v>33</v>
      </c>
      <c r="B83" s="3" t="s">
        <v>34</v>
      </c>
      <c r="C83" s="4">
        <v>53</v>
      </c>
      <c r="D83" s="4">
        <v>16</v>
      </c>
      <c r="E83" s="7">
        <v>0.89</v>
      </c>
      <c r="F83" s="7">
        <v>0.98</v>
      </c>
      <c r="G83" s="7">
        <v>0.93</v>
      </c>
      <c r="H83" s="7">
        <v>0.91</v>
      </c>
      <c r="I83" s="8" t="s">
        <v>649</v>
      </c>
      <c r="J83" s="8" t="s">
        <v>311</v>
      </c>
      <c r="K83" s="8" t="s">
        <v>276</v>
      </c>
      <c r="L83" s="13">
        <v>1.7999999999999999E-2</v>
      </c>
      <c r="M83">
        <f t="shared" si="3"/>
        <v>2</v>
      </c>
      <c r="N83">
        <f t="shared" si="3"/>
        <v>2</v>
      </c>
      <c r="O83">
        <f t="shared" si="3"/>
        <v>3</v>
      </c>
      <c r="P83">
        <f t="shared" si="3"/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2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5.140625" bestFit="1" customWidth="1"/>
    <col min="4" max="4" width="21.5703125" customWidth="1"/>
    <col min="5" max="5" width="13.140625" customWidth="1"/>
    <col min="6" max="6" width="17.28515625" customWidth="1"/>
    <col min="7" max="7" width="13.85546875" customWidth="1"/>
    <col min="8" max="8" width="11.42578125" customWidth="1"/>
    <col min="9" max="9" width="15.28515625" customWidth="1"/>
    <col min="10" max="10" width="13.42578125" customWidth="1"/>
    <col min="11" max="11" width="12.140625" customWidth="1"/>
    <col min="12" max="12" width="14.7109375" customWidth="1"/>
    <col min="13" max="13" width="15.28515625" customWidth="1"/>
    <col min="18" max="26" width="9.140625" style="31"/>
    <col min="27" max="27" width="13.42578125" style="33" bestFit="1" customWidth="1"/>
    <col min="28" max="28" width="12.7109375" style="33" bestFit="1" customWidth="1"/>
    <col min="29" max="29" width="13.85546875" style="33" bestFit="1" customWidth="1"/>
    <col min="30" max="30" width="12.28515625" style="33" bestFit="1" customWidth="1"/>
    <col min="31" max="37" width="9.140625" style="33"/>
    <col min="38" max="51" width="9.140625" style="31"/>
  </cols>
  <sheetData>
    <row r="1" spans="1:37" ht="31.5" customHeight="1" x14ac:dyDescent="0.25">
      <c r="A1" s="19" t="s">
        <v>349</v>
      </c>
      <c r="B1" s="20" t="s">
        <v>8</v>
      </c>
      <c r="AA1" s="120" t="s">
        <v>1152</v>
      </c>
      <c r="AB1" s="121" t="s">
        <v>1154</v>
      </c>
      <c r="AC1" s="121" t="s">
        <v>1155</v>
      </c>
      <c r="AD1" s="122" t="s">
        <v>1153</v>
      </c>
      <c r="AF1" s="155" t="s">
        <v>175</v>
      </c>
      <c r="AG1" s="155" t="s">
        <v>1006</v>
      </c>
      <c r="AH1" s="156" t="s">
        <v>1195</v>
      </c>
      <c r="AI1" s="156" t="s">
        <v>1196</v>
      </c>
      <c r="AJ1" s="156" t="s">
        <v>1197</v>
      </c>
      <c r="AK1" s="157" t="s">
        <v>1199</v>
      </c>
    </row>
    <row r="2" spans="1:37" x14ac:dyDescent="0.25">
      <c r="AA2" s="33">
        <f>VLOOKUP($B$1,'LL Revasc Data'!$B:$R,7,FALSE)</f>
        <v>0.46000000834465027</v>
      </c>
      <c r="AB2" s="33">
        <f>VLOOKUP($B$1,'LL Revasc Data'!$B:$R,17,FALSE)</f>
        <v>0</v>
      </c>
      <c r="AC2" s="33">
        <f>VLOOKUP($B$1,'LL Revasc Data'!$B:$R,16,FALSE)</f>
        <v>3.9999991655349731E-2</v>
      </c>
      <c r="AD2" s="33">
        <f>VLOOKUP($B$1,'LL Revasc Data'!$B:$R,15,FALSE)</f>
        <v>46</v>
      </c>
      <c r="AF2" s="33" t="s">
        <v>422</v>
      </c>
      <c r="AG2" s="33" t="s">
        <v>13</v>
      </c>
      <c r="AH2" s="158">
        <v>0.10526315789473684</v>
      </c>
      <c r="AI2" s="158">
        <v>8.5872576177285317E-2</v>
      </c>
      <c r="AJ2" s="158">
        <v>0.80886426592797789</v>
      </c>
      <c r="AK2" s="123">
        <v>1</v>
      </c>
    </row>
    <row r="3" spans="1:37" x14ac:dyDescent="0.25">
      <c r="AF3" s="33" t="s">
        <v>107</v>
      </c>
      <c r="AG3" s="33" t="s">
        <v>106</v>
      </c>
      <c r="AH3" s="158">
        <v>0.11627906976744186</v>
      </c>
      <c r="AI3" s="158">
        <v>0.16279069767441862</v>
      </c>
      <c r="AJ3" s="158">
        <v>0.72093023255813948</v>
      </c>
      <c r="AK3" s="123">
        <v>2</v>
      </c>
    </row>
    <row r="4" spans="1:37" x14ac:dyDescent="0.25">
      <c r="AF4" s="33" t="s">
        <v>124</v>
      </c>
      <c r="AG4" s="33" t="s">
        <v>123</v>
      </c>
      <c r="AH4" s="158">
        <v>0.11827956989247312</v>
      </c>
      <c r="AI4" s="158">
        <v>0.27956989247311825</v>
      </c>
      <c r="AJ4" s="158">
        <v>0.60215053763440862</v>
      </c>
      <c r="AK4" s="123">
        <v>3</v>
      </c>
    </row>
    <row r="5" spans="1:37" x14ac:dyDescent="0.25">
      <c r="AA5" s="151" t="s">
        <v>1200</v>
      </c>
      <c r="AB5" s="151" t="s">
        <v>1201</v>
      </c>
      <c r="AC5" s="151" t="s">
        <v>1202</v>
      </c>
      <c r="AD5" s="151" t="s">
        <v>1203</v>
      </c>
      <c r="AF5" s="33" t="s">
        <v>417</v>
      </c>
      <c r="AG5" s="33" t="s">
        <v>45</v>
      </c>
      <c r="AH5" s="158">
        <v>0.13649025069637882</v>
      </c>
      <c r="AI5" s="158">
        <v>5.5710306406685237E-3</v>
      </c>
      <c r="AJ5" s="158">
        <v>0.85793871866295268</v>
      </c>
      <c r="AK5" s="123">
        <v>4</v>
      </c>
    </row>
    <row r="6" spans="1:37" x14ac:dyDescent="0.25">
      <c r="AA6" s="33">
        <f>VLOOKUP($B$1,$AF:$AK,6,FALSE)</f>
        <v>58</v>
      </c>
      <c r="AB6" s="33">
        <f>VLOOKUP($B$1,$AF:$AK,3,FALSE)</f>
        <v>0.8</v>
      </c>
      <c r="AC6" s="33">
        <f>VLOOKUP($B$1,$AF:$AK,4,FALSE)</f>
        <v>0.11666666666666667</v>
      </c>
      <c r="AD6" s="33">
        <f>VLOOKUP($B$1,$AF:$AK,5,FALSE)</f>
        <v>8.3333333333333329E-2</v>
      </c>
      <c r="AF6" s="33" t="s">
        <v>10</v>
      </c>
      <c r="AG6" s="33" t="s">
        <v>9</v>
      </c>
      <c r="AH6" s="158">
        <v>0.17017828200972449</v>
      </c>
      <c r="AI6" s="158">
        <v>0.10858995137763371</v>
      </c>
      <c r="AJ6" s="158">
        <v>0.72123176661264177</v>
      </c>
      <c r="AK6" s="123">
        <v>5</v>
      </c>
    </row>
    <row r="7" spans="1:37" x14ac:dyDescent="0.25">
      <c r="AF7" s="33" t="s">
        <v>347</v>
      </c>
      <c r="AG7" s="33" t="s">
        <v>114</v>
      </c>
      <c r="AH7" s="158">
        <v>0.19494584837545126</v>
      </c>
      <c r="AI7" s="158">
        <v>9.1456077015643802E-2</v>
      </c>
      <c r="AJ7" s="158">
        <v>0.7135980746089049</v>
      </c>
      <c r="AK7" s="123">
        <v>6</v>
      </c>
    </row>
    <row r="8" spans="1:37" x14ac:dyDescent="0.25">
      <c r="AF8" s="33" t="s">
        <v>32</v>
      </c>
      <c r="AG8" s="33" t="s">
        <v>31</v>
      </c>
      <c r="AH8" s="158">
        <v>0.20689655172413793</v>
      </c>
      <c r="AI8" s="158">
        <v>8.5057471264367815E-2</v>
      </c>
      <c r="AJ8" s="158">
        <v>0.7080459770114943</v>
      </c>
      <c r="AK8" s="123">
        <v>7</v>
      </c>
    </row>
    <row r="9" spans="1:37" x14ac:dyDescent="0.25">
      <c r="AF9" s="33" t="s">
        <v>12</v>
      </c>
      <c r="AG9" s="33" t="s">
        <v>11</v>
      </c>
      <c r="AH9" s="158">
        <v>0.21336206896551724</v>
      </c>
      <c r="AI9" s="158">
        <v>6.6810344827586202E-2</v>
      </c>
      <c r="AJ9" s="158">
        <v>0.71982758620689657</v>
      </c>
      <c r="AK9" s="123">
        <v>8</v>
      </c>
    </row>
    <row r="10" spans="1:37" x14ac:dyDescent="0.25">
      <c r="AF10" s="33" t="s">
        <v>150</v>
      </c>
      <c r="AG10" s="33" t="s">
        <v>149</v>
      </c>
      <c r="AH10" s="158">
        <v>0.21459227467811159</v>
      </c>
      <c r="AI10" s="158">
        <v>0.1148068669527897</v>
      </c>
      <c r="AJ10" s="158">
        <v>0.67060085836909866</v>
      </c>
      <c r="AK10" s="123">
        <v>9</v>
      </c>
    </row>
    <row r="11" spans="1:37" x14ac:dyDescent="0.25">
      <c r="AF11" s="33" t="s">
        <v>34</v>
      </c>
      <c r="AG11" s="33" t="s">
        <v>33</v>
      </c>
      <c r="AH11" s="158">
        <v>0.21661054994388329</v>
      </c>
      <c r="AI11" s="158">
        <v>1.4590347923681257E-2</v>
      </c>
      <c r="AJ11" s="158">
        <v>0.76879910213243552</v>
      </c>
      <c r="AK11" s="123">
        <v>10</v>
      </c>
    </row>
    <row r="12" spans="1:37" x14ac:dyDescent="0.25">
      <c r="AF12" s="33" t="s">
        <v>105</v>
      </c>
      <c r="AG12" s="33" t="s">
        <v>104</v>
      </c>
      <c r="AH12" s="158">
        <v>0.21809045226130652</v>
      </c>
      <c r="AI12" s="158">
        <v>9.6482412060301503E-2</v>
      </c>
      <c r="AJ12" s="158">
        <v>0.68542713567839197</v>
      </c>
      <c r="AK12" s="123">
        <v>11</v>
      </c>
    </row>
    <row r="13" spans="1:37" x14ac:dyDescent="0.25">
      <c r="AF13" s="33" t="s">
        <v>66</v>
      </c>
      <c r="AG13" s="33" t="s">
        <v>65</v>
      </c>
      <c r="AH13" s="158">
        <v>0.22994652406417113</v>
      </c>
      <c r="AI13" s="158">
        <v>0.11229946524064172</v>
      </c>
      <c r="AJ13" s="158">
        <v>0.65775401069518713</v>
      </c>
      <c r="AK13" s="123">
        <v>12</v>
      </c>
    </row>
    <row r="14" spans="1:37" x14ac:dyDescent="0.25">
      <c r="AF14" s="33" t="s">
        <v>694</v>
      </c>
      <c r="AG14" s="33" t="s">
        <v>86</v>
      </c>
      <c r="AH14" s="158">
        <v>0.23454545454545456</v>
      </c>
      <c r="AI14" s="158">
        <v>5.6363636363636366E-2</v>
      </c>
      <c r="AJ14" s="158">
        <v>0.70909090909090911</v>
      </c>
      <c r="AK14" s="123">
        <v>13</v>
      </c>
    </row>
    <row r="15" spans="1:37" x14ac:dyDescent="0.25">
      <c r="AF15" s="33" t="s">
        <v>148</v>
      </c>
      <c r="AG15" s="33" t="s">
        <v>147</v>
      </c>
      <c r="AH15" s="158">
        <v>0.24385805277525022</v>
      </c>
      <c r="AI15" s="158">
        <v>0.12101910828025478</v>
      </c>
      <c r="AJ15" s="158">
        <v>0.63512283894449495</v>
      </c>
      <c r="AK15" s="123">
        <v>14</v>
      </c>
    </row>
    <row r="16" spans="1:37" x14ac:dyDescent="0.25">
      <c r="AF16" s="33" t="s">
        <v>130</v>
      </c>
      <c r="AG16" s="33" t="s">
        <v>129</v>
      </c>
      <c r="AH16" s="158">
        <v>0.25714285714285712</v>
      </c>
      <c r="AI16" s="158">
        <v>9.5238095238095247E-3</v>
      </c>
      <c r="AJ16" s="158">
        <v>0.73333333333333328</v>
      </c>
      <c r="AK16" s="123">
        <v>15</v>
      </c>
    </row>
    <row r="17" spans="2:37" x14ac:dyDescent="0.25">
      <c r="AF17" s="33" t="s">
        <v>420</v>
      </c>
      <c r="AG17" s="33" t="s">
        <v>127</v>
      </c>
      <c r="AH17" s="158">
        <v>0.26206244087038788</v>
      </c>
      <c r="AI17" s="158">
        <v>2.8382213812677389E-3</v>
      </c>
      <c r="AJ17" s="158">
        <v>0.73509933774834435</v>
      </c>
      <c r="AK17" s="123">
        <v>16</v>
      </c>
    </row>
    <row r="18" spans="2:37" x14ac:dyDescent="0.25">
      <c r="AF18" s="33" t="s">
        <v>122</v>
      </c>
      <c r="AG18" s="33" t="s">
        <v>121</v>
      </c>
      <c r="AH18" s="158">
        <v>0.2644295302013423</v>
      </c>
      <c r="AI18" s="158">
        <v>0.15033557046979865</v>
      </c>
      <c r="AJ18" s="158">
        <v>0.58523489932885908</v>
      </c>
      <c r="AK18" s="123">
        <v>17</v>
      </c>
    </row>
    <row r="19" spans="2:37" x14ac:dyDescent="0.25">
      <c r="AF19" s="33" t="s">
        <v>132</v>
      </c>
      <c r="AG19" s="33" t="s">
        <v>131</v>
      </c>
      <c r="AH19" s="158">
        <v>0.26950354609929078</v>
      </c>
      <c r="AI19" s="158">
        <v>0.20330969267139479</v>
      </c>
      <c r="AJ19" s="158">
        <v>0.5271867612293144</v>
      </c>
      <c r="AK19" s="123">
        <v>18</v>
      </c>
    </row>
    <row r="20" spans="2:37" x14ac:dyDescent="0.25">
      <c r="AF20" s="33" t="s">
        <v>111</v>
      </c>
      <c r="AG20" s="33" t="s">
        <v>110</v>
      </c>
      <c r="AH20" s="158">
        <v>0.27145359019264448</v>
      </c>
      <c r="AI20" s="158">
        <v>3.6777583187390543E-2</v>
      </c>
      <c r="AJ20" s="158">
        <v>0.69176882661996497</v>
      </c>
      <c r="AK20" s="123">
        <v>19</v>
      </c>
    </row>
    <row r="21" spans="2:37" x14ac:dyDescent="0.25">
      <c r="AF21" s="33" t="s">
        <v>68</v>
      </c>
      <c r="AG21" s="33" t="s">
        <v>67</v>
      </c>
      <c r="AH21" s="158">
        <v>0.3053040103492885</v>
      </c>
      <c r="AI21" s="158">
        <v>4.6571798188874518E-2</v>
      </c>
      <c r="AJ21" s="158">
        <v>0.64812419146183697</v>
      </c>
      <c r="AK21" s="123">
        <v>20</v>
      </c>
    </row>
    <row r="22" spans="2:37" x14ac:dyDescent="0.25">
      <c r="AF22" s="33" t="s">
        <v>52</v>
      </c>
      <c r="AG22" s="33" t="s">
        <v>51</v>
      </c>
      <c r="AH22" s="158">
        <v>0.32537313432835818</v>
      </c>
      <c r="AI22" s="158">
        <v>4.7761194029850747E-2</v>
      </c>
      <c r="AJ22" s="158">
        <v>0.62686567164179108</v>
      </c>
      <c r="AK22" s="123">
        <v>21</v>
      </c>
    </row>
    <row r="23" spans="2:37" x14ac:dyDescent="0.25">
      <c r="AF23" s="33" t="s">
        <v>22</v>
      </c>
      <c r="AG23" s="33" t="s">
        <v>21</v>
      </c>
      <c r="AH23" s="158">
        <v>0.32558139534883723</v>
      </c>
      <c r="AI23" s="158">
        <v>0.15503875968992248</v>
      </c>
      <c r="AJ23" s="158">
        <v>0.51937984496124034</v>
      </c>
      <c r="AK23" s="123">
        <v>22</v>
      </c>
    </row>
    <row r="24" spans="2:37" x14ac:dyDescent="0.25">
      <c r="AF24" s="33" t="s">
        <v>152</v>
      </c>
      <c r="AG24" s="33" t="s">
        <v>151</v>
      </c>
      <c r="AH24" s="158">
        <v>0.33852140077821014</v>
      </c>
      <c r="AI24" s="158">
        <v>5.2529182879377433E-2</v>
      </c>
      <c r="AJ24" s="158">
        <v>0.6089494163424124</v>
      </c>
      <c r="AK24" s="123">
        <v>23</v>
      </c>
    </row>
    <row r="25" spans="2:37" x14ac:dyDescent="0.25">
      <c r="AF25" s="33" t="s">
        <v>126</v>
      </c>
      <c r="AG25" s="33" t="s">
        <v>125</v>
      </c>
      <c r="AH25" s="158">
        <v>0.33965244865718797</v>
      </c>
      <c r="AI25" s="158">
        <v>0.19431279620853081</v>
      </c>
      <c r="AJ25" s="158">
        <v>0.46603475513428122</v>
      </c>
      <c r="AK25" s="123">
        <v>24</v>
      </c>
    </row>
    <row r="26" spans="2:37" x14ac:dyDescent="0.25">
      <c r="AF26" s="33" t="s">
        <v>134</v>
      </c>
      <c r="AG26" s="33" t="s">
        <v>133</v>
      </c>
      <c r="AH26" s="158">
        <v>0.35135135135135137</v>
      </c>
      <c r="AI26" s="158">
        <v>0.1554054054054054</v>
      </c>
      <c r="AJ26" s="158">
        <v>0.49324324324324326</v>
      </c>
      <c r="AK26" s="123">
        <v>25</v>
      </c>
    </row>
    <row r="27" spans="2:37" x14ac:dyDescent="0.25">
      <c r="AF27" s="33" t="s">
        <v>424</v>
      </c>
      <c r="AG27" s="33" t="s">
        <v>115</v>
      </c>
      <c r="AH27" s="158">
        <v>0.37686567164179102</v>
      </c>
      <c r="AI27" s="158">
        <v>9.3283582089552244E-2</v>
      </c>
      <c r="AJ27" s="158">
        <v>0.52985074626865669</v>
      </c>
      <c r="AK27" s="123">
        <v>26</v>
      </c>
    </row>
    <row r="28" spans="2:37" ht="15.75" thickBot="1" x14ac:dyDescent="0.3">
      <c r="AF28" s="33" t="s">
        <v>690</v>
      </c>
      <c r="AG28" s="33" t="s">
        <v>689</v>
      </c>
      <c r="AH28" s="158">
        <v>0.37931034482758619</v>
      </c>
      <c r="AI28" s="158">
        <v>3.4482758620689655E-2</v>
      </c>
      <c r="AJ28" s="158">
        <v>0.58620689655172409</v>
      </c>
      <c r="AK28" s="123">
        <v>27</v>
      </c>
    </row>
    <row r="29" spans="2:37" ht="60.75" thickBot="1" x14ac:dyDescent="0.3">
      <c r="B29" s="21" t="s">
        <v>175</v>
      </c>
      <c r="C29" s="21" t="s">
        <v>176</v>
      </c>
      <c r="D29" s="42" t="s">
        <v>1187</v>
      </c>
      <c r="E29" s="43" t="s">
        <v>1188</v>
      </c>
      <c r="F29" s="43" t="s">
        <v>1189</v>
      </c>
      <c r="G29" s="43" t="s">
        <v>1190</v>
      </c>
      <c r="H29" s="43" t="s">
        <v>1150</v>
      </c>
      <c r="I29" s="43" t="s">
        <v>1183</v>
      </c>
      <c r="J29" s="21" t="s">
        <v>1151</v>
      </c>
      <c r="K29" s="43" t="s">
        <v>1184</v>
      </c>
      <c r="L29" s="43" t="s">
        <v>1185</v>
      </c>
      <c r="M29" s="21" t="s">
        <v>1186</v>
      </c>
      <c r="AF29" s="33" t="s">
        <v>70</v>
      </c>
      <c r="AG29" s="33" t="s">
        <v>69</v>
      </c>
      <c r="AH29" s="158">
        <v>0.38150289017341038</v>
      </c>
      <c r="AI29" s="158">
        <v>9.2485549132947972E-2</v>
      </c>
      <c r="AJ29" s="158">
        <v>0.52601156069364163</v>
      </c>
      <c r="AK29" s="123">
        <v>28</v>
      </c>
    </row>
    <row r="30" spans="2:37" ht="15.75" thickBot="1" x14ac:dyDescent="0.3">
      <c r="B30" s="23" t="str">
        <f>B1</f>
        <v>Aneurin Bevan University Health Board</v>
      </c>
      <c r="C30" s="44" t="str">
        <f>VLOOKUP($B30,'LL Revasc Data'!$B:$R,14,FALSE)</f>
        <v>7A6</v>
      </c>
      <c r="D30" s="136">
        <f>VLOOKUP($B30,'LL Revasc Data'!$B:$Z,21,FALSE)</f>
        <v>120</v>
      </c>
      <c r="E30" s="136">
        <f>VLOOKUP($B30,'LL Revasc Data'!$B:$Z,19,FALSE)</f>
        <v>96</v>
      </c>
      <c r="F30" s="136">
        <f>VLOOKUP($B30,'LL Revasc Data'!$B:$Z,20,FALSE)</f>
        <v>14</v>
      </c>
      <c r="G30" s="136">
        <f>VLOOKUP($B30,'LL Revasc Data'!$B:$Z,18,FALSE)</f>
        <v>10</v>
      </c>
      <c r="H30" s="44">
        <f>VLOOKUP($B30,'LL Revasc Data'!$B:$R,5,FALSE)</f>
        <v>26</v>
      </c>
      <c r="I30" s="24" t="str">
        <f>VLOOKUP($B30,'LL Revasc Data'!$B:$R,6,FALSE)</f>
        <v>7 (2 - 9)</v>
      </c>
      <c r="J30" s="47">
        <f>VLOOKUP($B30,'LL Revasc Data'!$B:$R,7,FALSE)</f>
        <v>0.46000000834465027</v>
      </c>
      <c r="K30" s="44">
        <f>VLOOKUP($B30,'LL Revasc Data'!$B:$R,2,FALSE)</f>
        <v>16</v>
      </c>
      <c r="L30" s="24" t="str">
        <f>VLOOKUP($B30,'LL Revasc Data'!$B:$R,3,FALSE)</f>
        <v>6 (3 - 14)</v>
      </c>
      <c r="M30" s="47">
        <f>VLOOKUP($B30,'LL Revasc Data'!$B:$R,4,FALSE)</f>
        <v>0.5</v>
      </c>
      <c r="AF30" s="33" t="s">
        <v>72</v>
      </c>
      <c r="AG30" s="33" t="s">
        <v>71</v>
      </c>
      <c r="AH30" s="158">
        <v>0.3838120104438642</v>
      </c>
      <c r="AI30" s="158">
        <v>8.6161879895561358E-2</v>
      </c>
      <c r="AJ30" s="158">
        <v>0.5300261096605744</v>
      </c>
      <c r="AK30" s="123">
        <v>29</v>
      </c>
    </row>
    <row r="31" spans="2:37" ht="15.75" thickBot="1" x14ac:dyDescent="0.3">
      <c r="B31" s="145" t="s">
        <v>350</v>
      </c>
      <c r="C31" s="145"/>
      <c r="D31" s="126">
        <v>28918</v>
      </c>
      <c r="E31" s="127">
        <v>11371</v>
      </c>
      <c r="F31" s="127">
        <v>2421</v>
      </c>
      <c r="G31" s="127">
        <v>15126</v>
      </c>
      <c r="H31" s="118">
        <v>3498</v>
      </c>
      <c r="I31" s="72" t="s">
        <v>212</v>
      </c>
      <c r="J31" s="108">
        <v>0.57999999999999996</v>
      </c>
      <c r="K31" s="118">
        <v>3705</v>
      </c>
      <c r="L31" s="72" t="s">
        <v>445</v>
      </c>
      <c r="M31" s="108">
        <v>0.5</v>
      </c>
      <c r="AF31" s="33" t="s">
        <v>85</v>
      </c>
      <c r="AG31" s="33" t="s">
        <v>84</v>
      </c>
      <c r="AH31" s="158">
        <v>0.38596491228070173</v>
      </c>
      <c r="AI31" s="158">
        <v>8.1339712918660281E-2</v>
      </c>
      <c r="AJ31" s="158">
        <v>0.532695374800638</v>
      </c>
      <c r="AK31" s="123">
        <v>30</v>
      </c>
    </row>
    <row r="32" spans="2:37" x14ac:dyDescent="0.25">
      <c r="AF32" s="33" t="s">
        <v>154</v>
      </c>
      <c r="AG32" s="33" t="s">
        <v>153</v>
      </c>
      <c r="AH32" s="158">
        <v>0.38663967611336031</v>
      </c>
      <c r="AI32" s="158">
        <v>2.8340080971659919E-2</v>
      </c>
      <c r="AJ32" s="158">
        <v>0.58502024291497978</v>
      </c>
      <c r="AK32" s="123">
        <v>31</v>
      </c>
    </row>
    <row r="33" spans="32:37" x14ac:dyDescent="0.25">
      <c r="AF33" s="33" t="s">
        <v>198</v>
      </c>
      <c r="AG33" s="33" t="s">
        <v>37</v>
      </c>
      <c r="AH33" s="158">
        <v>0.40105540897097625</v>
      </c>
      <c r="AI33" s="158">
        <v>0.15039577836411611</v>
      </c>
      <c r="AJ33" s="158">
        <v>0.44854881266490765</v>
      </c>
      <c r="AK33" s="123">
        <v>32</v>
      </c>
    </row>
    <row r="34" spans="32:37" x14ac:dyDescent="0.25">
      <c r="AF34" s="33" t="s">
        <v>138</v>
      </c>
      <c r="AG34" s="33" t="s">
        <v>137</v>
      </c>
      <c r="AH34" s="158">
        <v>0.41275797373358347</v>
      </c>
      <c r="AI34" s="158">
        <v>9.3808630393996242E-2</v>
      </c>
      <c r="AJ34" s="158">
        <v>0.49343339587242024</v>
      </c>
      <c r="AK34" s="123">
        <v>33</v>
      </c>
    </row>
    <row r="35" spans="32:37" x14ac:dyDescent="0.25">
      <c r="AF35" s="33" t="s">
        <v>174</v>
      </c>
      <c r="AG35" s="33" t="s">
        <v>173</v>
      </c>
      <c r="AH35" s="158">
        <v>0.41353383458646614</v>
      </c>
      <c r="AI35" s="158">
        <v>0.11278195488721804</v>
      </c>
      <c r="AJ35" s="158">
        <v>0.47368421052631576</v>
      </c>
      <c r="AK35" s="123">
        <v>34</v>
      </c>
    </row>
    <row r="36" spans="32:37" x14ac:dyDescent="0.25">
      <c r="AF36" s="159" t="s">
        <v>680</v>
      </c>
      <c r="AG36" s="33" t="s">
        <v>19</v>
      </c>
      <c r="AH36" s="158">
        <v>0.42297650130548303</v>
      </c>
      <c r="AI36" s="158">
        <v>0.15404699738903394</v>
      </c>
      <c r="AJ36" s="158">
        <v>0.42297650130548303</v>
      </c>
      <c r="AK36" s="123">
        <v>35</v>
      </c>
    </row>
    <row r="37" spans="32:37" x14ac:dyDescent="0.25">
      <c r="AF37" s="159" t="s">
        <v>675</v>
      </c>
      <c r="AG37" s="33" t="s">
        <v>674</v>
      </c>
      <c r="AH37" s="158">
        <v>0.43016759776536312</v>
      </c>
      <c r="AI37" s="158">
        <v>0.17318435754189945</v>
      </c>
      <c r="AJ37" s="158">
        <v>0.39664804469273746</v>
      </c>
      <c r="AK37" s="123">
        <v>36</v>
      </c>
    </row>
    <row r="38" spans="32:37" x14ac:dyDescent="0.25">
      <c r="AF38" s="33" t="s">
        <v>39</v>
      </c>
      <c r="AG38" s="33" t="s">
        <v>38</v>
      </c>
      <c r="AH38" s="158">
        <v>0.43290734824281152</v>
      </c>
      <c r="AI38" s="158">
        <v>9.1054313099041537E-2</v>
      </c>
      <c r="AJ38" s="158">
        <v>0.47603833865814699</v>
      </c>
      <c r="AK38" s="123">
        <v>37</v>
      </c>
    </row>
    <row r="39" spans="32:37" x14ac:dyDescent="0.25">
      <c r="AF39" s="33" t="s">
        <v>113</v>
      </c>
      <c r="AG39" s="33" t="s">
        <v>112</v>
      </c>
      <c r="AH39" s="158">
        <v>0.45112781954887216</v>
      </c>
      <c r="AI39" s="158">
        <v>0.17293233082706766</v>
      </c>
      <c r="AJ39" s="158">
        <v>0.37593984962406013</v>
      </c>
      <c r="AK39" s="123">
        <v>38</v>
      </c>
    </row>
    <row r="40" spans="32:37" x14ac:dyDescent="0.25">
      <c r="AF40" s="33" t="s">
        <v>421</v>
      </c>
      <c r="AG40" s="33" t="s">
        <v>44</v>
      </c>
      <c r="AH40" s="158">
        <v>0.45769230769230768</v>
      </c>
      <c r="AI40" s="158">
        <v>0.14615384615384616</v>
      </c>
      <c r="AJ40" s="158">
        <v>0.39615384615384613</v>
      </c>
      <c r="AK40" s="123">
        <v>39</v>
      </c>
    </row>
    <row r="41" spans="32:37" x14ac:dyDescent="0.25">
      <c r="AF41" s="33" t="s">
        <v>109</v>
      </c>
      <c r="AG41" s="33" t="s">
        <v>108</v>
      </c>
      <c r="AH41" s="158">
        <v>0.46153846153846156</v>
      </c>
      <c r="AI41" s="158">
        <v>7.6923076923076927E-2</v>
      </c>
      <c r="AJ41" s="158">
        <v>0.46153846153846156</v>
      </c>
      <c r="AK41" s="123">
        <v>40</v>
      </c>
    </row>
    <row r="42" spans="32:37" x14ac:dyDescent="0.25">
      <c r="AF42" s="33" t="s">
        <v>166</v>
      </c>
      <c r="AG42" s="33" t="s">
        <v>165</v>
      </c>
      <c r="AH42" s="158">
        <v>0.49612403100775193</v>
      </c>
      <c r="AI42" s="158">
        <v>0.16279069767441862</v>
      </c>
      <c r="AJ42" s="158">
        <v>0.34108527131782945</v>
      </c>
      <c r="AK42" s="123">
        <v>41</v>
      </c>
    </row>
    <row r="43" spans="32:37" x14ac:dyDescent="0.25">
      <c r="AF43" s="33" t="s">
        <v>196</v>
      </c>
      <c r="AG43" s="33" t="s">
        <v>2</v>
      </c>
      <c r="AH43" s="158">
        <v>0.50569476082004561</v>
      </c>
      <c r="AI43" s="158">
        <v>3.644646924829157E-2</v>
      </c>
      <c r="AJ43" s="158">
        <v>0.45785876993166286</v>
      </c>
      <c r="AK43" s="123">
        <v>42</v>
      </c>
    </row>
    <row r="44" spans="32:37" x14ac:dyDescent="0.25">
      <c r="AF44" s="33" t="s">
        <v>56</v>
      </c>
      <c r="AG44" s="33" t="s">
        <v>55</v>
      </c>
      <c r="AH44" s="158">
        <v>0.50804597701149423</v>
      </c>
      <c r="AI44" s="158">
        <v>0.1793103448275862</v>
      </c>
      <c r="AJ44" s="158">
        <v>0.31264367816091954</v>
      </c>
      <c r="AK44" s="123">
        <v>43</v>
      </c>
    </row>
    <row r="45" spans="32:37" x14ac:dyDescent="0.25">
      <c r="AF45" s="33" t="s">
        <v>64</v>
      </c>
      <c r="AG45" s="33" t="s">
        <v>63</v>
      </c>
      <c r="AH45" s="158">
        <v>0.52734375</v>
      </c>
      <c r="AI45" s="158">
        <v>6.25E-2</v>
      </c>
      <c r="AJ45" s="158">
        <v>0.41015625</v>
      </c>
      <c r="AK45" s="123">
        <v>44</v>
      </c>
    </row>
    <row r="46" spans="32:37" x14ac:dyDescent="0.25">
      <c r="AF46" s="33" t="s">
        <v>54</v>
      </c>
      <c r="AG46" s="33" t="s">
        <v>53</v>
      </c>
      <c r="AH46" s="158">
        <v>0.53937007874015752</v>
      </c>
      <c r="AI46" s="158">
        <v>1.5748031496062992E-2</v>
      </c>
      <c r="AJ46" s="158">
        <v>0.44488188976377951</v>
      </c>
      <c r="AK46" s="123">
        <v>45</v>
      </c>
    </row>
    <row r="47" spans="32:37" x14ac:dyDescent="0.25">
      <c r="AF47" s="33" t="s">
        <v>136</v>
      </c>
      <c r="AG47" s="33" t="s">
        <v>135</v>
      </c>
      <c r="AH47" s="158">
        <v>0.54761904761904767</v>
      </c>
      <c r="AI47" s="158">
        <v>0.19047619047619047</v>
      </c>
      <c r="AJ47" s="158">
        <v>0.26190476190476192</v>
      </c>
      <c r="AK47" s="123">
        <v>46</v>
      </c>
    </row>
    <row r="48" spans="32:37" x14ac:dyDescent="0.25">
      <c r="AF48" s="33" t="s">
        <v>58</v>
      </c>
      <c r="AG48" s="33" t="s">
        <v>57</v>
      </c>
      <c r="AH48" s="158">
        <v>0.562962962962963</v>
      </c>
      <c r="AI48" s="158">
        <v>7.407407407407407E-2</v>
      </c>
      <c r="AJ48" s="158">
        <v>0.36296296296296299</v>
      </c>
      <c r="AK48" s="123">
        <v>47</v>
      </c>
    </row>
    <row r="49" spans="32:37" x14ac:dyDescent="0.25">
      <c r="AF49" s="33" t="s">
        <v>93</v>
      </c>
      <c r="AG49" s="33" t="s">
        <v>92</v>
      </c>
      <c r="AH49" s="158">
        <v>0.58208955223880599</v>
      </c>
      <c r="AI49" s="158">
        <v>0.29850746268656714</v>
      </c>
      <c r="AJ49" s="158">
        <v>0.11940298507462686</v>
      </c>
      <c r="AK49" s="123">
        <v>48</v>
      </c>
    </row>
    <row r="50" spans="32:37" x14ac:dyDescent="0.25">
      <c r="AF50" s="33" t="s">
        <v>103</v>
      </c>
      <c r="AG50" s="33" t="s">
        <v>102</v>
      </c>
      <c r="AH50" s="158">
        <v>0.68609865470852016</v>
      </c>
      <c r="AI50" s="158">
        <v>0.14349775784753363</v>
      </c>
      <c r="AJ50" s="158">
        <v>0.17040358744394618</v>
      </c>
      <c r="AK50" s="123">
        <v>49</v>
      </c>
    </row>
    <row r="51" spans="32:37" x14ac:dyDescent="0.25">
      <c r="AF51" s="33" t="s">
        <v>75</v>
      </c>
      <c r="AG51" s="33" t="s">
        <v>74</v>
      </c>
      <c r="AH51" s="158">
        <v>0.71153846153846156</v>
      </c>
      <c r="AI51" s="158">
        <v>5.2884615384615384E-2</v>
      </c>
      <c r="AJ51" s="158">
        <v>0.23557692307692307</v>
      </c>
      <c r="AK51" s="123">
        <v>50</v>
      </c>
    </row>
    <row r="52" spans="32:37" x14ac:dyDescent="0.25">
      <c r="AF52" s="33" t="s">
        <v>4</v>
      </c>
      <c r="AG52" s="33" t="s">
        <v>3</v>
      </c>
      <c r="AH52" s="158">
        <v>0.72043010752688175</v>
      </c>
      <c r="AI52" s="158">
        <v>3.2258064516129031E-2</v>
      </c>
      <c r="AJ52" s="158">
        <v>0.24731182795698925</v>
      </c>
      <c r="AK52" s="123">
        <v>51</v>
      </c>
    </row>
    <row r="53" spans="32:37" x14ac:dyDescent="0.25">
      <c r="AF53" s="159" t="s">
        <v>678</v>
      </c>
      <c r="AG53" s="33" t="s">
        <v>677</v>
      </c>
      <c r="AH53" s="158">
        <v>0.76859504132231404</v>
      </c>
      <c r="AI53" s="158">
        <v>0.21487603305785125</v>
      </c>
      <c r="AJ53" s="158">
        <v>1.6528925619834711E-2</v>
      </c>
      <c r="AK53" s="123">
        <v>52</v>
      </c>
    </row>
    <row r="54" spans="32:37" x14ac:dyDescent="0.25">
      <c r="AF54" s="33" t="s">
        <v>1</v>
      </c>
      <c r="AG54" s="33" t="s">
        <v>0</v>
      </c>
      <c r="AH54" s="158">
        <v>0.77127659574468088</v>
      </c>
      <c r="AI54" s="158">
        <v>0.20212765957446807</v>
      </c>
      <c r="AJ54" s="158">
        <v>2.6595744680851064E-2</v>
      </c>
      <c r="AK54" s="123">
        <v>53</v>
      </c>
    </row>
    <row r="55" spans="32:37" x14ac:dyDescent="0.25">
      <c r="AF55" s="33" t="s">
        <v>419</v>
      </c>
      <c r="AG55" s="33" t="s">
        <v>90</v>
      </c>
      <c r="AH55" s="158">
        <v>0.77272727272727271</v>
      </c>
      <c r="AI55" s="158">
        <v>0.22727272727272727</v>
      </c>
      <c r="AJ55" s="158">
        <v>0</v>
      </c>
      <c r="AK55" s="123">
        <v>54</v>
      </c>
    </row>
    <row r="56" spans="32:37" x14ac:dyDescent="0.25">
      <c r="AF56" s="33" t="s">
        <v>197</v>
      </c>
      <c r="AG56" s="33" t="s">
        <v>73</v>
      </c>
      <c r="AH56" s="158">
        <v>0.78294573643410847</v>
      </c>
      <c r="AI56" s="158">
        <v>3.1007751937984496E-2</v>
      </c>
      <c r="AJ56" s="158">
        <v>0.18604651162790697</v>
      </c>
      <c r="AK56" s="123">
        <v>55</v>
      </c>
    </row>
    <row r="57" spans="32:37" x14ac:dyDescent="0.25">
      <c r="AF57" s="33" t="s">
        <v>81</v>
      </c>
      <c r="AG57" s="33" t="s">
        <v>80</v>
      </c>
      <c r="AH57" s="158">
        <v>0.79136690647482011</v>
      </c>
      <c r="AI57" s="158">
        <v>0.17266187050359713</v>
      </c>
      <c r="AJ57" s="158">
        <v>3.5971223021582732E-2</v>
      </c>
      <c r="AK57" s="123">
        <v>56</v>
      </c>
    </row>
    <row r="58" spans="32:37" x14ac:dyDescent="0.25">
      <c r="AF58" s="33" t="s">
        <v>89</v>
      </c>
      <c r="AG58" s="33" t="s">
        <v>88</v>
      </c>
      <c r="AH58" s="158">
        <v>0.79865771812080533</v>
      </c>
      <c r="AI58" s="158">
        <v>0.12080536912751678</v>
      </c>
      <c r="AJ58" s="158">
        <v>8.0536912751677847E-2</v>
      </c>
      <c r="AK58" s="123">
        <v>57</v>
      </c>
    </row>
    <row r="59" spans="32:37" x14ac:dyDescent="0.25">
      <c r="AF59" s="33" t="s">
        <v>8</v>
      </c>
      <c r="AG59" s="33" t="s">
        <v>7</v>
      </c>
      <c r="AH59" s="158">
        <v>0.8</v>
      </c>
      <c r="AI59" s="158">
        <v>0.11666666666666667</v>
      </c>
      <c r="AJ59" s="158">
        <v>8.3333333333333329E-2</v>
      </c>
      <c r="AK59" s="123">
        <v>58</v>
      </c>
    </row>
    <row r="60" spans="32:37" x14ac:dyDescent="0.25">
      <c r="AF60" s="33" t="s">
        <v>170</v>
      </c>
      <c r="AG60" s="33" t="s">
        <v>169</v>
      </c>
      <c r="AH60" s="158">
        <v>0.8</v>
      </c>
      <c r="AI60" s="158">
        <v>0.16666666666666666</v>
      </c>
      <c r="AJ60" s="158">
        <v>3.3333333333333333E-2</v>
      </c>
      <c r="AK60" s="123">
        <v>59</v>
      </c>
    </row>
    <row r="61" spans="32:37" x14ac:dyDescent="0.25">
      <c r="AF61" s="33" t="s">
        <v>16</v>
      </c>
      <c r="AG61" s="33" t="s">
        <v>15</v>
      </c>
      <c r="AH61" s="158">
        <v>0.8125</v>
      </c>
      <c r="AI61" s="158">
        <v>0.1875</v>
      </c>
      <c r="AJ61" s="158">
        <v>0</v>
      </c>
      <c r="AK61" s="123">
        <v>60</v>
      </c>
    </row>
    <row r="62" spans="32:37" x14ac:dyDescent="0.25">
      <c r="AF62" s="33" t="s">
        <v>140</v>
      </c>
      <c r="AG62" s="33" t="s">
        <v>139</v>
      </c>
      <c r="AH62" s="158">
        <v>0.81690140845070425</v>
      </c>
      <c r="AI62" s="158">
        <v>0.18309859154929578</v>
      </c>
      <c r="AJ62" s="158">
        <v>0</v>
      </c>
      <c r="AK62" s="123">
        <v>61</v>
      </c>
    </row>
    <row r="63" spans="32:37" x14ac:dyDescent="0.25">
      <c r="AF63" s="33" t="s">
        <v>168</v>
      </c>
      <c r="AG63" s="33" t="s">
        <v>167</v>
      </c>
      <c r="AH63" s="158">
        <v>0.82222222222222219</v>
      </c>
      <c r="AI63" s="158">
        <v>0.17777777777777778</v>
      </c>
      <c r="AJ63" s="158">
        <v>0</v>
      </c>
      <c r="AK63" s="123">
        <v>62</v>
      </c>
    </row>
    <row r="64" spans="32:37" x14ac:dyDescent="0.25">
      <c r="AF64" s="33" t="s">
        <v>18</v>
      </c>
      <c r="AG64" s="33" t="s">
        <v>17</v>
      </c>
      <c r="AH64" s="158">
        <v>0.8666666666666667</v>
      </c>
      <c r="AI64" s="158">
        <v>0.13333333333333333</v>
      </c>
      <c r="AJ64" s="158">
        <v>0</v>
      </c>
      <c r="AK64" s="123">
        <v>63</v>
      </c>
    </row>
    <row r="65" spans="32:37" x14ac:dyDescent="0.25">
      <c r="AF65" s="33" t="s">
        <v>120</v>
      </c>
      <c r="AG65" s="33" t="s">
        <v>119</v>
      </c>
      <c r="AH65" s="158">
        <v>0.87037037037037035</v>
      </c>
      <c r="AI65" s="158">
        <v>0.12962962962962962</v>
      </c>
      <c r="AJ65" s="158">
        <v>0</v>
      </c>
      <c r="AK65" s="123">
        <v>64</v>
      </c>
    </row>
    <row r="66" spans="32:37" x14ac:dyDescent="0.25">
      <c r="AF66" s="33" t="s">
        <v>160</v>
      </c>
      <c r="AG66" s="33" t="s">
        <v>159</v>
      </c>
      <c r="AH66" s="158">
        <v>0.87628865979381443</v>
      </c>
      <c r="AI66" s="158">
        <v>0.10309278350515463</v>
      </c>
      <c r="AJ66" s="158">
        <v>2.0618556701030927E-2</v>
      </c>
      <c r="AK66" s="123">
        <v>65</v>
      </c>
    </row>
    <row r="67" spans="32:37" x14ac:dyDescent="0.25">
      <c r="AF67" s="33" t="s">
        <v>43</v>
      </c>
      <c r="AG67" s="33" t="s">
        <v>42</v>
      </c>
      <c r="AH67" s="158">
        <v>0.91515151515151516</v>
      </c>
      <c r="AI67" s="158">
        <v>7.2727272727272724E-2</v>
      </c>
      <c r="AJ67" s="158">
        <v>1.2121212121212121E-2</v>
      </c>
      <c r="AK67" s="123">
        <v>66</v>
      </c>
    </row>
    <row r="68" spans="32:37" x14ac:dyDescent="0.25">
      <c r="AF68" s="33" t="s">
        <v>142</v>
      </c>
      <c r="AG68" s="33" t="s">
        <v>141</v>
      </c>
      <c r="AH68" s="158">
        <v>0.95774647887323938</v>
      </c>
      <c r="AI68" s="158">
        <v>4.2253521126760563E-2</v>
      </c>
      <c r="AJ68" s="158">
        <v>0</v>
      </c>
      <c r="AK68" s="123">
        <v>67</v>
      </c>
    </row>
    <row r="69" spans="32:37" x14ac:dyDescent="0.25">
      <c r="AF69" s="33" t="s">
        <v>164</v>
      </c>
      <c r="AG69" s="33" t="s">
        <v>163</v>
      </c>
      <c r="AH69" s="158">
        <v>0.95833333333333337</v>
      </c>
      <c r="AI69" s="158">
        <v>4.1666666666666664E-2</v>
      </c>
      <c r="AJ69" s="158">
        <v>0</v>
      </c>
      <c r="AK69" s="123">
        <v>68</v>
      </c>
    </row>
    <row r="70" spans="32:37" x14ac:dyDescent="0.25">
      <c r="AF70" s="159" t="s">
        <v>702</v>
      </c>
      <c r="AG70" s="33" t="s">
        <v>701</v>
      </c>
      <c r="AH70" s="158">
        <v>0.97093023255813948</v>
      </c>
      <c r="AI70" s="158">
        <v>2.9069767441860465E-2</v>
      </c>
      <c r="AJ70" s="158">
        <v>0</v>
      </c>
      <c r="AK70" s="123">
        <v>69</v>
      </c>
    </row>
    <row r="71" spans="32:37" x14ac:dyDescent="0.25">
      <c r="AF71" s="33" t="s">
        <v>162</v>
      </c>
      <c r="AG71" s="33" t="s">
        <v>161</v>
      </c>
      <c r="AH71" s="158">
        <v>0.98529411764705888</v>
      </c>
      <c r="AI71" s="158">
        <v>1.4705882352941176E-2</v>
      </c>
      <c r="AJ71" s="158">
        <v>0</v>
      </c>
      <c r="AK71" s="123">
        <v>70</v>
      </c>
    </row>
    <row r="72" spans="32:37" x14ac:dyDescent="0.25">
      <c r="AF72" s="33" t="s">
        <v>156</v>
      </c>
      <c r="AG72" s="33" t="s">
        <v>155</v>
      </c>
      <c r="AH72" s="158">
        <v>1</v>
      </c>
      <c r="AI72" s="158">
        <v>0</v>
      </c>
      <c r="AJ72" s="158">
        <v>0</v>
      </c>
      <c r="AK72" s="123">
        <v>71</v>
      </c>
    </row>
  </sheetData>
  <mergeCells count="1">
    <mergeCell ref="B31:C3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'LL Revasc Data'!$B$2:$B$85</xm:f>
          </x14:formula1>
          <xm:sqref>B1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B3" sqref="B3"/>
    </sheetView>
  </sheetViews>
  <sheetFormatPr defaultRowHeight="15" x14ac:dyDescent="0.25"/>
  <sheetData>
    <row r="1" spans="1:4" x14ac:dyDescent="0.25">
      <c r="A1" t="s">
        <v>360</v>
      </c>
      <c r="B1" t="s">
        <v>361</v>
      </c>
      <c r="C1" t="s">
        <v>363</v>
      </c>
      <c r="D1" t="s">
        <v>364</v>
      </c>
    </row>
    <row r="2" spans="1:4" x14ac:dyDescent="0.25">
      <c r="A2" t="s">
        <v>378</v>
      </c>
      <c r="B2" s="86">
        <v>0</v>
      </c>
      <c r="C2" s="86">
        <v>50</v>
      </c>
      <c r="D2" s="86">
        <v>1.4</v>
      </c>
    </row>
    <row r="3" spans="1:4" x14ac:dyDescent="0.25">
      <c r="A3" t="s">
        <v>378</v>
      </c>
      <c r="B3">
        <v>8</v>
      </c>
      <c r="C3">
        <v>35.212910000000001</v>
      </c>
      <c r="D3" s="86">
        <v>1.4</v>
      </c>
    </row>
    <row r="4" spans="1:4" x14ac:dyDescent="0.25">
      <c r="A4" t="s">
        <v>378</v>
      </c>
      <c r="B4">
        <v>9</v>
      </c>
      <c r="C4">
        <v>31.849170000000001</v>
      </c>
      <c r="D4" s="86">
        <v>1.4</v>
      </c>
    </row>
    <row r="5" spans="1:4" x14ac:dyDescent="0.25">
      <c r="A5" t="s">
        <v>378</v>
      </c>
      <c r="B5">
        <v>14</v>
      </c>
      <c r="C5">
        <v>21.333320000000001</v>
      </c>
      <c r="D5" s="86">
        <v>1.4</v>
      </c>
    </row>
    <row r="6" spans="1:4" x14ac:dyDescent="0.25">
      <c r="A6" t="s">
        <v>378</v>
      </c>
      <c r="B6">
        <v>15</v>
      </c>
      <c r="C6">
        <v>20.02178</v>
      </c>
      <c r="D6" s="86">
        <v>1.4</v>
      </c>
    </row>
    <row r="7" spans="1:4" x14ac:dyDescent="0.25">
      <c r="A7" t="s">
        <v>378</v>
      </c>
      <c r="B7">
        <v>17</v>
      </c>
      <c r="C7">
        <v>19.619119999999999</v>
      </c>
      <c r="D7" s="86">
        <v>1.4</v>
      </c>
    </row>
    <row r="8" spans="1:4" x14ac:dyDescent="0.25">
      <c r="A8" t="s">
        <v>378</v>
      </c>
      <c r="B8">
        <v>33</v>
      </c>
      <c r="C8">
        <v>12.1517</v>
      </c>
      <c r="D8" s="86">
        <v>1.4</v>
      </c>
    </row>
    <row r="9" spans="1:4" x14ac:dyDescent="0.25">
      <c r="A9" t="s">
        <v>378</v>
      </c>
      <c r="B9">
        <v>34</v>
      </c>
      <c r="C9">
        <v>12.1372</v>
      </c>
      <c r="D9" s="86">
        <v>1.4</v>
      </c>
    </row>
    <row r="10" spans="1:4" x14ac:dyDescent="0.25">
      <c r="A10" t="s">
        <v>378</v>
      </c>
      <c r="B10">
        <v>41</v>
      </c>
      <c r="C10">
        <v>11.283379999999999</v>
      </c>
      <c r="D10" s="86">
        <v>1.4</v>
      </c>
    </row>
    <row r="11" spans="1:4" x14ac:dyDescent="0.25">
      <c r="A11" t="s">
        <v>378</v>
      </c>
      <c r="B11">
        <v>45</v>
      </c>
      <c r="C11">
        <v>10.613479999999999</v>
      </c>
      <c r="D11" s="86">
        <v>1.4</v>
      </c>
    </row>
    <row r="12" spans="1:4" x14ac:dyDescent="0.25">
      <c r="A12" t="s">
        <v>378</v>
      </c>
      <c r="B12">
        <v>46</v>
      </c>
      <c r="C12">
        <v>10.446249999999999</v>
      </c>
      <c r="D12" s="86">
        <v>1.4</v>
      </c>
    </row>
    <row r="13" spans="1:4" x14ac:dyDescent="0.25">
      <c r="A13" t="s">
        <v>378</v>
      </c>
      <c r="B13">
        <v>47</v>
      </c>
      <c r="C13">
        <v>10.28079</v>
      </c>
      <c r="D13" s="86">
        <v>1.4</v>
      </c>
    </row>
    <row r="14" spans="1:4" x14ac:dyDescent="0.25">
      <c r="A14" t="s">
        <v>378</v>
      </c>
      <c r="B14">
        <v>54</v>
      </c>
      <c r="C14">
        <v>9.20214</v>
      </c>
      <c r="D14" s="86">
        <v>1.4</v>
      </c>
    </row>
    <row r="15" spans="1:4" x14ac:dyDescent="0.25">
      <c r="A15" t="s">
        <v>378</v>
      </c>
      <c r="B15">
        <v>58</v>
      </c>
      <c r="C15">
        <v>8.883203</v>
      </c>
      <c r="D15" s="86">
        <v>1.4</v>
      </c>
    </row>
    <row r="16" spans="1:4" x14ac:dyDescent="0.25">
      <c r="A16" t="s">
        <v>378</v>
      </c>
      <c r="B16">
        <v>62</v>
      </c>
      <c r="C16">
        <v>8.7282030000000006</v>
      </c>
      <c r="D16" s="86">
        <v>1.4</v>
      </c>
    </row>
    <row r="17" spans="1:4" x14ac:dyDescent="0.25">
      <c r="A17" t="s">
        <v>378</v>
      </c>
      <c r="B17">
        <v>63</v>
      </c>
      <c r="C17">
        <v>8.6720620000000004</v>
      </c>
      <c r="D17" s="86">
        <v>1.4</v>
      </c>
    </row>
    <row r="18" spans="1:4" x14ac:dyDescent="0.25">
      <c r="A18" t="s">
        <v>378</v>
      </c>
      <c r="B18">
        <v>68</v>
      </c>
      <c r="C18">
        <v>8.3363929999999993</v>
      </c>
      <c r="D18" s="86">
        <v>1.4</v>
      </c>
    </row>
    <row r="19" spans="1:4" x14ac:dyDescent="0.25">
      <c r="A19" t="s">
        <v>378</v>
      </c>
      <c r="B19">
        <v>71</v>
      </c>
      <c r="C19">
        <v>8.1124109999999998</v>
      </c>
      <c r="D19" s="86">
        <v>1.4</v>
      </c>
    </row>
    <row r="20" spans="1:4" x14ac:dyDescent="0.25">
      <c r="A20" t="s">
        <v>378</v>
      </c>
      <c r="B20">
        <v>73</v>
      </c>
      <c r="C20">
        <v>7.9601579999999998</v>
      </c>
      <c r="D20" s="86">
        <v>1.4</v>
      </c>
    </row>
    <row r="21" spans="1:4" x14ac:dyDescent="0.25">
      <c r="A21" t="s">
        <v>378</v>
      </c>
      <c r="B21">
        <v>86</v>
      </c>
      <c r="C21">
        <v>7.1626719999999997</v>
      </c>
      <c r="D21" s="86">
        <v>1.4</v>
      </c>
    </row>
    <row r="22" spans="1:4" x14ac:dyDescent="0.25">
      <c r="A22" t="s">
        <v>378</v>
      </c>
      <c r="B22">
        <v>88</v>
      </c>
      <c r="C22">
        <v>7.1316899999999999</v>
      </c>
      <c r="D22" s="86">
        <v>1.4</v>
      </c>
    </row>
    <row r="23" spans="1:4" x14ac:dyDescent="0.25">
      <c r="A23" t="s">
        <v>378</v>
      </c>
      <c r="B23">
        <v>90</v>
      </c>
      <c r="C23">
        <v>7.0858150000000002</v>
      </c>
      <c r="D23" s="86">
        <v>1.4</v>
      </c>
    </row>
    <row r="24" spans="1:4" x14ac:dyDescent="0.25">
      <c r="A24" t="s">
        <v>378</v>
      </c>
      <c r="B24">
        <v>91</v>
      </c>
      <c r="C24">
        <v>7.0583929999999997</v>
      </c>
      <c r="D24" s="86">
        <v>1.4</v>
      </c>
    </row>
    <row r="25" spans="1:4" x14ac:dyDescent="0.25">
      <c r="A25" t="s">
        <v>378</v>
      </c>
      <c r="B25">
        <v>92</v>
      </c>
      <c r="C25">
        <v>7.0284719999999998</v>
      </c>
      <c r="D25" s="86">
        <v>1.4</v>
      </c>
    </row>
    <row r="26" spans="1:4" x14ac:dyDescent="0.25">
      <c r="A26" t="s">
        <v>378</v>
      </c>
      <c r="B26">
        <v>93</v>
      </c>
      <c r="C26">
        <v>6.9963730000000002</v>
      </c>
      <c r="D26" s="86">
        <v>1.4</v>
      </c>
    </row>
    <row r="27" spans="1:4" x14ac:dyDescent="0.25">
      <c r="A27" t="s">
        <v>378</v>
      </c>
      <c r="B27">
        <v>95</v>
      </c>
      <c r="C27">
        <v>6.9267450000000004</v>
      </c>
      <c r="D27" s="86">
        <v>1.4</v>
      </c>
    </row>
    <row r="28" spans="1:4" x14ac:dyDescent="0.25">
      <c r="A28" t="s">
        <v>378</v>
      </c>
      <c r="B28">
        <v>97</v>
      </c>
      <c r="C28">
        <v>6.8514400000000002</v>
      </c>
      <c r="D28" s="86">
        <v>1.4</v>
      </c>
    </row>
    <row r="29" spans="1:4" x14ac:dyDescent="0.25">
      <c r="A29" t="s">
        <v>378</v>
      </c>
      <c r="B29">
        <v>101</v>
      </c>
      <c r="C29">
        <v>6.6896449999999996</v>
      </c>
      <c r="D29" s="86">
        <v>1.4</v>
      </c>
    </row>
    <row r="30" spans="1:4" x14ac:dyDescent="0.25">
      <c r="A30" t="s">
        <v>378</v>
      </c>
      <c r="B30">
        <v>102</v>
      </c>
      <c r="C30">
        <v>6.6476940000000004</v>
      </c>
      <c r="D30" s="86">
        <v>1.4</v>
      </c>
    </row>
    <row r="31" spans="1:4" x14ac:dyDescent="0.25">
      <c r="A31" t="s">
        <v>378</v>
      </c>
      <c r="B31">
        <v>107</v>
      </c>
      <c r="C31">
        <v>6.4340169999999999</v>
      </c>
      <c r="D31" s="86">
        <v>1.4</v>
      </c>
    </row>
    <row r="32" spans="1:4" x14ac:dyDescent="0.25">
      <c r="A32" t="s">
        <v>378</v>
      </c>
      <c r="B32">
        <v>115</v>
      </c>
      <c r="C32">
        <v>6.1184010000000004</v>
      </c>
      <c r="D32" s="86">
        <v>1.4</v>
      </c>
    </row>
    <row r="33" spans="1:4" x14ac:dyDescent="0.25">
      <c r="A33" t="s">
        <v>378</v>
      </c>
      <c r="B33">
        <v>117</v>
      </c>
      <c r="C33">
        <v>6.1112590000000004</v>
      </c>
      <c r="D33" s="86">
        <v>1.4</v>
      </c>
    </row>
    <row r="34" spans="1:4" x14ac:dyDescent="0.25">
      <c r="A34" t="s">
        <v>378</v>
      </c>
      <c r="B34">
        <v>118</v>
      </c>
      <c r="C34">
        <v>6.1038370000000004</v>
      </c>
      <c r="D34" s="86">
        <v>1.4</v>
      </c>
    </row>
    <row r="35" spans="1:4" x14ac:dyDescent="0.25">
      <c r="A35" t="s">
        <v>378</v>
      </c>
      <c r="B35">
        <v>119</v>
      </c>
      <c r="C35">
        <v>6.0941660000000004</v>
      </c>
      <c r="D35" s="86">
        <v>1.4</v>
      </c>
    </row>
    <row r="36" spans="1:4" x14ac:dyDescent="0.25">
      <c r="A36" t="s">
        <v>378</v>
      </c>
      <c r="B36">
        <v>121</v>
      </c>
      <c r="C36">
        <v>6.0689060000000001</v>
      </c>
      <c r="D36" s="86">
        <v>1.4</v>
      </c>
    </row>
    <row r="37" spans="1:4" x14ac:dyDescent="0.25">
      <c r="A37" t="s">
        <v>378</v>
      </c>
      <c r="B37">
        <v>129</v>
      </c>
      <c r="C37">
        <v>5.9124610000000004</v>
      </c>
      <c r="D37" s="86">
        <v>1.4</v>
      </c>
    </row>
    <row r="38" spans="1:4" x14ac:dyDescent="0.25">
      <c r="A38" t="s">
        <v>378</v>
      </c>
      <c r="B38">
        <v>134</v>
      </c>
      <c r="C38">
        <v>5.788119</v>
      </c>
      <c r="D38" s="86">
        <v>1.4</v>
      </c>
    </row>
    <row r="39" spans="1:4" x14ac:dyDescent="0.25">
      <c r="A39" t="s">
        <v>378</v>
      </c>
      <c r="B39">
        <v>136</v>
      </c>
      <c r="C39">
        <v>5.735385</v>
      </c>
      <c r="D39" s="86">
        <v>1.4</v>
      </c>
    </row>
    <row r="40" spans="1:4" x14ac:dyDescent="0.25">
      <c r="A40" t="s">
        <v>378</v>
      </c>
      <c r="B40">
        <v>138</v>
      </c>
      <c r="C40">
        <v>5.6815720000000001</v>
      </c>
      <c r="D40" s="86">
        <v>1.4</v>
      </c>
    </row>
    <row r="41" spans="1:4" x14ac:dyDescent="0.25">
      <c r="A41" t="s">
        <v>378</v>
      </c>
      <c r="B41">
        <v>139</v>
      </c>
      <c r="C41">
        <v>5.6543650000000003</v>
      </c>
      <c r="D41" s="86">
        <v>1.4</v>
      </c>
    </row>
    <row r="42" spans="1:4" x14ac:dyDescent="0.25">
      <c r="A42" t="s">
        <v>378</v>
      </c>
      <c r="B42">
        <v>141</v>
      </c>
      <c r="C42">
        <v>5.5995330000000001</v>
      </c>
      <c r="D42" s="86">
        <v>1.4</v>
      </c>
    </row>
    <row r="43" spans="1:4" x14ac:dyDescent="0.25">
      <c r="A43" t="s">
        <v>378</v>
      </c>
      <c r="B43">
        <v>144</v>
      </c>
      <c r="C43">
        <v>5.5166919999999999</v>
      </c>
      <c r="D43" s="86">
        <v>1.4</v>
      </c>
    </row>
    <row r="44" spans="1:4" x14ac:dyDescent="0.25">
      <c r="A44" t="s">
        <v>378</v>
      </c>
      <c r="B44">
        <v>145</v>
      </c>
      <c r="C44">
        <v>5.4890249999999998</v>
      </c>
      <c r="D44" s="86">
        <v>1.4</v>
      </c>
    </row>
    <row r="45" spans="1:4" x14ac:dyDescent="0.25">
      <c r="A45" t="s">
        <v>378</v>
      </c>
      <c r="B45">
        <v>146</v>
      </c>
      <c r="C45">
        <v>5.4613670000000001</v>
      </c>
      <c r="D45" s="86">
        <v>1.4</v>
      </c>
    </row>
    <row r="46" spans="1:4" x14ac:dyDescent="0.25">
      <c r="A46" t="s">
        <v>378</v>
      </c>
      <c r="B46">
        <v>148</v>
      </c>
      <c r="C46">
        <v>5.4085070000000002</v>
      </c>
      <c r="D46" s="86">
        <v>1.4</v>
      </c>
    </row>
    <row r="47" spans="1:4" x14ac:dyDescent="0.25">
      <c r="A47" t="s">
        <v>378</v>
      </c>
      <c r="B47">
        <v>149</v>
      </c>
      <c r="C47">
        <v>5.408118</v>
      </c>
      <c r="D47" s="86">
        <v>1.4</v>
      </c>
    </row>
    <row r="48" spans="1:4" x14ac:dyDescent="0.25">
      <c r="A48" t="s">
        <v>378</v>
      </c>
      <c r="B48">
        <v>151</v>
      </c>
      <c r="C48">
        <v>5.4024549999999998</v>
      </c>
      <c r="D48" s="86">
        <v>1.4</v>
      </c>
    </row>
    <row r="49" spans="1:4" x14ac:dyDescent="0.25">
      <c r="A49" t="s">
        <v>378</v>
      </c>
      <c r="B49">
        <v>155</v>
      </c>
      <c r="C49">
        <v>5.3748690000000003</v>
      </c>
      <c r="D49" s="86">
        <v>1.4</v>
      </c>
    </row>
    <row r="50" spans="1:4" x14ac:dyDescent="0.25">
      <c r="A50" t="s">
        <v>378</v>
      </c>
      <c r="B50">
        <v>158</v>
      </c>
      <c r="C50">
        <v>5.3430119999999999</v>
      </c>
      <c r="D50" s="86">
        <v>1.4</v>
      </c>
    </row>
    <row r="51" spans="1:4" x14ac:dyDescent="0.25">
      <c r="A51" t="s">
        <v>378</v>
      </c>
      <c r="B51">
        <v>159</v>
      </c>
      <c r="C51">
        <v>5.3306940000000003</v>
      </c>
      <c r="D51" s="86">
        <v>1.4</v>
      </c>
    </row>
    <row r="52" spans="1:4" x14ac:dyDescent="0.25">
      <c r="A52" t="s">
        <v>378</v>
      </c>
      <c r="B52">
        <v>160</v>
      </c>
      <c r="C52">
        <v>5.3176410000000001</v>
      </c>
      <c r="D52" s="86">
        <v>1.4</v>
      </c>
    </row>
    <row r="53" spans="1:4" x14ac:dyDescent="0.25">
      <c r="A53" t="s">
        <v>378</v>
      </c>
      <c r="B53">
        <v>166</v>
      </c>
      <c r="C53">
        <v>5.2269800000000002</v>
      </c>
      <c r="D53" s="86">
        <v>1.4</v>
      </c>
    </row>
    <row r="54" spans="1:4" x14ac:dyDescent="0.25">
      <c r="A54" t="s">
        <v>378</v>
      </c>
      <c r="B54">
        <v>174</v>
      </c>
      <c r="C54">
        <v>5.0850010000000001</v>
      </c>
      <c r="D54" s="86">
        <v>1.4</v>
      </c>
    </row>
    <row r="55" spans="1:4" x14ac:dyDescent="0.25">
      <c r="A55" t="s">
        <v>378</v>
      </c>
      <c r="B55">
        <v>191</v>
      </c>
      <c r="C55">
        <v>4.8762660000000002</v>
      </c>
      <c r="D55" s="86">
        <v>1.4</v>
      </c>
    </row>
    <row r="56" spans="1:4" x14ac:dyDescent="0.25">
      <c r="A56" t="s">
        <v>378</v>
      </c>
      <c r="B56">
        <v>192</v>
      </c>
      <c r="C56">
        <v>4.869764</v>
      </c>
      <c r="D56" s="86">
        <v>1.4</v>
      </c>
    </row>
    <row r="57" spans="1:4" x14ac:dyDescent="0.25">
      <c r="A57" t="s">
        <v>378</v>
      </c>
      <c r="B57">
        <v>198</v>
      </c>
      <c r="C57">
        <v>4.8185729999999998</v>
      </c>
      <c r="D57" s="86">
        <v>1.4</v>
      </c>
    </row>
    <row r="58" spans="1:4" x14ac:dyDescent="0.25">
      <c r="A58" t="s">
        <v>378</v>
      </c>
      <c r="B58">
        <v>200</v>
      </c>
      <c r="C58">
        <v>4.7977569999999998</v>
      </c>
      <c r="D58" s="86">
        <v>1.4</v>
      </c>
    </row>
    <row r="59" spans="1:4" x14ac:dyDescent="0.25">
      <c r="A59" t="s">
        <v>378</v>
      </c>
      <c r="B59">
        <v>203</v>
      </c>
      <c r="C59">
        <v>4.7638590000000001</v>
      </c>
      <c r="D59" s="86">
        <v>1.4</v>
      </c>
    </row>
    <row r="60" spans="1:4" x14ac:dyDescent="0.25">
      <c r="A60" t="s">
        <v>378</v>
      </c>
      <c r="B60">
        <v>208</v>
      </c>
      <c r="C60">
        <v>4.701829</v>
      </c>
      <c r="D60" s="86">
        <v>1.4</v>
      </c>
    </row>
    <row r="61" spans="1:4" x14ac:dyDescent="0.25">
      <c r="A61" t="s">
        <v>378</v>
      </c>
      <c r="B61">
        <v>210</v>
      </c>
      <c r="C61">
        <v>4.675548</v>
      </c>
      <c r="D61" s="86">
        <v>1.4</v>
      </c>
    </row>
    <row r="62" spans="1:4" x14ac:dyDescent="0.25">
      <c r="A62" t="s">
        <v>378</v>
      </c>
      <c r="B62">
        <v>217</v>
      </c>
      <c r="C62">
        <v>4.5792200000000003</v>
      </c>
      <c r="D62" s="86">
        <v>1.4</v>
      </c>
    </row>
    <row r="63" spans="1:4" x14ac:dyDescent="0.25">
      <c r="A63" t="s">
        <v>378</v>
      </c>
      <c r="B63">
        <v>219</v>
      </c>
      <c r="C63">
        <v>4.5508569999999997</v>
      </c>
      <c r="D63" s="86">
        <v>1.4</v>
      </c>
    </row>
    <row r="64" spans="1:4" x14ac:dyDescent="0.25">
      <c r="A64" t="s">
        <v>378</v>
      </c>
      <c r="B64">
        <v>237</v>
      </c>
      <c r="C64">
        <v>4.4503529999999998</v>
      </c>
      <c r="D64" s="86">
        <v>1.4</v>
      </c>
    </row>
    <row r="65" spans="1:4" x14ac:dyDescent="0.25">
      <c r="A65" t="s">
        <v>378</v>
      </c>
      <c r="B65">
        <v>238</v>
      </c>
      <c r="C65">
        <v>4.442672</v>
      </c>
      <c r="D65" s="86">
        <v>1.4</v>
      </c>
    </row>
    <row r="66" spans="1:4" x14ac:dyDescent="0.25">
      <c r="A66" t="s">
        <v>378</v>
      </c>
      <c r="B66">
        <v>250</v>
      </c>
      <c r="C66">
        <v>4.3328480000000003</v>
      </c>
      <c r="D66" s="86">
        <v>1.4</v>
      </c>
    </row>
    <row r="67" spans="1:4" x14ac:dyDescent="0.25">
      <c r="A67" t="s">
        <v>378</v>
      </c>
      <c r="B67">
        <v>263</v>
      </c>
      <c r="C67">
        <v>4.2164650000000004</v>
      </c>
      <c r="D67" s="86">
        <v>1.4</v>
      </c>
    </row>
    <row r="68" spans="1:4" x14ac:dyDescent="0.25">
      <c r="A68" t="s">
        <v>378</v>
      </c>
      <c r="B68">
        <v>273</v>
      </c>
      <c r="C68">
        <v>4.1866770000000004</v>
      </c>
      <c r="D68" s="86">
        <v>1.4</v>
      </c>
    </row>
    <row r="69" spans="1:4" x14ac:dyDescent="0.25">
      <c r="A69" t="s">
        <v>378</v>
      </c>
      <c r="B69">
        <v>281</v>
      </c>
      <c r="C69">
        <v>4.1409539999999998</v>
      </c>
      <c r="D69" s="86">
        <v>1.4</v>
      </c>
    </row>
    <row r="70" spans="1:4" x14ac:dyDescent="0.25">
      <c r="A70" t="s">
        <v>378</v>
      </c>
      <c r="B70">
        <v>297</v>
      </c>
      <c r="C70">
        <v>4.0179669999999996</v>
      </c>
      <c r="D70" s="86">
        <v>1.4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19" workbookViewId="0">
      <selection activeCell="B30" sqref="B30"/>
    </sheetView>
  </sheetViews>
  <sheetFormatPr defaultRowHeight="15" x14ac:dyDescent="0.25"/>
  <cols>
    <col min="1" max="1" width="10.42578125" bestFit="1" customWidth="1"/>
    <col min="2" max="2" width="16.85546875" bestFit="1" customWidth="1"/>
    <col min="3" max="3" width="13.7109375" style="36" bestFit="1" customWidth="1"/>
  </cols>
  <sheetData>
    <row r="1" spans="1:3" x14ac:dyDescent="0.25">
      <c r="A1" t="s">
        <v>365</v>
      </c>
      <c r="B1" t="s">
        <v>380</v>
      </c>
      <c r="C1" s="36" t="s">
        <v>379</v>
      </c>
    </row>
    <row r="2" spans="1:3" x14ac:dyDescent="0.25">
      <c r="A2" t="s">
        <v>0</v>
      </c>
      <c r="B2">
        <v>121</v>
      </c>
      <c r="C2" s="36">
        <v>3.9</v>
      </c>
    </row>
    <row r="3" spans="1:3" x14ac:dyDescent="0.25">
      <c r="A3" t="s">
        <v>2</v>
      </c>
      <c r="B3">
        <v>155</v>
      </c>
      <c r="C3" s="36">
        <v>4.7</v>
      </c>
    </row>
    <row r="4" spans="1:3" x14ac:dyDescent="0.25">
      <c r="A4" t="s">
        <v>3</v>
      </c>
      <c r="B4">
        <v>71</v>
      </c>
      <c r="C4" s="36">
        <v>4.3</v>
      </c>
    </row>
    <row r="5" spans="1:3" x14ac:dyDescent="0.25">
      <c r="A5" t="s">
        <v>7</v>
      </c>
      <c r="B5">
        <v>95</v>
      </c>
      <c r="C5" s="36">
        <v>2.2999999999999998</v>
      </c>
    </row>
    <row r="6" spans="1:3" x14ac:dyDescent="0.25">
      <c r="A6" t="s">
        <v>9</v>
      </c>
      <c r="B6">
        <v>237</v>
      </c>
      <c r="C6" s="36">
        <v>0.4</v>
      </c>
    </row>
    <row r="7" spans="1:3" x14ac:dyDescent="0.25">
      <c r="A7" t="s">
        <v>674</v>
      </c>
      <c r="B7">
        <v>117</v>
      </c>
      <c r="C7" s="36">
        <v>1.7</v>
      </c>
    </row>
    <row r="8" spans="1:3" x14ac:dyDescent="0.25">
      <c r="A8" t="s">
        <v>677</v>
      </c>
      <c r="B8">
        <v>149</v>
      </c>
      <c r="C8" s="36">
        <v>1.4</v>
      </c>
    </row>
    <row r="9" spans="1:3" x14ac:dyDescent="0.25">
      <c r="A9" t="s">
        <v>11</v>
      </c>
      <c r="B9">
        <v>86</v>
      </c>
      <c r="C9" s="36">
        <v>3.4</v>
      </c>
    </row>
    <row r="10" spans="1:3" x14ac:dyDescent="0.25">
      <c r="A10" t="s">
        <v>13</v>
      </c>
      <c r="B10">
        <v>62</v>
      </c>
      <c r="C10" s="36">
        <v>1.7</v>
      </c>
    </row>
    <row r="11" spans="1:3" x14ac:dyDescent="0.25">
      <c r="A11" t="s">
        <v>15</v>
      </c>
      <c r="B11">
        <v>54</v>
      </c>
      <c r="C11" s="36">
        <v>0</v>
      </c>
    </row>
    <row r="12" spans="1:3" x14ac:dyDescent="0.25">
      <c r="A12" t="s">
        <v>17</v>
      </c>
      <c r="B12">
        <v>58</v>
      </c>
      <c r="C12" s="36">
        <v>0</v>
      </c>
    </row>
    <row r="13" spans="1:3" x14ac:dyDescent="0.25">
      <c r="A13" t="s">
        <v>19</v>
      </c>
      <c r="B13">
        <v>238</v>
      </c>
      <c r="C13" s="36">
        <v>2.2000000000000002</v>
      </c>
    </row>
    <row r="14" spans="1:3" x14ac:dyDescent="0.25">
      <c r="A14" t="s">
        <v>21</v>
      </c>
      <c r="B14">
        <v>118</v>
      </c>
      <c r="C14" s="36">
        <v>0</v>
      </c>
    </row>
    <row r="15" spans="1:3" x14ac:dyDescent="0.25">
      <c r="A15" t="s">
        <v>681</v>
      </c>
      <c r="B15">
        <v>8</v>
      </c>
      <c r="C15" s="36">
        <v>0</v>
      </c>
    </row>
    <row r="16" spans="1:3" x14ac:dyDescent="0.25">
      <c r="A16" t="s">
        <v>31</v>
      </c>
      <c r="B16">
        <v>166</v>
      </c>
      <c r="C16" s="36">
        <v>2.5</v>
      </c>
    </row>
    <row r="17" spans="1:3" x14ac:dyDescent="0.25">
      <c r="A17" t="s">
        <v>33</v>
      </c>
      <c r="B17">
        <v>138</v>
      </c>
      <c r="C17" s="36">
        <v>1.4</v>
      </c>
    </row>
    <row r="18" spans="1:3" x14ac:dyDescent="0.25">
      <c r="A18" t="s">
        <v>37</v>
      </c>
      <c r="B18">
        <v>174</v>
      </c>
      <c r="C18" s="36">
        <v>2.2999999999999998</v>
      </c>
    </row>
    <row r="19" spans="1:3" x14ac:dyDescent="0.25">
      <c r="A19" t="s">
        <v>38</v>
      </c>
      <c r="B19">
        <v>146</v>
      </c>
      <c r="C19" s="36">
        <v>0.7</v>
      </c>
    </row>
    <row r="20" spans="1:3" x14ac:dyDescent="0.25">
      <c r="A20" t="s">
        <v>42</v>
      </c>
      <c r="B20">
        <v>58</v>
      </c>
      <c r="C20" s="36">
        <v>0</v>
      </c>
    </row>
    <row r="21" spans="1:3" x14ac:dyDescent="0.25">
      <c r="A21" t="s">
        <v>44</v>
      </c>
      <c r="B21">
        <v>200</v>
      </c>
      <c r="C21" s="36">
        <v>1.4</v>
      </c>
    </row>
    <row r="22" spans="1:3" x14ac:dyDescent="0.25">
      <c r="A22" t="s">
        <v>45</v>
      </c>
      <c r="B22">
        <v>68</v>
      </c>
      <c r="C22" s="36">
        <v>1.4</v>
      </c>
    </row>
    <row r="23" spans="1:3" x14ac:dyDescent="0.25">
      <c r="A23" t="s">
        <v>51</v>
      </c>
      <c r="B23">
        <v>273</v>
      </c>
      <c r="C23" s="36">
        <v>0.4</v>
      </c>
    </row>
    <row r="24" spans="1:3" x14ac:dyDescent="0.25">
      <c r="A24" t="s">
        <v>689</v>
      </c>
      <c r="B24">
        <v>159</v>
      </c>
      <c r="C24" s="36">
        <v>1.3</v>
      </c>
    </row>
    <row r="25" spans="1:3" x14ac:dyDescent="0.25">
      <c r="A25" t="s">
        <v>53</v>
      </c>
      <c r="B25">
        <v>92</v>
      </c>
      <c r="C25" s="36">
        <v>3.8</v>
      </c>
    </row>
    <row r="26" spans="1:3" x14ac:dyDescent="0.25">
      <c r="A26" t="s">
        <v>55</v>
      </c>
      <c r="B26">
        <v>250</v>
      </c>
      <c r="C26" s="36">
        <v>1.2</v>
      </c>
    </row>
    <row r="27" spans="1:3" x14ac:dyDescent="0.25">
      <c r="A27" t="s">
        <v>57</v>
      </c>
      <c r="B27">
        <v>115</v>
      </c>
      <c r="C27" s="36">
        <v>1.7</v>
      </c>
    </row>
    <row r="28" spans="1:3" x14ac:dyDescent="0.25">
      <c r="A28" t="s">
        <v>63</v>
      </c>
      <c r="B28">
        <v>263</v>
      </c>
      <c r="C28" s="36">
        <v>0.4</v>
      </c>
    </row>
    <row r="29" spans="1:3" x14ac:dyDescent="0.25">
      <c r="A29" t="s">
        <v>65</v>
      </c>
      <c r="B29">
        <v>192</v>
      </c>
      <c r="C29" s="36">
        <v>0</v>
      </c>
    </row>
    <row r="30" spans="1:3" x14ac:dyDescent="0.25">
      <c r="A30" t="s">
        <v>71</v>
      </c>
      <c r="B30">
        <v>14</v>
      </c>
      <c r="C30" s="36">
        <v>7.7</v>
      </c>
    </row>
    <row r="31" spans="1:3" x14ac:dyDescent="0.25">
      <c r="A31" t="s">
        <v>67</v>
      </c>
      <c r="B31">
        <v>297</v>
      </c>
      <c r="C31" s="36">
        <v>2</v>
      </c>
    </row>
    <row r="32" spans="1:3" x14ac:dyDescent="0.25">
      <c r="A32" t="s">
        <v>69</v>
      </c>
      <c r="B32">
        <v>200</v>
      </c>
      <c r="C32" s="36">
        <v>1.9</v>
      </c>
    </row>
    <row r="33" spans="1:3" x14ac:dyDescent="0.25">
      <c r="A33" t="s">
        <v>73</v>
      </c>
      <c r="B33">
        <v>102</v>
      </c>
      <c r="C33" s="36">
        <v>1</v>
      </c>
    </row>
    <row r="34" spans="1:3" x14ac:dyDescent="0.25">
      <c r="A34" t="s">
        <v>74</v>
      </c>
      <c r="B34">
        <v>141</v>
      </c>
      <c r="C34" s="36">
        <v>1.3</v>
      </c>
    </row>
    <row r="35" spans="1:3" x14ac:dyDescent="0.25">
      <c r="A35" t="s">
        <v>80</v>
      </c>
      <c r="B35">
        <v>217</v>
      </c>
      <c r="C35" s="36">
        <v>1.8</v>
      </c>
    </row>
    <row r="36" spans="1:3" x14ac:dyDescent="0.25">
      <c r="A36" t="s">
        <v>84</v>
      </c>
      <c r="B36">
        <v>145</v>
      </c>
      <c r="C36" s="36">
        <v>0</v>
      </c>
    </row>
    <row r="37" spans="1:3" x14ac:dyDescent="0.25">
      <c r="A37" t="s">
        <v>86</v>
      </c>
      <c r="B37">
        <v>88</v>
      </c>
      <c r="C37" s="36">
        <v>2</v>
      </c>
    </row>
    <row r="38" spans="1:3" x14ac:dyDescent="0.25">
      <c r="A38" t="s">
        <v>88</v>
      </c>
      <c r="B38">
        <v>97</v>
      </c>
      <c r="C38" s="36">
        <v>4.4000000000000004</v>
      </c>
    </row>
    <row r="39" spans="1:3" x14ac:dyDescent="0.25">
      <c r="A39" t="s">
        <v>90</v>
      </c>
      <c r="B39">
        <v>90</v>
      </c>
      <c r="C39" s="36">
        <v>0</v>
      </c>
    </row>
    <row r="40" spans="1:3" x14ac:dyDescent="0.25">
      <c r="A40" t="s">
        <v>98</v>
      </c>
      <c r="B40">
        <v>46</v>
      </c>
      <c r="C40" s="36">
        <v>0</v>
      </c>
    </row>
    <row r="41" spans="1:3" x14ac:dyDescent="0.25">
      <c r="A41" t="s">
        <v>102</v>
      </c>
      <c r="B41">
        <v>129</v>
      </c>
      <c r="C41" s="36">
        <v>0.8</v>
      </c>
    </row>
    <row r="42" spans="1:3" x14ac:dyDescent="0.25">
      <c r="A42" t="s">
        <v>104</v>
      </c>
      <c r="B42">
        <v>191</v>
      </c>
      <c r="C42" s="36">
        <v>3</v>
      </c>
    </row>
    <row r="43" spans="1:3" x14ac:dyDescent="0.25">
      <c r="A43" t="s">
        <v>108</v>
      </c>
      <c r="B43">
        <v>17</v>
      </c>
      <c r="C43" s="36">
        <v>0</v>
      </c>
    </row>
    <row r="44" spans="1:3" x14ac:dyDescent="0.25">
      <c r="A44" t="s">
        <v>110</v>
      </c>
      <c r="B44">
        <v>203</v>
      </c>
      <c r="C44" s="36">
        <v>2.9</v>
      </c>
    </row>
    <row r="45" spans="1:3" x14ac:dyDescent="0.25">
      <c r="A45" t="s">
        <v>112</v>
      </c>
      <c r="B45">
        <v>160</v>
      </c>
      <c r="C45" s="36">
        <v>0.6</v>
      </c>
    </row>
    <row r="46" spans="1:3" x14ac:dyDescent="0.25">
      <c r="A46" t="s">
        <v>114</v>
      </c>
      <c r="B46">
        <v>139</v>
      </c>
      <c r="C46" s="36">
        <v>1.4</v>
      </c>
    </row>
    <row r="47" spans="1:3" x14ac:dyDescent="0.25">
      <c r="A47" t="s">
        <v>115</v>
      </c>
      <c r="B47">
        <v>219</v>
      </c>
      <c r="C47" s="36">
        <v>0</v>
      </c>
    </row>
    <row r="48" spans="1:3" x14ac:dyDescent="0.25">
      <c r="A48" t="s">
        <v>117</v>
      </c>
      <c r="B48">
        <v>73</v>
      </c>
      <c r="C48" s="36">
        <v>1.4</v>
      </c>
    </row>
    <row r="49" spans="1:3" x14ac:dyDescent="0.25">
      <c r="A49" t="s">
        <v>119</v>
      </c>
      <c r="B49">
        <v>107</v>
      </c>
      <c r="C49" s="36">
        <v>0.9</v>
      </c>
    </row>
    <row r="50" spans="1:3" x14ac:dyDescent="0.25">
      <c r="A50" t="s">
        <v>121</v>
      </c>
      <c r="B50">
        <v>148</v>
      </c>
      <c r="C50" s="36">
        <v>2.8</v>
      </c>
    </row>
    <row r="51" spans="1:3" x14ac:dyDescent="0.25">
      <c r="A51" t="s">
        <v>123</v>
      </c>
      <c r="B51">
        <v>136</v>
      </c>
      <c r="C51" s="36">
        <v>0.7</v>
      </c>
    </row>
    <row r="52" spans="1:3" x14ac:dyDescent="0.25">
      <c r="A52" t="s">
        <v>125</v>
      </c>
      <c r="B52">
        <v>158</v>
      </c>
      <c r="C52" s="36">
        <v>0.6</v>
      </c>
    </row>
    <row r="53" spans="1:3" x14ac:dyDescent="0.25">
      <c r="A53" t="s">
        <v>127</v>
      </c>
      <c r="B53">
        <v>119</v>
      </c>
      <c r="C53" s="36">
        <v>0.9</v>
      </c>
    </row>
    <row r="54" spans="1:3" x14ac:dyDescent="0.25">
      <c r="A54" t="s">
        <v>129</v>
      </c>
      <c r="B54">
        <v>93</v>
      </c>
      <c r="C54" s="36">
        <v>1.2</v>
      </c>
    </row>
    <row r="55" spans="1:3" x14ac:dyDescent="0.25">
      <c r="A55" t="s">
        <v>131</v>
      </c>
      <c r="B55">
        <v>151</v>
      </c>
      <c r="C55" s="36">
        <v>1.4</v>
      </c>
    </row>
    <row r="56" spans="1:3" x14ac:dyDescent="0.25">
      <c r="A56" t="s">
        <v>133</v>
      </c>
      <c r="B56">
        <v>101</v>
      </c>
      <c r="C56" s="36">
        <v>2</v>
      </c>
    </row>
    <row r="57" spans="1:3" x14ac:dyDescent="0.25">
      <c r="A57" t="s">
        <v>135</v>
      </c>
      <c r="B57">
        <v>63</v>
      </c>
      <c r="C57" s="36">
        <v>0</v>
      </c>
    </row>
    <row r="58" spans="1:3" x14ac:dyDescent="0.25">
      <c r="A58" t="s">
        <v>137</v>
      </c>
      <c r="B58">
        <v>210</v>
      </c>
      <c r="C58" s="36">
        <v>0.5</v>
      </c>
    </row>
    <row r="59" spans="1:3" x14ac:dyDescent="0.25">
      <c r="A59" t="s">
        <v>141</v>
      </c>
      <c r="B59">
        <v>144</v>
      </c>
      <c r="C59" s="36">
        <v>2</v>
      </c>
    </row>
    <row r="60" spans="1:3" x14ac:dyDescent="0.25">
      <c r="A60" t="s">
        <v>147</v>
      </c>
      <c r="B60">
        <v>208</v>
      </c>
      <c r="C60" s="36">
        <v>0.5</v>
      </c>
    </row>
    <row r="61" spans="1:3" x14ac:dyDescent="0.25">
      <c r="A61" t="s">
        <v>149</v>
      </c>
      <c r="B61">
        <v>91</v>
      </c>
      <c r="C61" s="36">
        <v>0</v>
      </c>
    </row>
    <row r="62" spans="1:3" x14ac:dyDescent="0.25">
      <c r="A62" t="s">
        <v>151</v>
      </c>
      <c r="B62">
        <v>93</v>
      </c>
      <c r="C62" s="36">
        <v>0</v>
      </c>
    </row>
    <row r="63" spans="1:3" x14ac:dyDescent="0.25">
      <c r="A63" t="s">
        <v>153</v>
      </c>
      <c r="B63">
        <v>90</v>
      </c>
      <c r="C63" s="36">
        <v>0</v>
      </c>
    </row>
    <row r="64" spans="1:3" x14ac:dyDescent="0.25">
      <c r="A64" t="s">
        <v>701</v>
      </c>
      <c r="B64">
        <v>198</v>
      </c>
      <c r="C64" s="36">
        <v>1</v>
      </c>
    </row>
    <row r="65" spans="1:3" x14ac:dyDescent="0.25">
      <c r="A65" t="s">
        <v>155</v>
      </c>
      <c r="B65">
        <v>9</v>
      </c>
      <c r="C65" s="36">
        <v>0</v>
      </c>
    </row>
    <row r="66" spans="1:3" x14ac:dyDescent="0.25">
      <c r="A66" t="s">
        <v>159</v>
      </c>
      <c r="B66">
        <v>134</v>
      </c>
      <c r="C66" s="36">
        <v>1.5</v>
      </c>
    </row>
    <row r="67" spans="1:3" x14ac:dyDescent="0.25">
      <c r="A67" t="s">
        <v>161</v>
      </c>
      <c r="B67">
        <v>47</v>
      </c>
      <c r="C67" s="36">
        <v>0</v>
      </c>
    </row>
    <row r="68" spans="1:3" x14ac:dyDescent="0.25">
      <c r="A68" t="s">
        <v>163</v>
      </c>
      <c r="B68">
        <v>129</v>
      </c>
      <c r="C68" s="36">
        <v>2.2999999999999998</v>
      </c>
    </row>
    <row r="69" spans="1:3" x14ac:dyDescent="0.25">
      <c r="A69" t="s">
        <v>165</v>
      </c>
      <c r="B69">
        <v>45</v>
      </c>
      <c r="C69" s="36">
        <v>0</v>
      </c>
    </row>
    <row r="70" spans="1:3" x14ac:dyDescent="0.25">
      <c r="A70" t="s">
        <v>167</v>
      </c>
      <c r="B70">
        <v>117</v>
      </c>
      <c r="C70" s="36">
        <v>0</v>
      </c>
    </row>
    <row r="71" spans="1:3" x14ac:dyDescent="0.25">
      <c r="A71" t="s">
        <v>169</v>
      </c>
      <c r="B71">
        <v>33</v>
      </c>
      <c r="C71" s="36">
        <v>0</v>
      </c>
    </row>
    <row r="72" spans="1:3" x14ac:dyDescent="0.25">
      <c r="A72" t="s">
        <v>173</v>
      </c>
      <c r="B72">
        <v>281</v>
      </c>
      <c r="C72" s="36">
        <v>0.4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zoomScaleNormal="100" workbookViewId="0">
      <pane xSplit="1" ySplit="7" topLeftCell="C11" activePane="bottomRight" state="frozen"/>
      <selection pane="topRight" activeCell="B1" sqref="B1"/>
      <selection pane="bottomLeft" activeCell="A8" sqref="A8"/>
      <selection pane="bottomRight" activeCell="O29" sqref="O29"/>
    </sheetView>
  </sheetViews>
  <sheetFormatPr defaultRowHeight="15" x14ac:dyDescent="0.25"/>
  <cols>
    <col min="1" max="1" width="6.42578125" bestFit="1" customWidth="1"/>
    <col min="2" max="2" width="61" bestFit="1" customWidth="1"/>
    <col min="3" max="3" width="6" bestFit="1" customWidth="1"/>
    <col min="4" max="4" width="6.42578125" bestFit="1" customWidth="1"/>
    <col min="5" max="5" width="11.42578125" customWidth="1"/>
    <col min="6" max="6" width="13.28515625" customWidth="1"/>
    <col min="7" max="7" width="12.5703125" customWidth="1"/>
    <col min="8" max="8" width="12.140625" customWidth="1"/>
    <col min="9" max="11" width="9" customWidth="1"/>
    <col min="12" max="12" width="11.42578125" customWidth="1"/>
    <col min="13" max="13" width="13.5703125" customWidth="1"/>
    <col min="14" max="14" width="13.7109375" customWidth="1"/>
    <col min="16" max="16" width="13" customWidth="1"/>
    <col min="17" max="17" width="15.42578125" customWidth="1"/>
    <col min="18" max="18" width="13.28515625" customWidth="1"/>
  </cols>
  <sheetData>
    <row r="1" spans="1:22" x14ac:dyDescent="0.25">
      <c r="A1">
        <v>0</v>
      </c>
      <c r="B1" t="s">
        <v>381</v>
      </c>
      <c r="E1">
        <f t="shared" ref="E1:H5" si="0">QUARTILE(E$8:E$78,$A1)</f>
        <v>0.48148150000000001</v>
      </c>
      <c r="F1">
        <f t="shared" si="0"/>
        <v>0</v>
      </c>
      <c r="G1">
        <f t="shared" si="0"/>
        <v>0.42857139999999999</v>
      </c>
      <c r="H1">
        <f t="shared" si="0"/>
        <v>0.1129032</v>
      </c>
    </row>
    <row r="2" spans="1:22" x14ac:dyDescent="0.25">
      <c r="A2">
        <v>1</v>
      </c>
      <c r="B2" t="s">
        <v>382</v>
      </c>
      <c r="E2">
        <f t="shared" si="0"/>
        <v>0.86875002499999998</v>
      </c>
      <c r="F2">
        <f t="shared" si="0"/>
        <v>0.96666660000000004</v>
      </c>
      <c r="G2">
        <f t="shared" si="0"/>
        <v>0.87092389999999997</v>
      </c>
      <c r="H2">
        <f t="shared" si="0"/>
        <v>0.80098040000000004</v>
      </c>
    </row>
    <row r="3" spans="1:22" x14ac:dyDescent="0.25">
      <c r="A3">
        <v>2</v>
      </c>
      <c r="B3" t="s">
        <v>383</v>
      </c>
      <c r="E3">
        <f t="shared" si="0"/>
        <v>0.95833330000000005</v>
      </c>
      <c r="F3">
        <f t="shared" si="0"/>
        <v>1</v>
      </c>
      <c r="G3">
        <f t="shared" si="0"/>
        <v>0.96153840000000002</v>
      </c>
      <c r="H3">
        <f t="shared" si="0"/>
        <v>0.92307689999999998</v>
      </c>
    </row>
    <row r="4" spans="1:22" x14ac:dyDescent="0.25">
      <c r="A4">
        <v>3</v>
      </c>
      <c r="B4" t="s">
        <v>384</v>
      </c>
      <c r="E4">
        <f t="shared" si="0"/>
        <v>1</v>
      </c>
      <c r="F4">
        <f t="shared" si="0"/>
        <v>1</v>
      </c>
      <c r="G4">
        <f t="shared" si="0"/>
        <v>1</v>
      </c>
      <c r="H4">
        <f t="shared" si="0"/>
        <v>0.97268739999999998</v>
      </c>
    </row>
    <row r="5" spans="1:22" x14ac:dyDescent="0.25">
      <c r="A5">
        <v>4</v>
      </c>
      <c r="B5" t="s">
        <v>385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7" spans="1:22" ht="90" x14ac:dyDescent="0.25">
      <c r="A7" s="10" t="s">
        <v>176</v>
      </c>
      <c r="B7" s="10" t="s">
        <v>175</v>
      </c>
      <c r="C7" s="10" t="s">
        <v>184</v>
      </c>
      <c r="D7" s="10" t="s">
        <v>185</v>
      </c>
      <c r="E7" s="10" t="s">
        <v>192</v>
      </c>
      <c r="F7" s="10" t="s">
        <v>186</v>
      </c>
      <c r="G7" s="10" t="s">
        <v>187</v>
      </c>
      <c r="H7" s="10" t="s">
        <v>188</v>
      </c>
      <c r="I7" s="10" t="s">
        <v>705</v>
      </c>
      <c r="J7" s="10" t="s">
        <v>706</v>
      </c>
      <c r="K7" s="10" t="s">
        <v>707</v>
      </c>
      <c r="L7" s="10" t="s">
        <v>191</v>
      </c>
      <c r="M7" s="10" t="s">
        <v>190</v>
      </c>
      <c r="N7" s="10" t="s">
        <v>673</v>
      </c>
      <c r="O7" s="10" t="s">
        <v>176</v>
      </c>
      <c r="P7" s="18" t="s">
        <v>386</v>
      </c>
      <c r="Q7" s="37" t="s">
        <v>387</v>
      </c>
      <c r="R7" s="37" t="s">
        <v>388</v>
      </c>
      <c r="S7" s="37" t="s">
        <v>389</v>
      </c>
      <c r="T7" s="37" t="s">
        <v>401</v>
      </c>
      <c r="U7" s="37" t="s">
        <v>409</v>
      </c>
      <c r="V7" s="29" t="s">
        <v>708</v>
      </c>
    </row>
    <row r="8" spans="1:22" x14ac:dyDescent="0.25">
      <c r="A8" t="s">
        <v>7</v>
      </c>
      <c r="B8" t="s">
        <v>8</v>
      </c>
      <c r="C8" s="12">
        <v>12</v>
      </c>
      <c r="D8" s="12">
        <v>7</v>
      </c>
      <c r="E8" s="68">
        <v>0.91666669999999995</v>
      </c>
      <c r="F8" s="68">
        <v>0.91666669999999995</v>
      </c>
      <c r="G8" s="68">
        <v>0.91666669999999995</v>
      </c>
      <c r="H8" s="68">
        <v>0.91666669999999995</v>
      </c>
      <c r="I8" s="70">
        <f>C8-D8</f>
        <v>5</v>
      </c>
      <c r="J8" s="68">
        <v>0.58333333333333337</v>
      </c>
      <c r="K8" s="68">
        <v>0.41666666666666669</v>
      </c>
      <c r="L8" s="12" t="s">
        <v>286</v>
      </c>
      <c r="M8" s="12" t="s">
        <v>213</v>
      </c>
      <c r="N8" s="69">
        <v>2.3226299999999998</v>
      </c>
      <c r="O8" t="str">
        <f>A8</f>
        <v>7A6</v>
      </c>
      <c r="P8" s="31">
        <f>+IF(E8&lt;E$2,1,IF(E8&lt;E$3,2,IF(E8&lt;E$4,3,4)))</f>
        <v>2</v>
      </c>
      <c r="Q8" s="31">
        <f>+IF(F8&lt;F$2,1,IF(F8&lt;F$3,2,IF(F8&lt;F$4,3,4)))</f>
        <v>1</v>
      </c>
      <c r="R8" s="31">
        <f>+IF(G8&lt;G$2,1,IF(G8&lt;G$3,2,IF(G8&lt;G$4,3,4)))</f>
        <v>2</v>
      </c>
      <c r="S8" s="31">
        <f>+IF(H8&lt;H$2,1,IF(H8&lt;H$3,2,IF(H8&lt;H$4,3,4)))</f>
        <v>2</v>
      </c>
      <c r="T8" s="53">
        <f>IF('AAA Summary'!$L$35=4, RANK(H8,H$8:H$82,1)+COUNTIF($H$8:H8,H8)-1, IF('AAA Summary'!$L$35=3, RANK(G8,G$8:G$82,1)+COUNTIF($G$8:G8,G8)-1, IF('AAA Summary'!$L$35=2, RANK(F8,F$8:F$82,1)+COUNTIF($F$8:F8,F8)-1, IF('AAA Summary'!$L$35=1, RANK(E8,E$8:E$82,1)+COUNTIF($E$8:E8,E8)-1))))</f>
        <v>23</v>
      </c>
      <c r="U8" s="40">
        <f>IF('AAA Summary'!$L$35=4, H8, IF('AAA Summary'!$L$35=3, G8, IF('AAA Summary'!$L$35=2, F8, IF('AAA Summary'!$L$35=1, E8))))</f>
        <v>0.91666669999999995</v>
      </c>
      <c r="V8">
        <f t="shared" ref="V8:V40" si="1">RANK(J8,$J$8:$J$78)</f>
        <v>35</v>
      </c>
    </row>
    <row r="9" spans="1:22" x14ac:dyDescent="0.25">
      <c r="A9" t="s">
        <v>117</v>
      </c>
      <c r="B9" t="s">
        <v>416</v>
      </c>
      <c r="C9" s="12">
        <v>15</v>
      </c>
      <c r="D9" s="12">
        <v>9</v>
      </c>
      <c r="E9" s="68">
        <v>0.86666670000000001</v>
      </c>
      <c r="F9" s="68">
        <v>1</v>
      </c>
      <c r="G9" s="68">
        <v>0.83333330000000005</v>
      </c>
      <c r="H9" s="68">
        <v>0.73333329999999997</v>
      </c>
      <c r="I9" s="70">
        <f t="shared" ref="I9:I72" si="2">C9-D9</f>
        <v>6</v>
      </c>
      <c r="J9" s="68">
        <v>0.6</v>
      </c>
      <c r="K9" s="68">
        <v>0.4</v>
      </c>
      <c r="L9" s="12" t="s">
        <v>230</v>
      </c>
      <c r="M9" s="12" t="s">
        <v>306</v>
      </c>
      <c r="N9" s="69">
        <v>1.43868</v>
      </c>
      <c r="O9" t="str">
        <f t="shared" ref="O9:O72" si="3">A9</f>
        <v>RTK</v>
      </c>
      <c r="P9" s="31">
        <f t="shared" ref="P9:P72" si="4">+IF(E9&lt;E$2,1,IF(E9&lt;E$3,2,IF(E9&lt;E$4,3,4)))</f>
        <v>1</v>
      </c>
      <c r="Q9" s="31">
        <f t="shared" ref="Q9:Q72" si="5">+IF(F9&lt;F$2,1,IF(F9&lt;F$3,2,IF(F9&lt;F$4,3,4)))</f>
        <v>4</v>
      </c>
      <c r="R9" s="31">
        <f t="shared" ref="R9:R72" si="6">+IF(G9&lt;G$2,1,IF(G9&lt;G$3,2,IF(G9&lt;G$4,3,4)))</f>
        <v>1</v>
      </c>
      <c r="S9" s="31">
        <f t="shared" ref="S9:S72" si="7">+IF(H9&lt;H$2,1,IF(H9&lt;H$3,2,IF(H9&lt;H$4,3,4)))</f>
        <v>1</v>
      </c>
      <c r="T9" s="53">
        <f>IF('AAA Summary'!$L$35=4, RANK(H9,H$8:H$82,1)+COUNTIF($H$8:H9,H9)-1, IF('AAA Summary'!$L$35=3, RANK(G9,G$8:G$82,1)+COUNTIF($G$8:G9,G9)-1, IF('AAA Summary'!$L$35=2, RANK(F9,F$8:F$82,1)+COUNTIF($F$8:F9,F9)-1, IF('AAA Summary'!$L$35=1, RANK(E9,E$8:E$82,1)+COUNTIF($E$8:E9,E9)-1))))</f>
        <v>18</v>
      </c>
      <c r="U9" s="40">
        <f>IF('AAA Summary'!$L$35=4, H9, IF('AAA Summary'!$L$35=3, G9, IF('AAA Summary'!$L$35=2, F9, IF('AAA Summary'!$L$35=1, E9))))</f>
        <v>0.86666670000000001</v>
      </c>
      <c r="V9">
        <f t="shared" si="1"/>
        <v>32</v>
      </c>
    </row>
    <row r="10" spans="1:22" x14ac:dyDescent="0.25">
      <c r="A10" t="s">
        <v>45</v>
      </c>
      <c r="B10" t="s">
        <v>417</v>
      </c>
      <c r="C10" s="12">
        <v>17</v>
      </c>
      <c r="D10" s="12">
        <v>16</v>
      </c>
      <c r="E10" s="68">
        <v>0.94117649999999997</v>
      </c>
      <c r="F10" s="68">
        <v>1</v>
      </c>
      <c r="G10" s="68">
        <v>0.9375</v>
      </c>
      <c r="H10" s="68">
        <v>0.94117649999999997</v>
      </c>
      <c r="I10" s="70">
        <f t="shared" si="2"/>
        <v>1</v>
      </c>
      <c r="J10" s="68">
        <v>0.94117647058823528</v>
      </c>
      <c r="K10" s="68">
        <v>5.8823529411764705E-2</v>
      </c>
      <c r="L10" s="12" t="s">
        <v>284</v>
      </c>
      <c r="M10" s="12" t="s">
        <v>688</v>
      </c>
      <c r="N10" s="69">
        <v>1.44017</v>
      </c>
      <c r="O10" t="str">
        <f t="shared" si="3"/>
        <v>RF4</v>
      </c>
      <c r="P10" s="31">
        <f t="shared" si="4"/>
        <v>2</v>
      </c>
      <c r="Q10" s="31">
        <f t="shared" si="5"/>
        <v>4</v>
      </c>
      <c r="R10" s="31">
        <f t="shared" si="6"/>
        <v>2</v>
      </c>
      <c r="S10" s="31">
        <f t="shared" si="7"/>
        <v>3</v>
      </c>
      <c r="T10" s="53">
        <f>IF('AAA Summary'!$L$35=4, RANK(H10,H$8:H$82,1)+COUNTIF($H$8:H10,H10)-1, IF('AAA Summary'!$L$35=3, RANK(G10,G$8:G$82,1)+COUNTIF($G$8:G10,G10)-1, IF('AAA Summary'!$L$35=2, RANK(F10,F$8:F$82,1)+COUNTIF($F$8:F10,F10)-1, IF('AAA Summary'!$L$35=1, RANK(E10,E$8:E$82,1)+COUNTIF($E$8:E10,E10)-1))))</f>
        <v>29</v>
      </c>
      <c r="U10" s="40">
        <f>IF('AAA Summary'!$L$35=4, H10, IF('AAA Summary'!$L$35=3, G10, IF('AAA Summary'!$L$35=2, F10, IF('AAA Summary'!$L$35=1, E10))))</f>
        <v>0.94117649999999997</v>
      </c>
      <c r="V10">
        <f t="shared" si="1"/>
        <v>4</v>
      </c>
    </row>
    <row r="11" spans="1:22" x14ac:dyDescent="0.25">
      <c r="A11" t="s">
        <v>11</v>
      </c>
      <c r="B11" t="s">
        <v>12</v>
      </c>
      <c r="C11" s="12">
        <v>19</v>
      </c>
      <c r="D11" s="12">
        <v>11</v>
      </c>
      <c r="E11" s="68">
        <v>1</v>
      </c>
      <c r="F11" s="68">
        <v>1</v>
      </c>
      <c r="G11" s="68">
        <v>1</v>
      </c>
      <c r="H11" s="68">
        <v>0.9473684</v>
      </c>
      <c r="I11" s="70">
        <f t="shared" si="2"/>
        <v>8</v>
      </c>
      <c r="J11" s="68">
        <v>0.57894736842105265</v>
      </c>
      <c r="K11" s="68">
        <v>0.42105263157894735</v>
      </c>
      <c r="L11" s="12" t="s">
        <v>284</v>
      </c>
      <c r="M11" s="12" t="s">
        <v>679</v>
      </c>
      <c r="N11" s="69">
        <v>3.4294900000000004</v>
      </c>
      <c r="O11" t="str">
        <f t="shared" si="3"/>
        <v>R1H</v>
      </c>
      <c r="P11" s="31">
        <f t="shared" si="4"/>
        <v>4</v>
      </c>
      <c r="Q11" s="31">
        <f t="shared" si="5"/>
        <v>4</v>
      </c>
      <c r="R11" s="31">
        <f t="shared" si="6"/>
        <v>4</v>
      </c>
      <c r="S11" s="31">
        <f t="shared" si="7"/>
        <v>3</v>
      </c>
      <c r="T11" s="53">
        <f>IF('AAA Summary'!$L$35=4, RANK(H11,H$8:H$82,1)+COUNTIF($H$8:H11,H11)-1, IF('AAA Summary'!$L$35=3, RANK(G11,G$8:G$82,1)+COUNTIF($G$8:G11,G11)-1, IF('AAA Summary'!$L$35=2, RANK(F11,F$8:F$82,1)+COUNTIF($F$8:F11,F11)-1, IF('AAA Summary'!$L$35=1, RANK(E11,E$8:E$82,1)+COUNTIF($E$8:E11,E11)-1))))</f>
        <v>49</v>
      </c>
      <c r="U11" s="40">
        <f>IF('AAA Summary'!$L$35=4, H11, IF('AAA Summary'!$L$35=3, G11, IF('AAA Summary'!$L$35=2, F11, IF('AAA Summary'!$L$35=1, E11))))</f>
        <v>1</v>
      </c>
      <c r="V11">
        <f t="shared" si="1"/>
        <v>38</v>
      </c>
    </row>
    <row r="12" spans="1:22" x14ac:dyDescent="0.25">
      <c r="A12" t="s">
        <v>31</v>
      </c>
      <c r="B12" t="s">
        <v>32</v>
      </c>
      <c r="C12" s="12">
        <v>38</v>
      </c>
      <c r="D12" s="12">
        <v>35</v>
      </c>
      <c r="E12" s="68">
        <v>1</v>
      </c>
      <c r="F12" s="68">
        <v>0.9473684</v>
      </c>
      <c r="G12" s="68">
        <v>1</v>
      </c>
      <c r="H12" s="68">
        <v>0.9736842</v>
      </c>
      <c r="I12" s="70">
        <f t="shared" si="2"/>
        <v>3</v>
      </c>
      <c r="J12" s="68">
        <v>0.92105263157894735</v>
      </c>
      <c r="K12" s="68">
        <v>7.8947368421052627E-2</v>
      </c>
      <c r="L12" s="12" t="s">
        <v>286</v>
      </c>
      <c r="M12" s="12" t="s">
        <v>684</v>
      </c>
      <c r="N12" s="69">
        <v>2.5105200000000001</v>
      </c>
      <c r="O12" t="str">
        <f t="shared" si="3"/>
        <v>RC1</v>
      </c>
      <c r="P12" s="31">
        <f t="shared" si="4"/>
        <v>4</v>
      </c>
      <c r="Q12" s="31">
        <f t="shared" si="5"/>
        <v>1</v>
      </c>
      <c r="R12" s="31">
        <f t="shared" si="6"/>
        <v>4</v>
      </c>
      <c r="S12" s="31">
        <f t="shared" si="7"/>
        <v>4</v>
      </c>
      <c r="T12" s="53">
        <f>IF('AAA Summary'!$L$35=4, RANK(H12,H$8:H$82,1)+COUNTIF($H$8:H12,H12)-1, IF('AAA Summary'!$L$35=3, RANK(G12,G$8:G$82,1)+COUNTIF($G$8:G12,G12)-1, IF('AAA Summary'!$L$35=2, RANK(F12,F$8:F$82,1)+COUNTIF($F$8:F12,F12)-1, IF('AAA Summary'!$L$35=1, RANK(E12,E$8:E$82,1)+COUNTIF($E$8:E12,E12)-1))))</f>
        <v>50</v>
      </c>
      <c r="U12" s="40">
        <f>IF('AAA Summary'!$L$35=4, H12, IF('AAA Summary'!$L$35=3, G12, IF('AAA Summary'!$L$35=2, F12, IF('AAA Summary'!$L$35=1, E12))))</f>
        <v>1</v>
      </c>
      <c r="V12">
        <f t="shared" si="1"/>
        <v>5</v>
      </c>
    </row>
    <row r="13" spans="1:22" x14ac:dyDescent="0.25">
      <c r="A13" t="s">
        <v>173</v>
      </c>
      <c r="B13" t="s">
        <v>174</v>
      </c>
      <c r="C13" s="12">
        <v>75</v>
      </c>
      <c r="D13" s="12">
        <v>34</v>
      </c>
      <c r="E13" s="68">
        <v>0.97333340000000002</v>
      </c>
      <c r="F13" s="68">
        <v>0.98666670000000001</v>
      </c>
      <c r="G13" s="68">
        <v>0.97142859999999998</v>
      </c>
      <c r="H13" s="68">
        <v>0.93333330000000003</v>
      </c>
      <c r="I13" s="70">
        <f t="shared" si="2"/>
        <v>41</v>
      </c>
      <c r="J13" s="68">
        <v>0.45333333333333331</v>
      </c>
      <c r="K13" s="68">
        <v>0.54666666666666663</v>
      </c>
      <c r="L13" s="12" t="s">
        <v>228</v>
      </c>
      <c r="M13" s="12" t="s">
        <v>395</v>
      </c>
      <c r="N13" s="69">
        <v>0.35513</v>
      </c>
      <c r="O13" t="str">
        <f t="shared" si="3"/>
        <v>ZT001</v>
      </c>
      <c r="P13" s="31">
        <f t="shared" si="4"/>
        <v>3</v>
      </c>
      <c r="Q13" s="31">
        <f t="shared" si="5"/>
        <v>2</v>
      </c>
      <c r="R13" s="31">
        <f t="shared" si="6"/>
        <v>3</v>
      </c>
      <c r="S13" s="31">
        <f t="shared" si="7"/>
        <v>3</v>
      </c>
      <c r="T13" s="53">
        <f>IF('AAA Summary'!$L$35=4, RANK(H13,H$8:H$82,1)+COUNTIF($H$8:H13,H13)-1, IF('AAA Summary'!$L$35=3, RANK(G13,G$8:G$82,1)+COUNTIF($G$8:G13,G13)-1, IF('AAA Summary'!$L$35=2, RANK(F13,F$8:F$82,1)+COUNTIF($F$8:F13,F13)-1, IF('AAA Summary'!$L$35=1, RANK(E13,E$8:E$82,1)+COUNTIF($E$8:E13,E13)-1))))</f>
        <v>41</v>
      </c>
      <c r="U13" s="40">
        <f>IF('AAA Summary'!$L$35=4, H13, IF('AAA Summary'!$L$35=3, G13, IF('AAA Summary'!$L$35=2, F13, IF('AAA Summary'!$L$35=1, E13))))</f>
        <v>0.97333340000000002</v>
      </c>
      <c r="V13">
        <f t="shared" si="1"/>
        <v>55</v>
      </c>
    </row>
    <row r="14" spans="1:22" x14ac:dyDescent="0.25">
      <c r="A14" t="s">
        <v>0</v>
      </c>
      <c r="B14" t="s">
        <v>1</v>
      </c>
      <c r="C14" s="12">
        <v>45</v>
      </c>
      <c r="D14" s="12">
        <v>24</v>
      </c>
      <c r="E14" s="68">
        <v>1</v>
      </c>
      <c r="F14" s="68">
        <v>1</v>
      </c>
      <c r="G14" s="68">
        <v>1</v>
      </c>
      <c r="H14" s="68">
        <v>0.84444450000000004</v>
      </c>
      <c r="I14" s="70">
        <f t="shared" si="2"/>
        <v>21</v>
      </c>
      <c r="J14" s="68">
        <v>0.53333333333333333</v>
      </c>
      <c r="K14" s="68">
        <v>0.46666666666666667</v>
      </c>
      <c r="L14" s="12" t="s">
        <v>221</v>
      </c>
      <c r="M14" s="12" t="s">
        <v>475</v>
      </c>
      <c r="N14" s="69">
        <v>3.9099500000000003</v>
      </c>
      <c r="O14" t="str">
        <f t="shared" si="3"/>
        <v>7A1</v>
      </c>
      <c r="P14" s="31">
        <f t="shared" si="4"/>
        <v>4</v>
      </c>
      <c r="Q14" s="31">
        <f t="shared" si="5"/>
        <v>4</v>
      </c>
      <c r="R14" s="31">
        <f t="shared" si="6"/>
        <v>4</v>
      </c>
      <c r="S14" s="31">
        <f t="shared" si="7"/>
        <v>2</v>
      </c>
      <c r="T14" s="53">
        <f>IF('AAA Summary'!$L$35=4, RANK(H14,H$8:H$82,1)+COUNTIF($H$8:H14,H14)-1, IF('AAA Summary'!$L$35=3, RANK(G14,G$8:G$82,1)+COUNTIF($G$8:G14,G14)-1, IF('AAA Summary'!$L$35=2, RANK(F14,F$8:F$82,1)+COUNTIF($F$8:F14,F14)-1, IF('AAA Summary'!$L$35=1, RANK(E14,E$8:E$82,1)+COUNTIF($E$8:E14,E14)-1))))</f>
        <v>51</v>
      </c>
      <c r="U14" s="40">
        <f>IF('AAA Summary'!$L$35=4, H14, IF('AAA Summary'!$L$35=3, G14, IF('AAA Summary'!$L$35=2, F14, IF('AAA Summary'!$L$35=1, E14))))</f>
        <v>1</v>
      </c>
      <c r="V14">
        <f t="shared" si="1"/>
        <v>46</v>
      </c>
    </row>
    <row r="15" spans="1:22" x14ac:dyDescent="0.25">
      <c r="A15" t="s">
        <v>17</v>
      </c>
      <c r="B15" t="s">
        <v>18</v>
      </c>
      <c r="C15" s="12" t="s">
        <v>345</v>
      </c>
      <c r="D15" s="12">
        <v>0</v>
      </c>
      <c r="E15" s="68">
        <v>1</v>
      </c>
      <c r="F15" s="68">
        <v>0.75</v>
      </c>
      <c r="G15" s="68">
        <v>1</v>
      </c>
      <c r="H15" s="68">
        <v>1</v>
      </c>
      <c r="I15" s="70" t="e">
        <f t="shared" si="2"/>
        <v>#VALUE!</v>
      </c>
      <c r="J15" s="68">
        <v>0</v>
      </c>
      <c r="K15" s="68">
        <v>1</v>
      </c>
      <c r="L15" s="12" t="s">
        <v>335</v>
      </c>
      <c r="M15" s="12" t="s">
        <v>346</v>
      </c>
      <c r="N15" s="69">
        <v>0</v>
      </c>
      <c r="O15" t="str">
        <f t="shared" si="3"/>
        <v>RAE</v>
      </c>
      <c r="P15" s="31">
        <f t="shared" si="4"/>
        <v>4</v>
      </c>
      <c r="Q15" s="31">
        <f t="shared" si="5"/>
        <v>1</v>
      </c>
      <c r="R15" s="31">
        <f t="shared" si="6"/>
        <v>4</v>
      </c>
      <c r="S15" s="31">
        <f t="shared" si="7"/>
        <v>4</v>
      </c>
      <c r="T15" s="53">
        <f>IF('AAA Summary'!$L$35=4, RANK(H15,H$8:H$82,1)+COUNTIF($H$8:H15,H15)-1, IF('AAA Summary'!$L$35=3, RANK(G15,G$8:G$82,1)+COUNTIF($G$8:G15,G15)-1, IF('AAA Summary'!$L$35=2, RANK(F15,F$8:F$82,1)+COUNTIF($F$8:F15,F15)-1, IF('AAA Summary'!$L$35=1, RANK(E15,E$8:E$82,1)+COUNTIF($E$8:E15,E15)-1))))</f>
        <v>52</v>
      </c>
      <c r="U15" s="40">
        <f>IF('AAA Summary'!$L$35=4, H15, IF('AAA Summary'!$L$35=3, G15, IF('AAA Summary'!$L$35=2, F15, IF('AAA Summary'!$L$35=1, E15))))</f>
        <v>1</v>
      </c>
      <c r="V15">
        <f t="shared" si="1"/>
        <v>68</v>
      </c>
    </row>
    <row r="16" spans="1:22" x14ac:dyDescent="0.25">
      <c r="A16" t="s">
        <v>51</v>
      </c>
      <c r="B16" t="s">
        <v>52</v>
      </c>
      <c r="C16" s="12">
        <v>59</v>
      </c>
      <c r="D16" s="12">
        <v>28</v>
      </c>
      <c r="E16" s="68">
        <v>0.79661020000000005</v>
      </c>
      <c r="F16" s="68">
        <v>0.9830508</v>
      </c>
      <c r="G16" s="68">
        <v>0.83673470000000005</v>
      </c>
      <c r="H16" s="68">
        <v>0.86440680000000003</v>
      </c>
      <c r="I16" s="70">
        <f t="shared" si="2"/>
        <v>31</v>
      </c>
      <c r="J16" s="68">
        <v>0.47457627118644069</v>
      </c>
      <c r="K16" s="68">
        <v>0.52542372881355937</v>
      </c>
      <c r="L16" s="12" t="s">
        <v>284</v>
      </c>
      <c r="M16" s="12" t="s">
        <v>307</v>
      </c>
      <c r="N16" s="69">
        <v>0.38488</v>
      </c>
      <c r="O16" t="str">
        <f t="shared" si="3"/>
        <v>RGT</v>
      </c>
      <c r="P16" s="31">
        <f t="shared" si="4"/>
        <v>1</v>
      </c>
      <c r="Q16" s="31">
        <f t="shared" si="5"/>
        <v>2</v>
      </c>
      <c r="R16" s="31">
        <f t="shared" si="6"/>
        <v>1</v>
      </c>
      <c r="S16" s="31">
        <f t="shared" si="7"/>
        <v>2</v>
      </c>
      <c r="T16" s="53">
        <f>IF('AAA Summary'!$L$35=4, RANK(H16,H$8:H$82,1)+COUNTIF($H$8:H16,H16)-1, IF('AAA Summary'!$L$35=3, RANK(G16,G$8:G$82,1)+COUNTIF($G$8:G16,G16)-1, IF('AAA Summary'!$L$35=2, RANK(F16,F$8:F$82,1)+COUNTIF($F$8:F16,F16)-1, IF('AAA Summary'!$L$35=1, RANK(E16,E$8:E$82,1)+COUNTIF($E$8:E16,E16)-1))))</f>
        <v>10</v>
      </c>
      <c r="U16" s="40">
        <f>IF('AAA Summary'!$L$35=4, H16, IF('AAA Summary'!$L$35=3, G16, IF('AAA Summary'!$L$35=2, F16, IF('AAA Summary'!$L$35=1, E16))))</f>
        <v>0.79661020000000005</v>
      </c>
      <c r="V16">
        <f t="shared" si="1"/>
        <v>52</v>
      </c>
    </row>
    <row r="17" spans="1:22" x14ac:dyDescent="0.25">
      <c r="A17" t="s">
        <v>3</v>
      </c>
      <c r="B17" t="s">
        <v>4</v>
      </c>
      <c r="C17" s="12">
        <v>15</v>
      </c>
      <c r="D17" s="12">
        <v>12</v>
      </c>
      <c r="E17" s="68">
        <v>0.93333330000000003</v>
      </c>
      <c r="F17" s="68">
        <v>0.93333330000000003</v>
      </c>
      <c r="G17" s="68">
        <v>0.91666669999999995</v>
      </c>
      <c r="H17" s="68">
        <v>0.93333330000000003</v>
      </c>
      <c r="I17" s="70">
        <f t="shared" si="2"/>
        <v>3</v>
      </c>
      <c r="J17" s="68">
        <v>0.8</v>
      </c>
      <c r="K17" s="68">
        <v>0.2</v>
      </c>
      <c r="L17" s="12" t="s">
        <v>207</v>
      </c>
      <c r="M17" s="12" t="s">
        <v>568</v>
      </c>
      <c r="N17" s="69">
        <v>4.2947699999999998</v>
      </c>
      <c r="O17" t="str">
        <f t="shared" si="3"/>
        <v>7A4</v>
      </c>
      <c r="P17" s="31">
        <f t="shared" si="4"/>
        <v>2</v>
      </c>
      <c r="Q17" s="31">
        <f t="shared" si="5"/>
        <v>1</v>
      </c>
      <c r="R17" s="31">
        <f t="shared" si="6"/>
        <v>2</v>
      </c>
      <c r="S17" s="31">
        <f t="shared" si="7"/>
        <v>3</v>
      </c>
      <c r="T17" s="53">
        <f>IF('AAA Summary'!$L$35=4, RANK(H17,H$8:H$82,1)+COUNTIF($H$8:H17,H17)-1, IF('AAA Summary'!$L$35=3, RANK(G17,G$8:G$82,1)+COUNTIF($G$8:G17,G17)-1, IF('AAA Summary'!$L$35=2, RANK(F17,F$8:F$82,1)+COUNTIF($F$8:F17,F17)-1, IF('AAA Summary'!$L$35=1, RANK(E17,E$8:E$82,1)+COUNTIF($E$8:E17,E17)-1))))</f>
        <v>26</v>
      </c>
      <c r="U17" s="40">
        <f>IF('AAA Summary'!$L$35=4, H17, IF('AAA Summary'!$L$35=3, G17, IF('AAA Summary'!$L$35=2, F17, IF('AAA Summary'!$L$35=1, E17))))</f>
        <v>0.93333330000000003</v>
      </c>
      <c r="V17">
        <f t="shared" si="1"/>
        <v>9</v>
      </c>
    </row>
    <row r="18" spans="1:22" x14ac:dyDescent="0.25">
      <c r="A18" t="s">
        <v>69</v>
      </c>
      <c r="B18" t="s">
        <v>70</v>
      </c>
      <c r="C18" s="12">
        <v>49</v>
      </c>
      <c r="D18" s="12">
        <v>38</v>
      </c>
      <c r="E18" s="68">
        <v>0.89795919999999996</v>
      </c>
      <c r="F18" s="68">
        <v>0.97959180000000001</v>
      </c>
      <c r="G18" s="68">
        <v>0.91489359999999997</v>
      </c>
      <c r="H18" s="68">
        <v>0.77551020000000004</v>
      </c>
      <c r="I18" s="70">
        <f t="shared" si="2"/>
        <v>11</v>
      </c>
      <c r="J18" s="68">
        <v>0.77551020408163263</v>
      </c>
      <c r="K18" s="68">
        <v>0.22448979591836735</v>
      </c>
      <c r="L18" s="12" t="s">
        <v>286</v>
      </c>
      <c r="M18" s="12" t="s">
        <v>341</v>
      </c>
      <c r="N18" s="69">
        <v>1.9244399999999999</v>
      </c>
      <c r="O18" t="str">
        <f t="shared" si="3"/>
        <v>RJR</v>
      </c>
      <c r="P18" s="31">
        <f t="shared" si="4"/>
        <v>2</v>
      </c>
      <c r="Q18" s="31">
        <f t="shared" si="5"/>
        <v>2</v>
      </c>
      <c r="R18" s="31">
        <f t="shared" si="6"/>
        <v>2</v>
      </c>
      <c r="S18" s="31">
        <f t="shared" si="7"/>
        <v>1</v>
      </c>
      <c r="T18" s="53">
        <f>IF('AAA Summary'!$L$35=4, RANK(H18,H$8:H$82,1)+COUNTIF($H$8:H18,H18)-1, IF('AAA Summary'!$L$35=3, RANK(G18,G$8:G$82,1)+COUNTIF($G$8:G18,G18)-1, IF('AAA Summary'!$L$35=2, RANK(F18,F$8:F$82,1)+COUNTIF($F$8:F18,F18)-1, IF('AAA Summary'!$L$35=1, RANK(E18,E$8:E$82,1)+COUNTIF($E$8:E18,E18)-1))))</f>
        <v>22</v>
      </c>
      <c r="U18" s="40">
        <f>IF('AAA Summary'!$L$35=4, H18, IF('AAA Summary'!$L$35=3, G18, IF('AAA Summary'!$L$35=2, F18, IF('AAA Summary'!$L$35=1, E18))))</f>
        <v>0.89795919999999996</v>
      </c>
      <c r="V18">
        <f t="shared" si="1"/>
        <v>16</v>
      </c>
    </row>
    <row r="19" spans="1:22" x14ac:dyDescent="0.25">
      <c r="A19" t="s">
        <v>90</v>
      </c>
      <c r="B19" t="s">
        <v>419</v>
      </c>
      <c r="C19" s="12">
        <v>20</v>
      </c>
      <c r="D19" s="12">
        <v>10</v>
      </c>
      <c r="E19" s="68">
        <v>0.65</v>
      </c>
      <c r="F19" s="68">
        <v>0.9</v>
      </c>
      <c r="G19" s="68">
        <v>0.68421050000000005</v>
      </c>
      <c r="H19" s="68">
        <v>0.65</v>
      </c>
      <c r="I19" s="70">
        <f t="shared" si="2"/>
        <v>10</v>
      </c>
      <c r="J19" s="68">
        <v>0.5</v>
      </c>
      <c r="K19" s="68">
        <v>0.5</v>
      </c>
      <c r="L19" s="12" t="s">
        <v>399</v>
      </c>
      <c r="M19" s="12" t="s">
        <v>496</v>
      </c>
      <c r="N19" s="69">
        <v>0</v>
      </c>
      <c r="O19" t="str">
        <f t="shared" si="3"/>
        <v>RP5</v>
      </c>
      <c r="P19" s="31">
        <f t="shared" si="4"/>
        <v>1</v>
      </c>
      <c r="Q19" s="31">
        <f t="shared" si="5"/>
        <v>1</v>
      </c>
      <c r="R19" s="31">
        <f t="shared" si="6"/>
        <v>1</v>
      </c>
      <c r="S19" s="31">
        <f t="shared" si="7"/>
        <v>1</v>
      </c>
      <c r="T19" s="53">
        <f>IF('AAA Summary'!$L$35=4, RANK(H19,H$8:H$82,1)+COUNTIF($H$8:H19,H19)-1, IF('AAA Summary'!$L$35=3, RANK(G19,G$8:G$82,1)+COUNTIF($G$8:G19,G19)-1, IF('AAA Summary'!$L$35=2, RANK(F19,F$8:F$82,1)+COUNTIF($F$8:F19,F19)-1, IF('AAA Summary'!$L$35=1, RANK(E19,E$8:E$82,1)+COUNTIF($E$8:E19,E19)-1))))</f>
        <v>4</v>
      </c>
      <c r="U19" s="40">
        <f>IF('AAA Summary'!$L$35=4, H19, IF('AAA Summary'!$L$35=3, G19, IF('AAA Summary'!$L$35=2, F19, IF('AAA Summary'!$L$35=1, E19))))</f>
        <v>0.65</v>
      </c>
      <c r="V19">
        <f t="shared" si="1"/>
        <v>48</v>
      </c>
    </row>
    <row r="20" spans="1:22" x14ac:dyDescent="0.25">
      <c r="A20" t="s">
        <v>135</v>
      </c>
      <c r="B20" t="s">
        <v>136</v>
      </c>
      <c r="C20" s="12">
        <v>15</v>
      </c>
      <c r="D20" s="12">
        <v>8</v>
      </c>
      <c r="E20" s="68">
        <v>0.8</v>
      </c>
      <c r="F20" s="68">
        <v>1</v>
      </c>
      <c r="G20" s="68">
        <v>0.8</v>
      </c>
      <c r="H20" s="68">
        <v>0.73333329999999997</v>
      </c>
      <c r="I20" s="70">
        <f t="shared" si="2"/>
        <v>7</v>
      </c>
      <c r="J20" s="68">
        <v>0.53333333333333333</v>
      </c>
      <c r="K20" s="68">
        <v>0.46666666666666667</v>
      </c>
      <c r="L20" s="12" t="s">
        <v>304</v>
      </c>
      <c r="M20" s="12" t="s">
        <v>699</v>
      </c>
      <c r="N20" s="69">
        <v>0</v>
      </c>
      <c r="O20" t="str">
        <f t="shared" si="3"/>
        <v>RWH</v>
      </c>
      <c r="P20" s="31">
        <f t="shared" si="4"/>
        <v>1</v>
      </c>
      <c r="Q20" s="31">
        <f t="shared" si="5"/>
        <v>4</v>
      </c>
      <c r="R20" s="31">
        <f t="shared" si="6"/>
        <v>1</v>
      </c>
      <c r="S20" s="31">
        <f t="shared" si="7"/>
        <v>1</v>
      </c>
      <c r="T20" s="53">
        <f>IF('AAA Summary'!$L$35=4, RANK(H20,H$8:H$82,1)+COUNTIF($H$8:H20,H20)-1, IF('AAA Summary'!$L$35=3, RANK(G20,G$8:G$82,1)+COUNTIF($G$8:G20,G20)-1, IF('AAA Summary'!$L$35=2, RANK(F20,F$8:F$82,1)+COUNTIF($F$8:F20,F20)-1, IF('AAA Summary'!$L$35=1, RANK(E20,E$8:E$82,1)+COUNTIF($E$8:E20,E20)-1))))</f>
        <v>11</v>
      </c>
      <c r="U20" s="40">
        <f>IF('AAA Summary'!$L$35=4, H20, IF('AAA Summary'!$L$35=3, G20, IF('AAA Summary'!$L$35=2, F20, IF('AAA Summary'!$L$35=1, E20))))</f>
        <v>0.8</v>
      </c>
      <c r="V20">
        <f t="shared" si="1"/>
        <v>46</v>
      </c>
    </row>
    <row r="21" spans="1:22" x14ac:dyDescent="0.25">
      <c r="A21" t="s">
        <v>123</v>
      </c>
      <c r="B21" t="s">
        <v>124</v>
      </c>
      <c r="C21" s="12">
        <v>27</v>
      </c>
      <c r="D21" s="12">
        <v>21</v>
      </c>
      <c r="E21" s="68">
        <v>0.96296300000000001</v>
      </c>
      <c r="F21" s="68">
        <v>0.88888889999999998</v>
      </c>
      <c r="G21" s="68">
        <v>0.96</v>
      </c>
      <c r="H21" s="68">
        <v>0.88888889999999998</v>
      </c>
      <c r="I21" s="70">
        <f t="shared" si="2"/>
        <v>6</v>
      </c>
      <c r="J21" s="68">
        <v>0.77777777777777779</v>
      </c>
      <c r="K21" s="68">
        <v>0.22222222222222221</v>
      </c>
      <c r="L21" s="12" t="s">
        <v>263</v>
      </c>
      <c r="M21" s="12" t="s">
        <v>697</v>
      </c>
      <c r="N21" s="69">
        <v>0.72311000000000003</v>
      </c>
      <c r="O21" t="str">
        <f t="shared" si="3"/>
        <v>RVV</v>
      </c>
      <c r="P21" s="31">
        <f t="shared" si="4"/>
        <v>3</v>
      </c>
      <c r="Q21" s="31">
        <f t="shared" si="5"/>
        <v>1</v>
      </c>
      <c r="R21" s="31">
        <f t="shared" si="6"/>
        <v>2</v>
      </c>
      <c r="S21" s="31">
        <f t="shared" si="7"/>
        <v>2</v>
      </c>
      <c r="T21" s="53">
        <f>IF('AAA Summary'!$L$35=4, RANK(H21,H$8:H$82,1)+COUNTIF($H$8:H21,H21)-1, IF('AAA Summary'!$L$35=3, RANK(G21,G$8:G$82,1)+COUNTIF($G$8:G21,G21)-1, IF('AAA Summary'!$L$35=2, RANK(F21,F$8:F$82,1)+COUNTIF($F$8:F21,F21)-1, IF('AAA Summary'!$L$35=1, RANK(E21,E$8:E$82,1)+COUNTIF($E$8:E21,E21)-1))))</f>
        <v>38</v>
      </c>
      <c r="U21" s="40">
        <f>IF('AAA Summary'!$L$35=4, H21, IF('AAA Summary'!$L$35=3, G21, IF('AAA Summary'!$L$35=2, F21, IF('AAA Summary'!$L$35=1, E21))))</f>
        <v>0.96296300000000001</v>
      </c>
      <c r="V21">
        <f t="shared" si="1"/>
        <v>14</v>
      </c>
    </row>
    <row r="22" spans="1:22" x14ac:dyDescent="0.25">
      <c r="A22" t="s">
        <v>149</v>
      </c>
      <c r="B22" t="s">
        <v>150</v>
      </c>
      <c r="C22" s="12">
        <v>24</v>
      </c>
      <c r="D22" s="12">
        <v>15</v>
      </c>
      <c r="E22" s="68">
        <v>1</v>
      </c>
      <c r="F22" s="68">
        <v>1</v>
      </c>
      <c r="G22" s="68">
        <v>1</v>
      </c>
      <c r="H22" s="68">
        <v>0.95833330000000005</v>
      </c>
      <c r="I22" s="70">
        <f t="shared" si="2"/>
        <v>9</v>
      </c>
      <c r="J22" s="68">
        <v>0.625</v>
      </c>
      <c r="K22" s="68">
        <v>0.375</v>
      </c>
      <c r="L22" s="12" t="s">
        <v>304</v>
      </c>
      <c r="M22" s="12" t="s">
        <v>312</v>
      </c>
      <c r="N22" s="69">
        <v>0</v>
      </c>
      <c r="O22" t="str">
        <f t="shared" si="3"/>
        <v>RXR</v>
      </c>
      <c r="P22" s="31">
        <f t="shared" si="4"/>
        <v>4</v>
      </c>
      <c r="Q22" s="31">
        <f t="shared" si="5"/>
        <v>4</v>
      </c>
      <c r="R22" s="31">
        <f t="shared" si="6"/>
        <v>4</v>
      </c>
      <c r="S22" s="31">
        <f t="shared" si="7"/>
        <v>3</v>
      </c>
      <c r="T22" s="53">
        <f>IF('AAA Summary'!$L$35=4, RANK(H22,H$8:H$82,1)+COUNTIF($H$8:H22,H22)-1, IF('AAA Summary'!$L$35=3, RANK(G22,G$8:G$82,1)+COUNTIF($G$8:G22,G22)-1, IF('AAA Summary'!$L$35=2, RANK(F22,F$8:F$82,1)+COUNTIF($F$8:F22,F22)-1, IF('AAA Summary'!$L$35=1, RANK(E22,E$8:E$82,1)+COUNTIF($E$8:E22,E22)-1))))</f>
        <v>53</v>
      </c>
      <c r="U22" s="40">
        <f>IF('AAA Summary'!$L$35=4, H22, IF('AAA Summary'!$L$35=3, G22, IF('AAA Summary'!$L$35=2, F22, IF('AAA Summary'!$L$35=1, E22))))</f>
        <v>1</v>
      </c>
      <c r="V22">
        <f t="shared" si="1"/>
        <v>29</v>
      </c>
    </row>
    <row r="23" spans="1:22" x14ac:dyDescent="0.25">
      <c r="A23" t="s">
        <v>37</v>
      </c>
      <c r="B23" t="s">
        <v>198</v>
      </c>
      <c r="C23" s="12">
        <v>55</v>
      </c>
      <c r="D23" s="12">
        <v>44</v>
      </c>
      <c r="E23" s="68">
        <v>0.94545449999999998</v>
      </c>
      <c r="F23" s="68">
        <v>0.98181819999999997</v>
      </c>
      <c r="G23" s="68">
        <v>0.94339620000000002</v>
      </c>
      <c r="H23" s="68">
        <v>0.94545449999999998</v>
      </c>
      <c r="I23" s="70">
        <f t="shared" si="2"/>
        <v>11</v>
      </c>
      <c r="J23" s="68">
        <v>0.8</v>
      </c>
      <c r="K23" s="68">
        <v>0.2</v>
      </c>
      <c r="L23" s="12" t="s">
        <v>291</v>
      </c>
      <c r="M23" s="12" t="s">
        <v>516</v>
      </c>
      <c r="N23" s="69">
        <v>2.2672500000000002</v>
      </c>
      <c r="O23" t="str">
        <f t="shared" si="3"/>
        <v>RDE</v>
      </c>
      <c r="P23" s="31">
        <f t="shared" si="4"/>
        <v>2</v>
      </c>
      <c r="Q23" s="31">
        <f t="shared" si="5"/>
        <v>2</v>
      </c>
      <c r="R23" s="31">
        <f t="shared" si="6"/>
        <v>2</v>
      </c>
      <c r="S23" s="31">
        <f t="shared" si="7"/>
        <v>3</v>
      </c>
      <c r="T23" s="53">
        <f>IF('AAA Summary'!$L$35=4, RANK(H23,H$8:H$82,1)+COUNTIF($H$8:H23,H23)-1, IF('AAA Summary'!$L$35=3, RANK(G23,G$8:G$82,1)+COUNTIF($G$8:G23,G23)-1, IF('AAA Summary'!$L$35=2, RANK(F23,F$8:F$82,1)+COUNTIF($F$8:F23,F23)-1, IF('AAA Summary'!$L$35=1, RANK(E23,E$8:E$82,1)+COUNTIF($E$8:E23,E23)-1))))</f>
        <v>31</v>
      </c>
      <c r="U23" s="40">
        <f>IF('AAA Summary'!$L$35=4, H23, IF('AAA Summary'!$L$35=3, G23, IF('AAA Summary'!$L$35=2, F23, IF('AAA Summary'!$L$35=1, E23))))</f>
        <v>0.94545449999999998</v>
      </c>
      <c r="V23">
        <f t="shared" si="1"/>
        <v>9</v>
      </c>
    </row>
    <row r="24" spans="1:22" x14ac:dyDescent="0.25">
      <c r="A24" t="s">
        <v>38</v>
      </c>
      <c r="B24" t="s">
        <v>39</v>
      </c>
      <c r="C24" s="12">
        <v>45</v>
      </c>
      <c r="D24" s="12">
        <v>36</v>
      </c>
      <c r="E24" s="68">
        <v>1</v>
      </c>
      <c r="F24" s="68">
        <v>1</v>
      </c>
      <c r="G24" s="68">
        <v>1</v>
      </c>
      <c r="H24" s="68">
        <v>1</v>
      </c>
      <c r="I24" s="70">
        <f t="shared" si="2"/>
        <v>9</v>
      </c>
      <c r="J24" s="68">
        <v>0.8</v>
      </c>
      <c r="K24" s="68">
        <v>0.2</v>
      </c>
      <c r="L24" s="12" t="s">
        <v>270</v>
      </c>
      <c r="M24" s="12" t="s">
        <v>453</v>
      </c>
      <c r="N24" s="69">
        <v>0.73134999999999994</v>
      </c>
      <c r="O24" t="str">
        <f t="shared" si="3"/>
        <v>RDU</v>
      </c>
      <c r="P24" s="31">
        <f t="shared" si="4"/>
        <v>4</v>
      </c>
      <c r="Q24" s="31">
        <f t="shared" si="5"/>
        <v>4</v>
      </c>
      <c r="R24" s="31">
        <f t="shared" si="6"/>
        <v>4</v>
      </c>
      <c r="S24" s="31">
        <f t="shared" si="7"/>
        <v>4</v>
      </c>
      <c r="T24" s="53">
        <f>IF('AAA Summary'!$L$35=4, RANK(H24,H$8:H$82,1)+COUNTIF($H$8:H24,H24)-1, IF('AAA Summary'!$L$35=3, RANK(G24,G$8:G$82,1)+COUNTIF($G$8:G24,G24)-1, IF('AAA Summary'!$L$35=2, RANK(F24,F$8:F$82,1)+COUNTIF($F$8:F24,F24)-1, IF('AAA Summary'!$L$35=1, RANK(E24,E$8:E$82,1)+COUNTIF($E$8:E24,E24)-1))))</f>
        <v>54</v>
      </c>
      <c r="U24" s="40">
        <f>IF('AAA Summary'!$L$35=4, H24, IF('AAA Summary'!$L$35=3, G24, IF('AAA Summary'!$L$35=2, F24, IF('AAA Summary'!$L$35=1, E24))))</f>
        <v>1</v>
      </c>
      <c r="V24">
        <f t="shared" si="1"/>
        <v>9</v>
      </c>
    </row>
    <row r="25" spans="1:22" x14ac:dyDescent="0.25">
      <c r="A25" t="s">
        <v>112</v>
      </c>
      <c r="B25" t="s">
        <v>113</v>
      </c>
      <c r="C25" s="12">
        <v>51</v>
      </c>
      <c r="D25" s="12">
        <v>24</v>
      </c>
      <c r="E25" s="68">
        <v>0.92156859999999996</v>
      </c>
      <c r="F25" s="68">
        <v>1</v>
      </c>
      <c r="G25" s="68">
        <v>0.97777780000000003</v>
      </c>
      <c r="H25" s="68">
        <v>0.80392160000000001</v>
      </c>
      <c r="I25" s="70">
        <f t="shared" si="2"/>
        <v>27</v>
      </c>
      <c r="J25" s="68">
        <v>0.47058823529411764</v>
      </c>
      <c r="K25" s="68">
        <v>0.52941176470588236</v>
      </c>
      <c r="L25" s="12" t="s">
        <v>284</v>
      </c>
      <c r="M25" s="12" t="s">
        <v>288</v>
      </c>
      <c r="N25" s="69">
        <v>0.64961000000000002</v>
      </c>
      <c r="O25" t="str">
        <f t="shared" si="3"/>
        <v>RTE</v>
      </c>
      <c r="P25" s="31">
        <f t="shared" si="4"/>
        <v>2</v>
      </c>
      <c r="Q25" s="31">
        <f t="shared" si="5"/>
        <v>4</v>
      </c>
      <c r="R25" s="31">
        <f t="shared" si="6"/>
        <v>3</v>
      </c>
      <c r="S25" s="31">
        <f t="shared" si="7"/>
        <v>2</v>
      </c>
      <c r="T25" s="53">
        <f>IF('AAA Summary'!$L$35=4, RANK(H25,H$8:H$82,1)+COUNTIF($H$8:H25,H25)-1, IF('AAA Summary'!$L$35=3, RANK(G25,G$8:G$82,1)+COUNTIF($G$8:G25,G25)-1, IF('AAA Summary'!$L$35=2, RANK(F25,F$8:F$82,1)+COUNTIF($F$8:F25,F25)-1, IF('AAA Summary'!$L$35=1, RANK(E25,E$8:E$82,1)+COUNTIF($E$8:E25,E25)-1))))</f>
        <v>24</v>
      </c>
      <c r="U25" s="40">
        <f>IF('AAA Summary'!$L$35=4, H25, IF('AAA Summary'!$L$35=3, G25, IF('AAA Summary'!$L$35=2, F25, IF('AAA Summary'!$L$35=1, E25))))</f>
        <v>0.92156859999999996</v>
      </c>
      <c r="V25">
        <f t="shared" si="1"/>
        <v>53</v>
      </c>
    </row>
    <row r="26" spans="1:22" x14ac:dyDescent="0.25">
      <c r="A26" t="s">
        <v>63</v>
      </c>
      <c r="B26" t="s">
        <v>64</v>
      </c>
      <c r="C26" s="12">
        <v>62</v>
      </c>
      <c r="D26" s="12">
        <v>47</v>
      </c>
      <c r="E26" s="68">
        <v>0.59677420000000003</v>
      </c>
      <c r="F26" s="68">
        <v>0.96774190000000004</v>
      </c>
      <c r="G26" s="68">
        <v>0.6181818</v>
      </c>
      <c r="H26" s="68">
        <v>0.1129032</v>
      </c>
      <c r="I26" s="70">
        <f t="shared" si="2"/>
        <v>15</v>
      </c>
      <c r="J26" s="68">
        <v>0.75806451612903225</v>
      </c>
      <c r="K26" s="68">
        <v>0.24193548387096775</v>
      </c>
      <c r="L26" s="12" t="s">
        <v>301</v>
      </c>
      <c r="M26" s="12" t="s">
        <v>691</v>
      </c>
      <c r="N26" s="69">
        <v>0.37129000000000001</v>
      </c>
      <c r="O26" t="str">
        <f t="shared" si="3"/>
        <v>RJ1</v>
      </c>
      <c r="P26" s="31">
        <f t="shared" si="4"/>
        <v>1</v>
      </c>
      <c r="Q26" s="31">
        <f t="shared" si="5"/>
        <v>2</v>
      </c>
      <c r="R26" s="31">
        <f t="shared" si="6"/>
        <v>1</v>
      </c>
      <c r="S26" s="31">
        <f t="shared" si="7"/>
        <v>1</v>
      </c>
      <c r="T26" s="53">
        <f>IF('AAA Summary'!$L$35=4, RANK(H26,H$8:H$82,1)+COUNTIF($H$8:H26,H26)-1, IF('AAA Summary'!$L$35=3, RANK(G26,G$8:G$82,1)+COUNTIF($G$8:G26,G26)-1, IF('AAA Summary'!$L$35=2, RANK(F26,F$8:F$82,1)+COUNTIF($F$8:F26,F26)-1, IF('AAA Summary'!$L$35=1, RANK(E26,E$8:E$82,1)+COUNTIF($E$8:E26,E26)-1))))</f>
        <v>3</v>
      </c>
      <c r="U26" s="40">
        <f>IF('AAA Summary'!$L$35=4, H26, IF('AAA Summary'!$L$35=3, G26, IF('AAA Summary'!$L$35=2, F26, IF('AAA Summary'!$L$35=1, E26))))</f>
        <v>0.59677420000000003</v>
      </c>
      <c r="V26">
        <f t="shared" si="1"/>
        <v>17</v>
      </c>
    </row>
    <row r="27" spans="1:22" x14ac:dyDescent="0.25">
      <c r="A27" t="s">
        <v>127</v>
      </c>
      <c r="B27" t="s">
        <v>420</v>
      </c>
      <c r="C27" s="12">
        <v>23</v>
      </c>
      <c r="D27" s="12">
        <v>13</v>
      </c>
      <c r="E27" s="68">
        <v>1</v>
      </c>
      <c r="F27" s="68">
        <v>0</v>
      </c>
      <c r="G27" s="68">
        <v>1</v>
      </c>
      <c r="H27" s="68">
        <v>1</v>
      </c>
      <c r="I27" s="70">
        <f t="shared" si="2"/>
        <v>10</v>
      </c>
      <c r="J27" s="68">
        <v>0.56521739130434778</v>
      </c>
      <c r="K27" s="68">
        <v>0.43478260869565216</v>
      </c>
      <c r="L27" s="12" t="s">
        <v>285</v>
      </c>
      <c r="M27" s="12" t="s">
        <v>402</v>
      </c>
      <c r="N27" s="69">
        <v>0.89329000000000003</v>
      </c>
      <c r="O27" t="str">
        <f t="shared" si="3"/>
        <v>RWA</v>
      </c>
      <c r="P27" s="31">
        <f t="shared" si="4"/>
        <v>4</v>
      </c>
      <c r="Q27" s="31">
        <f t="shared" si="5"/>
        <v>1</v>
      </c>
      <c r="R27" s="31">
        <f t="shared" si="6"/>
        <v>4</v>
      </c>
      <c r="S27" s="31">
        <f t="shared" si="7"/>
        <v>4</v>
      </c>
      <c r="T27" s="53">
        <f>IF('AAA Summary'!$L$35=4, RANK(H27,H$8:H$82,1)+COUNTIF($H$8:H27,H27)-1, IF('AAA Summary'!$L$35=3, RANK(G27,G$8:G$82,1)+COUNTIF($G$8:G27,G27)-1, IF('AAA Summary'!$L$35=2, RANK(F27,F$8:F$82,1)+COUNTIF($F$8:F27,F27)-1, IF('AAA Summary'!$L$35=1, RANK(E27,E$8:E$82,1)+COUNTIF($E$8:E27,E27)-1))))</f>
        <v>55</v>
      </c>
      <c r="U27" s="40">
        <f>IF('AAA Summary'!$L$35=4, H27, IF('AAA Summary'!$L$35=3, G27, IF('AAA Summary'!$L$35=2, F27, IF('AAA Summary'!$L$35=1, E27))))</f>
        <v>1</v>
      </c>
      <c r="V27">
        <f t="shared" si="1"/>
        <v>39</v>
      </c>
    </row>
    <row r="28" spans="1:22" x14ac:dyDescent="0.25">
      <c r="A28" t="s">
        <v>153</v>
      </c>
      <c r="B28" t="s">
        <v>154</v>
      </c>
      <c r="C28" s="12">
        <v>27</v>
      </c>
      <c r="D28" s="12">
        <v>22</v>
      </c>
      <c r="E28" s="68">
        <v>0.48148150000000001</v>
      </c>
      <c r="F28" s="68">
        <v>1</v>
      </c>
      <c r="G28" s="68">
        <v>0.42857139999999999</v>
      </c>
      <c r="H28" s="68">
        <v>0.44444440000000002</v>
      </c>
      <c r="I28" s="70">
        <f t="shared" si="2"/>
        <v>5</v>
      </c>
      <c r="J28" s="68">
        <v>0.81481481481481477</v>
      </c>
      <c r="K28" s="68">
        <v>0.18518518518518517</v>
      </c>
      <c r="L28" s="12" t="s">
        <v>263</v>
      </c>
      <c r="M28" s="12" t="s">
        <v>700</v>
      </c>
      <c r="N28" s="69">
        <v>0</v>
      </c>
      <c r="O28" t="str">
        <f t="shared" si="3"/>
        <v>RYJ</v>
      </c>
      <c r="P28" s="31">
        <f t="shared" si="4"/>
        <v>1</v>
      </c>
      <c r="Q28" s="31">
        <f t="shared" si="5"/>
        <v>4</v>
      </c>
      <c r="R28" s="31">
        <f t="shared" si="6"/>
        <v>1</v>
      </c>
      <c r="S28" s="31">
        <f t="shared" si="7"/>
        <v>1</v>
      </c>
      <c r="T28" s="53">
        <f>IF('AAA Summary'!$L$35=4, RANK(H28,H$8:H$82,1)+COUNTIF($H$8:H28,H28)-1, IF('AAA Summary'!$L$35=3, RANK(G28,G$8:G$82,1)+COUNTIF($G$8:G28,G28)-1, IF('AAA Summary'!$L$35=2, RANK(F28,F$8:F$82,1)+COUNTIF($F$8:F28,F28)-1, IF('AAA Summary'!$L$35=1, RANK(E28,E$8:E$82,1)+COUNTIF($E$8:E28,E28)-1))))</f>
        <v>1</v>
      </c>
      <c r="U28" s="40">
        <f>IF('AAA Summary'!$L$35=4, H28, IF('AAA Summary'!$L$35=3, G28, IF('AAA Summary'!$L$35=2, F28, IF('AAA Summary'!$L$35=1, E28))))</f>
        <v>0.48148150000000001</v>
      </c>
      <c r="V28">
        <f t="shared" si="1"/>
        <v>8</v>
      </c>
    </row>
    <row r="29" spans="1:22" x14ac:dyDescent="0.25">
      <c r="A29" t="s">
        <v>71</v>
      </c>
      <c r="B29" t="s">
        <v>72</v>
      </c>
      <c r="C29" s="12">
        <v>0</v>
      </c>
      <c r="D29" s="12">
        <v>0</v>
      </c>
      <c r="E29" s="68" t="s">
        <v>335</v>
      </c>
      <c r="F29" s="68" t="s">
        <v>335</v>
      </c>
      <c r="G29" s="68" t="s">
        <v>335</v>
      </c>
      <c r="H29" s="68" t="s">
        <v>335</v>
      </c>
      <c r="I29" s="70">
        <f t="shared" si="2"/>
        <v>0</v>
      </c>
      <c r="J29" s="68" t="s">
        <v>335</v>
      </c>
      <c r="K29" s="68" t="s">
        <v>335</v>
      </c>
      <c r="L29" s="68" t="s">
        <v>335</v>
      </c>
      <c r="M29" s="68" t="s">
        <v>335</v>
      </c>
      <c r="N29" s="69">
        <v>7.7</v>
      </c>
      <c r="O29" t="str">
        <f t="shared" si="3"/>
        <v>RJZ</v>
      </c>
      <c r="P29" s="31"/>
      <c r="Q29" s="31"/>
      <c r="R29" s="31"/>
      <c r="S29" s="31"/>
      <c r="T29" s="53"/>
      <c r="U29" s="40"/>
    </row>
    <row r="30" spans="1:22" x14ac:dyDescent="0.25">
      <c r="A30" t="s">
        <v>147</v>
      </c>
      <c r="B30" t="s">
        <v>148</v>
      </c>
      <c r="C30" s="12">
        <v>56</v>
      </c>
      <c r="D30" s="12">
        <v>37</v>
      </c>
      <c r="E30" s="68">
        <v>0.98214290000000004</v>
      </c>
      <c r="F30" s="68">
        <v>0.98214290000000004</v>
      </c>
      <c r="G30" s="68">
        <v>0.98214290000000004</v>
      </c>
      <c r="H30" s="68">
        <v>0.98214290000000004</v>
      </c>
      <c r="I30" s="70">
        <f t="shared" si="2"/>
        <v>19</v>
      </c>
      <c r="J30" s="68">
        <v>0.6607142857142857</v>
      </c>
      <c r="K30" s="68">
        <v>0.3392857142857143</v>
      </c>
      <c r="L30" s="12" t="s">
        <v>284</v>
      </c>
      <c r="M30" s="12" t="s">
        <v>314</v>
      </c>
      <c r="N30" s="69">
        <v>0.46471000000000001</v>
      </c>
      <c r="O30" t="str">
        <f t="shared" si="3"/>
        <v>RXN</v>
      </c>
      <c r="P30" s="31">
        <f t="shared" si="4"/>
        <v>3</v>
      </c>
      <c r="Q30" s="31">
        <f t="shared" si="5"/>
        <v>2</v>
      </c>
      <c r="R30" s="31">
        <f t="shared" si="6"/>
        <v>3</v>
      </c>
      <c r="S30" s="31">
        <f t="shared" si="7"/>
        <v>4</v>
      </c>
      <c r="T30" s="53">
        <f>IF('AAA Summary'!$L$35=4, RANK(H30,H$8:H$82,1)+COUNTIF($H$8:H30,H30)-1, IF('AAA Summary'!$L$35=3, RANK(G30,G$8:G$82,1)+COUNTIF($G$8:G30,G30)-1, IF('AAA Summary'!$L$35=2, RANK(F30,F$8:F$82,1)+COUNTIF($F$8:F30,F30)-1, IF('AAA Summary'!$L$35=1, RANK(E30,E$8:E$82,1)+COUNTIF($E$8:E30,E30)-1))))</f>
        <v>46</v>
      </c>
      <c r="U30" s="40">
        <f>IF('AAA Summary'!$L$35=4, H30, IF('AAA Summary'!$L$35=3, G30, IF('AAA Summary'!$L$35=2, F30, IF('AAA Summary'!$L$35=1, E30))))</f>
        <v>0.98214290000000004</v>
      </c>
      <c r="V30">
        <f t="shared" si="1"/>
        <v>25</v>
      </c>
    </row>
    <row r="31" spans="1:22" x14ac:dyDescent="0.25">
      <c r="A31" t="s">
        <v>102</v>
      </c>
      <c r="B31" t="s">
        <v>103</v>
      </c>
      <c r="C31" s="12">
        <v>24</v>
      </c>
      <c r="D31" s="12">
        <v>14</v>
      </c>
      <c r="E31" s="68">
        <v>0.95833330000000005</v>
      </c>
      <c r="F31" s="68">
        <v>1</v>
      </c>
      <c r="G31" s="68">
        <v>0.95454539999999999</v>
      </c>
      <c r="H31" s="68">
        <v>0.875</v>
      </c>
      <c r="I31" s="70">
        <f t="shared" si="2"/>
        <v>10</v>
      </c>
      <c r="J31" s="68">
        <v>0.58333333333333337</v>
      </c>
      <c r="K31" s="68">
        <v>0.41666666666666669</v>
      </c>
      <c r="L31" s="12" t="s">
        <v>696</v>
      </c>
      <c r="M31" s="12" t="s">
        <v>314</v>
      </c>
      <c r="N31" s="69">
        <v>0.78718999999999995</v>
      </c>
      <c r="O31" t="str">
        <f t="shared" si="3"/>
        <v>RR8</v>
      </c>
      <c r="P31" s="31">
        <f t="shared" si="4"/>
        <v>3</v>
      </c>
      <c r="Q31" s="31">
        <f t="shared" si="5"/>
        <v>4</v>
      </c>
      <c r="R31" s="31">
        <f t="shared" si="6"/>
        <v>2</v>
      </c>
      <c r="S31" s="31">
        <f t="shared" si="7"/>
        <v>2</v>
      </c>
      <c r="T31" s="53">
        <f>IF('AAA Summary'!$L$35=4, RANK(H31,H$8:H$82,1)+COUNTIF($H$8:H31,H31)-1, IF('AAA Summary'!$L$35=3, RANK(G31,G$8:G$82,1)+COUNTIF($G$8:G31,G31)-1, IF('AAA Summary'!$L$35=2, RANK(F31,F$8:F$82,1)+COUNTIF($F$8:F31,F31)-1, IF('AAA Summary'!$L$35=1, RANK(E31,E$8:E$82,1)+COUNTIF($E$8:E31,E31)-1))))</f>
        <v>35</v>
      </c>
      <c r="U31" s="40">
        <f>IF('AAA Summary'!$L$35=4, H31, IF('AAA Summary'!$L$35=3, G31, IF('AAA Summary'!$L$35=2, F31, IF('AAA Summary'!$L$35=1, E31))))</f>
        <v>0.95833330000000005</v>
      </c>
      <c r="V31">
        <f t="shared" si="1"/>
        <v>35</v>
      </c>
    </row>
    <row r="32" spans="1:22" x14ac:dyDescent="0.25">
      <c r="A32" t="s">
        <v>681</v>
      </c>
      <c r="B32" t="s">
        <v>682</v>
      </c>
      <c r="C32" s="12">
        <v>8</v>
      </c>
      <c r="D32" s="12" t="s">
        <v>345</v>
      </c>
      <c r="E32" s="68">
        <v>0.875</v>
      </c>
      <c r="F32" s="68">
        <v>1</v>
      </c>
      <c r="G32" s="68">
        <v>0.875</v>
      </c>
      <c r="H32" s="68">
        <v>0.625</v>
      </c>
      <c r="I32" s="70" t="e">
        <f t="shared" si="2"/>
        <v>#VALUE!</v>
      </c>
      <c r="J32" s="68">
        <v>0.375</v>
      </c>
      <c r="K32" s="68">
        <v>0.625</v>
      </c>
      <c r="L32" s="12" t="s">
        <v>346</v>
      </c>
      <c r="M32" s="12" t="s">
        <v>683</v>
      </c>
      <c r="N32" s="69">
        <v>0</v>
      </c>
      <c r="O32" t="str">
        <f t="shared" si="3"/>
        <v>RBQ</v>
      </c>
      <c r="P32" s="31">
        <f t="shared" si="4"/>
        <v>2</v>
      </c>
      <c r="Q32" s="31">
        <f t="shared" si="5"/>
        <v>4</v>
      </c>
      <c r="R32" s="31">
        <f t="shared" si="6"/>
        <v>2</v>
      </c>
      <c r="S32" s="31">
        <f t="shared" si="7"/>
        <v>1</v>
      </c>
      <c r="T32" s="53">
        <f>IF('AAA Summary'!$L$35=4, RANK(H32,H$8:H$82,1)+COUNTIF($H$8:H32,H32)-1, IF('AAA Summary'!$L$35=3, RANK(G32,G$8:G$82,1)+COUNTIF($G$8:G32,G32)-1, IF('AAA Summary'!$L$35=2, RANK(F32,F$8:F$82,1)+COUNTIF($F$8:F32,F32)-1, IF('AAA Summary'!$L$35=1, RANK(E32,E$8:E$82,1)+COUNTIF($E$8:E32,E32)-1))))</f>
        <v>19</v>
      </c>
      <c r="U32" s="40">
        <f>IF('AAA Summary'!$L$35=4, H32, IF('AAA Summary'!$L$35=3, G32, IF('AAA Summary'!$L$35=2, F32, IF('AAA Summary'!$L$35=1, E32))))</f>
        <v>0.875</v>
      </c>
      <c r="V32">
        <f t="shared" si="1"/>
        <v>62</v>
      </c>
    </row>
    <row r="33" spans="1:22" x14ac:dyDescent="0.25">
      <c r="A33" t="s">
        <v>44</v>
      </c>
      <c r="B33" t="s">
        <v>421</v>
      </c>
      <c r="C33" s="12">
        <v>46</v>
      </c>
      <c r="D33" s="12">
        <v>21</v>
      </c>
      <c r="E33" s="68">
        <v>0.97826089999999999</v>
      </c>
      <c r="F33" s="68">
        <v>1</v>
      </c>
      <c r="G33" s="68">
        <v>1</v>
      </c>
      <c r="H33" s="68">
        <v>0.82608689999999996</v>
      </c>
      <c r="I33" s="70">
        <f t="shared" si="2"/>
        <v>25</v>
      </c>
      <c r="J33" s="68">
        <v>0.45652173913043476</v>
      </c>
      <c r="K33" s="68">
        <v>0.54347826086956519</v>
      </c>
      <c r="L33" s="12" t="s">
        <v>263</v>
      </c>
      <c r="M33" s="12" t="s">
        <v>219</v>
      </c>
      <c r="N33" s="69">
        <v>1.41933</v>
      </c>
      <c r="O33" t="str">
        <f t="shared" si="3"/>
        <v>REM</v>
      </c>
      <c r="P33" s="31">
        <f t="shared" si="4"/>
        <v>3</v>
      </c>
      <c r="Q33" s="31">
        <f t="shared" si="5"/>
        <v>4</v>
      </c>
      <c r="R33" s="31">
        <f t="shared" si="6"/>
        <v>4</v>
      </c>
      <c r="S33" s="31">
        <f t="shared" si="7"/>
        <v>2</v>
      </c>
      <c r="T33" s="53">
        <f>IF('AAA Summary'!$L$35=4, RANK(H33,H$8:H$82,1)+COUNTIF($H$8:H33,H33)-1, IF('AAA Summary'!$L$35=3, RANK(G33,G$8:G$82,1)+COUNTIF($G$8:G33,G33)-1, IF('AAA Summary'!$L$35=2, RANK(F33,F$8:F$82,1)+COUNTIF($F$8:F33,F33)-1, IF('AAA Summary'!$L$35=1, RANK(E33,E$8:E$82,1)+COUNTIF($E$8:E33,E33)-1))))</f>
        <v>44</v>
      </c>
      <c r="U33" s="40">
        <f>IF('AAA Summary'!$L$35=4, H33, IF('AAA Summary'!$L$35=3, G33, IF('AAA Summary'!$L$35=2, F33, IF('AAA Summary'!$L$35=1, E33))))</f>
        <v>0.97826089999999999</v>
      </c>
      <c r="V33">
        <f t="shared" si="1"/>
        <v>54</v>
      </c>
    </row>
    <row r="34" spans="1:22" x14ac:dyDescent="0.25">
      <c r="A34" t="s">
        <v>13</v>
      </c>
      <c r="B34" t="s">
        <v>422</v>
      </c>
      <c r="C34" s="12">
        <v>11</v>
      </c>
      <c r="D34" s="12">
        <v>11</v>
      </c>
      <c r="E34" s="68">
        <v>1</v>
      </c>
      <c r="F34" s="68">
        <v>1</v>
      </c>
      <c r="G34" s="68">
        <v>1</v>
      </c>
      <c r="H34" s="68">
        <v>0.90909090000000004</v>
      </c>
      <c r="I34" s="70">
        <f t="shared" si="2"/>
        <v>0</v>
      </c>
      <c r="J34" s="68">
        <v>1</v>
      </c>
      <c r="K34" s="68">
        <v>0</v>
      </c>
      <c r="L34" s="12" t="s">
        <v>270</v>
      </c>
      <c r="M34" s="12" t="s">
        <v>335</v>
      </c>
      <c r="N34" s="69">
        <v>1.68631</v>
      </c>
      <c r="O34" t="str">
        <f t="shared" si="3"/>
        <v>R1K</v>
      </c>
      <c r="P34" s="31">
        <f t="shared" si="4"/>
        <v>4</v>
      </c>
      <c r="Q34" s="31">
        <f t="shared" si="5"/>
        <v>4</v>
      </c>
      <c r="R34" s="31">
        <f t="shared" si="6"/>
        <v>4</v>
      </c>
      <c r="S34" s="31">
        <f t="shared" si="7"/>
        <v>2</v>
      </c>
      <c r="T34" s="53">
        <f>IF('AAA Summary'!$L$35=4, RANK(H34,H$8:H$82,1)+COUNTIF($H$8:H34,H34)-1, IF('AAA Summary'!$L$35=3, RANK(G34,G$8:G$82,1)+COUNTIF($G$8:G34,G34)-1, IF('AAA Summary'!$L$35=2, RANK(F34,F$8:F$82,1)+COUNTIF($F$8:F34,F34)-1, IF('AAA Summary'!$L$35=1, RANK(E34,E$8:E$82,1)+COUNTIF($E$8:E34,E34)-1))))</f>
        <v>56</v>
      </c>
      <c r="U34" s="40">
        <f>IF('AAA Summary'!$L$35=4, H34, IF('AAA Summary'!$L$35=3, G34, IF('AAA Summary'!$L$35=2, F34, IF('AAA Summary'!$L$35=1, E34))))</f>
        <v>1</v>
      </c>
      <c r="V34">
        <f t="shared" si="1"/>
        <v>1</v>
      </c>
    </row>
    <row r="35" spans="1:22" x14ac:dyDescent="0.25">
      <c r="A35" t="s">
        <v>9</v>
      </c>
      <c r="B35" t="s">
        <v>10</v>
      </c>
      <c r="C35" s="12">
        <v>55</v>
      </c>
      <c r="D35" s="12">
        <v>36</v>
      </c>
      <c r="E35" s="68">
        <v>0.9636363</v>
      </c>
      <c r="F35" s="68">
        <v>0.98181819999999997</v>
      </c>
      <c r="G35" s="68">
        <v>0.98039220000000005</v>
      </c>
      <c r="H35" s="68">
        <v>0.94545449999999998</v>
      </c>
      <c r="I35" s="70">
        <f t="shared" si="2"/>
        <v>19</v>
      </c>
      <c r="J35" s="68">
        <v>0.65454545454545454</v>
      </c>
      <c r="K35" s="68">
        <v>0.34545454545454546</v>
      </c>
      <c r="L35" s="12" t="s">
        <v>284</v>
      </c>
      <c r="M35" s="12" t="s">
        <v>316</v>
      </c>
      <c r="N35" s="69">
        <v>0.42995000000000005</v>
      </c>
      <c r="O35" t="str">
        <f t="shared" si="3"/>
        <v>R0A</v>
      </c>
      <c r="P35" s="31">
        <f t="shared" si="4"/>
        <v>3</v>
      </c>
      <c r="Q35" s="31">
        <f t="shared" si="5"/>
        <v>2</v>
      </c>
      <c r="R35" s="31">
        <f t="shared" si="6"/>
        <v>3</v>
      </c>
      <c r="S35" s="31">
        <f t="shared" si="7"/>
        <v>3</v>
      </c>
      <c r="T35" s="53">
        <f>IF('AAA Summary'!$L$35=4, RANK(H35,H$8:H$82,1)+COUNTIF($H$8:H35,H35)-1, IF('AAA Summary'!$L$35=3, RANK(G35,G$8:G$82,1)+COUNTIF($G$8:G35,G35)-1, IF('AAA Summary'!$L$35=2, RANK(F35,F$8:F$82,1)+COUNTIF($F$8:F35,F35)-1, IF('AAA Summary'!$L$35=1, RANK(E35,E$8:E$82,1)+COUNTIF($E$8:E35,E35)-1))))</f>
        <v>40</v>
      </c>
      <c r="U35" s="40">
        <f>IF('AAA Summary'!$L$35=4, H35, IF('AAA Summary'!$L$35=3, G35, IF('AAA Summary'!$L$35=2, F35, IF('AAA Summary'!$L$35=1, E35))))</f>
        <v>0.9636363</v>
      </c>
      <c r="V35">
        <f t="shared" si="1"/>
        <v>26</v>
      </c>
    </row>
    <row r="36" spans="1:22" x14ac:dyDescent="0.25">
      <c r="A36" t="s">
        <v>19</v>
      </c>
      <c r="B36" t="s">
        <v>680</v>
      </c>
      <c r="C36" s="12">
        <v>30</v>
      </c>
      <c r="D36" s="12">
        <v>25</v>
      </c>
      <c r="E36" s="68">
        <v>0.93333330000000003</v>
      </c>
      <c r="F36" s="68">
        <v>0.9</v>
      </c>
      <c r="G36" s="68">
        <v>0.91304350000000001</v>
      </c>
      <c r="H36" s="68">
        <v>0.83333330000000005</v>
      </c>
      <c r="I36" s="70">
        <f t="shared" si="2"/>
        <v>5</v>
      </c>
      <c r="J36" s="68">
        <v>0.83333333333333337</v>
      </c>
      <c r="K36" s="68">
        <v>0.16666666666666666</v>
      </c>
      <c r="L36" s="12" t="s">
        <v>286</v>
      </c>
      <c r="M36" s="12" t="s">
        <v>219</v>
      </c>
      <c r="N36" s="69">
        <v>2.1742699999999999</v>
      </c>
      <c r="O36" t="str">
        <f t="shared" si="3"/>
        <v>RAJ</v>
      </c>
      <c r="P36" s="31">
        <f t="shared" si="4"/>
        <v>2</v>
      </c>
      <c r="Q36" s="31">
        <f t="shared" si="5"/>
        <v>1</v>
      </c>
      <c r="R36" s="31">
        <f t="shared" si="6"/>
        <v>2</v>
      </c>
      <c r="S36" s="31">
        <f t="shared" si="7"/>
        <v>2</v>
      </c>
      <c r="T36" s="53">
        <f>IF('AAA Summary'!$L$35=4, RANK(H36,H$8:H$82,1)+COUNTIF($H$8:H36,H36)-1, IF('AAA Summary'!$L$35=3, RANK(G36,G$8:G$82,1)+COUNTIF($G$8:G36,G36)-1, IF('AAA Summary'!$L$35=2, RANK(F36,F$8:F$82,1)+COUNTIF($F$8:F36,F36)-1, IF('AAA Summary'!$L$35=1, RANK(E36,E$8:E$82,1)+COUNTIF($E$8:E36,E36)-1))))</f>
        <v>27</v>
      </c>
      <c r="U36" s="40">
        <f>IF('AAA Summary'!$L$35=4, H36, IF('AAA Summary'!$L$35=3, G36, IF('AAA Summary'!$L$35=2, F36, IF('AAA Summary'!$L$35=1, E36))))</f>
        <v>0.93333330000000003</v>
      </c>
      <c r="V36">
        <f t="shared" si="1"/>
        <v>7</v>
      </c>
    </row>
    <row r="37" spans="1:22" x14ac:dyDescent="0.25">
      <c r="A37" t="s">
        <v>110</v>
      </c>
      <c r="B37" t="s">
        <v>111</v>
      </c>
      <c r="C37" s="12">
        <v>60</v>
      </c>
      <c r="D37" s="12">
        <v>24</v>
      </c>
      <c r="E37" s="68">
        <v>0.93333330000000003</v>
      </c>
      <c r="F37" s="68">
        <v>0.96666660000000004</v>
      </c>
      <c r="G37" s="68">
        <v>0.96153840000000002</v>
      </c>
      <c r="H37" s="68">
        <v>0.91666669999999995</v>
      </c>
      <c r="I37" s="70">
        <f t="shared" si="2"/>
        <v>36</v>
      </c>
      <c r="J37" s="68">
        <v>0.4</v>
      </c>
      <c r="K37" s="68">
        <v>0.6</v>
      </c>
      <c r="L37" s="12" t="s">
        <v>221</v>
      </c>
      <c r="M37" s="12" t="s">
        <v>208</v>
      </c>
      <c r="N37" s="69">
        <v>2.91588</v>
      </c>
      <c r="O37" t="str">
        <f t="shared" si="3"/>
        <v>RTD</v>
      </c>
      <c r="P37" s="31">
        <f t="shared" si="4"/>
        <v>2</v>
      </c>
      <c r="Q37" s="31">
        <f t="shared" si="5"/>
        <v>2</v>
      </c>
      <c r="R37" s="31">
        <f t="shared" si="6"/>
        <v>3</v>
      </c>
      <c r="S37" s="31">
        <f t="shared" si="7"/>
        <v>2</v>
      </c>
      <c r="T37" s="53">
        <f>IF('AAA Summary'!$L$35=4, RANK(H37,H$8:H$82,1)+COUNTIF($H$8:H37,H37)-1, IF('AAA Summary'!$L$35=3, RANK(G37,G$8:G$82,1)+COUNTIF($G$8:G37,G37)-1, IF('AAA Summary'!$L$35=2, RANK(F37,F$8:F$82,1)+COUNTIF($F$8:F37,F37)-1, IF('AAA Summary'!$L$35=1, RANK(E37,E$8:E$82,1)+COUNTIF($E$8:E37,E37)-1))))</f>
        <v>28</v>
      </c>
      <c r="U37" s="40">
        <f>IF('AAA Summary'!$L$35=4, H37, IF('AAA Summary'!$L$35=3, G37, IF('AAA Summary'!$L$35=2, F37, IF('AAA Summary'!$L$35=1, E37))))</f>
        <v>0.93333330000000003</v>
      </c>
      <c r="V37">
        <f t="shared" si="1"/>
        <v>60</v>
      </c>
    </row>
    <row r="38" spans="1:22" x14ac:dyDescent="0.25">
      <c r="A38" t="s">
        <v>155</v>
      </c>
      <c r="B38" t="s">
        <v>156</v>
      </c>
      <c r="C38" s="12" t="s">
        <v>345</v>
      </c>
      <c r="D38" s="12">
        <v>0</v>
      </c>
      <c r="E38" s="68">
        <v>1</v>
      </c>
      <c r="F38" s="68">
        <v>1</v>
      </c>
      <c r="G38" s="68">
        <v>1</v>
      </c>
      <c r="H38" s="68">
        <v>1</v>
      </c>
      <c r="I38" s="70" t="e">
        <f t="shared" si="2"/>
        <v>#VALUE!</v>
      </c>
      <c r="J38" s="68">
        <v>0</v>
      </c>
      <c r="K38" s="68">
        <v>1</v>
      </c>
      <c r="L38" s="12" t="s">
        <v>335</v>
      </c>
      <c r="M38" s="12" t="s">
        <v>346</v>
      </c>
      <c r="N38" s="69">
        <v>0</v>
      </c>
      <c r="O38" t="str">
        <f t="shared" si="3"/>
        <v>SA999</v>
      </c>
      <c r="P38" s="31">
        <f t="shared" si="4"/>
        <v>4</v>
      </c>
      <c r="Q38" s="31">
        <f t="shared" si="5"/>
        <v>4</v>
      </c>
      <c r="R38" s="31">
        <f t="shared" si="6"/>
        <v>4</v>
      </c>
      <c r="S38" s="31">
        <f t="shared" si="7"/>
        <v>4</v>
      </c>
      <c r="T38" s="53">
        <f>IF('AAA Summary'!$L$35=4, RANK(H38,H$8:H$82,1)+COUNTIF($H$8:H38,H38)-1, IF('AAA Summary'!$L$35=3, RANK(G38,G$8:G$82,1)+COUNTIF($G$8:G38,G38)-1, IF('AAA Summary'!$L$35=2, RANK(F38,F$8:F$82,1)+COUNTIF($F$8:F38,F38)-1, IF('AAA Summary'!$L$35=1, RANK(E38,E$8:E$82,1)+COUNTIF($E$8:E38,E38)-1))))</f>
        <v>57</v>
      </c>
      <c r="U38" s="40">
        <f>IF('AAA Summary'!$L$35=4, H38, IF('AAA Summary'!$L$35=3, G38, IF('AAA Summary'!$L$35=2, F38, IF('AAA Summary'!$L$35=1, E38))))</f>
        <v>1</v>
      </c>
      <c r="V38">
        <f t="shared" si="1"/>
        <v>68</v>
      </c>
    </row>
    <row r="39" spans="1:22" x14ac:dyDescent="0.25">
      <c r="A39" t="s">
        <v>165</v>
      </c>
      <c r="B39" t="s">
        <v>166</v>
      </c>
      <c r="C39" s="12">
        <v>17</v>
      </c>
      <c r="D39" s="12">
        <v>12</v>
      </c>
      <c r="E39" s="68">
        <v>0.70588240000000002</v>
      </c>
      <c r="F39" s="68">
        <v>1</v>
      </c>
      <c r="G39" s="68">
        <v>0.70588240000000002</v>
      </c>
      <c r="H39" s="68">
        <v>0.70588240000000002</v>
      </c>
      <c r="I39" s="70">
        <f t="shared" si="2"/>
        <v>5</v>
      </c>
      <c r="J39" s="68">
        <v>0.70588235294117652</v>
      </c>
      <c r="K39" s="68">
        <v>0.29411764705882354</v>
      </c>
      <c r="L39" s="12" t="s">
        <v>220</v>
      </c>
      <c r="M39" s="12" t="s">
        <v>324</v>
      </c>
      <c r="N39" s="69">
        <v>0</v>
      </c>
      <c r="O39" t="str">
        <f t="shared" si="3"/>
        <v>SN999</v>
      </c>
      <c r="P39" s="31">
        <f t="shared" si="4"/>
        <v>1</v>
      </c>
      <c r="Q39" s="31">
        <f t="shared" si="5"/>
        <v>4</v>
      </c>
      <c r="R39" s="31">
        <f t="shared" si="6"/>
        <v>1</v>
      </c>
      <c r="S39" s="31">
        <f t="shared" si="7"/>
        <v>1</v>
      </c>
      <c r="T39" s="53">
        <f>IF('AAA Summary'!$L$35=4, RANK(H39,H$8:H$82,1)+COUNTIF($H$8:H39,H39)-1, IF('AAA Summary'!$L$35=3, RANK(G39,G$8:G$82,1)+COUNTIF($G$8:G39,G39)-1, IF('AAA Summary'!$L$35=2, RANK(F39,F$8:F$82,1)+COUNTIF($F$8:F39,F39)-1, IF('AAA Summary'!$L$35=1, RANK(E39,E$8:E$82,1)+COUNTIF($E$8:E39,E39)-1))))</f>
        <v>7</v>
      </c>
      <c r="U39" s="40">
        <f>IF('AAA Summary'!$L$35=4, H39, IF('AAA Summary'!$L$35=3, G39, IF('AAA Summary'!$L$35=2, F39, IF('AAA Summary'!$L$35=1, E39))))</f>
        <v>0.70588240000000002</v>
      </c>
      <c r="V39">
        <f t="shared" si="1"/>
        <v>22</v>
      </c>
    </row>
    <row r="40" spans="1:22" x14ac:dyDescent="0.25">
      <c r="A40" t="s">
        <v>159</v>
      </c>
      <c r="B40" t="s">
        <v>160</v>
      </c>
      <c r="C40" s="12">
        <v>12</v>
      </c>
      <c r="D40" s="12">
        <v>9</v>
      </c>
      <c r="E40" s="68">
        <v>1</v>
      </c>
      <c r="F40" s="68">
        <v>1</v>
      </c>
      <c r="G40" s="68">
        <v>1</v>
      </c>
      <c r="H40" s="68">
        <v>1</v>
      </c>
      <c r="I40" s="70">
        <f t="shared" si="2"/>
        <v>3</v>
      </c>
      <c r="J40" s="68">
        <v>0.75</v>
      </c>
      <c r="K40" s="68">
        <v>0.25</v>
      </c>
      <c r="L40" s="12" t="s">
        <v>284</v>
      </c>
      <c r="M40" s="12" t="s">
        <v>322</v>
      </c>
      <c r="N40" s="69">
        <v>1.50247</v>
      </c>
      <c r="O40" t="str">
        <f t="shared" si="3"/>
        <v>SG999</v>
      </c>
      <c r="P40" s="31">
        <f t="shared" si="4"/>
        <v>4</v>
      </c>
      <c r="Q40" s="31">
        <f t="shared" si="5"/>
        <v>4</v>
      </c>
      <c r="R40" s="31">
        <f t="shared" si="6"/>
        <v>4</v>
      </c>
      <c r="S40" s="31">
        <f t="shared" si="7"/>
        <v>4</v>
      </c>
      <c r="T40" s="53">
        <f>IF('AAA Summary'!$L$35=4, RANK(H40,H$8:H$82,1)+COUNTIF($H$8:H40,H40)-1, IF('AAA Summary'!$L$35=3, RANK(G40,G$8:G$82,1)+COUNTIF($G$8:G40,G40)-1, IF('AAA Summary'!$L$35=2, RANK(F40,F$8:F$82,1)+COUNTIF($F$8:F40,F40)-1, IF('AAA Summary'!$L$35=1, RANK(E40,E$8:E$82,1)+COUNTIF($E$8:E40,E40)-1))))</f>
        <v>58</v>
      </c>
      <c r="U40" s="40">
        <f>IF('AAA Summary'!$L$35=4, H40, IF('AAA Summary'!$L$35=3, G40, IF('AAA Summary'!$L$35=2, F40, IF('AAA Summary'!$L$35=1, E40))))</f>
        <v>1</v>
      </c>
      <c r="V40">
        <f t="shared" si="1"/>
        <v>18</v>
      </c>
    </row>
    <row r="41" spans="1:22" x14ac:dyDescent="0.25">
      <c r="A41" t="s">
        <v>161</v>
      </c>
      <c r="B41" t="s">
        <v>162</v>
      </c>
      <c r="C41" s="12">
        <v>16</v>
      </c>
      <c r="D41" s="12" t="s">
        <v>345</v>
      </c>
      <c r="E41" s="68">
        <v>1</v>
      </c>
      <c r="F41" s="68">
        <v>1</v>
      </c>
      <c r="G41" s="68">
        <v>1</v>
      </c>
      <c r="H41" s="68">
        <v>1</v>
      </c>
      <c r="I41" s="70" t="e">
        <f t="shared" si="2"/>
        <v>#VALUE!</v>
      </c>
      <c r="J41" s="68">
        <v>0.25</v>
      </c>
      <c r="K41" s="68">
        <v>0.75</v>
      </c>
      <c r="L41" s="12" t="s">
        <v>346</v>
      </c>
      <c r="M41" s="12" t="s">
        <v>703</v>
      </c>
      <c r="N41" s="69">
        <v>0</v>
      </c>
      <c r="O41" t="str">
        <f t="shared" si="3"/>
        <v>SH999</v>
      </c>
      <c r="P41" s="31">
        <f t="shared" si="4"/>
        <v>4</v>
      </c>
      <c r="Q41" s="31">
        <f t="shared" si="5"/>
        <v>4</v>
      </c>
      <c r="R41" s="31">
        <f t="shared" si="6"/>
        <v>4</v>
      </c>
      <c r="S41" s="31">
        <f t="shared" si="7"/>
        <v>4</v>
      </c>
      <c r="T41" s="53">
        <f>IF('AAA Summary'!$L$35=4, RANK(H41,H$8:H$82,1)+COUNTIF($H$8:H41,H41)-1, IF('AAA Summary'!$L$35=3, RANK(G41,G$8:G$82,1)+COUNTIF($G$8:G41,G41)-1, IF('AAA Summary'!$L$35=2, RANK(F41,F$8:F$82,1)+COUNTIF($F$8:F41,F41)-1, IF('AAA Summary'!$L$35=1, RANK(E41,E$8:E$82,1)+COUNTIF($E$8:E41,E41)-1))))</f>
        <v>59</v>
      </c>
      <c r="U41" s="40">
        <f>IF('AAA Summary'!$L$35=4, H41, IF('AAA Summary'!$L$35=3, G41, IF('AAA Summary'!$L$35=2, F41, IF('AAA Summary'!$L$35=1, E41))))</f>
        <v>1</v>
      </c>
      <c r="V41">
        <f t="shared" ref="V41:V72" si="8">RANK(J41,$J$8:$J$78)</f>
        <v>65</v>
      </c>
    </row>
    <row r="42" spans="1:22" x14ac:dyDescent="0.25">
      <c r="A42" t="s">
        <v>163</v>
      </c>
      <c r="B42" t="s">
        <v>164</v>
      </c>
      <c r="C42" s="12">
        <v>30</v>
      </c>
      <c r="D42" s="12">
        <v>21</v>
      </c>
      <c r="E42" s="68">
        <v>0.66666669999999995</v>
      </c>
      <c r="F42" s="68">
        <v>1</v>
      </c>
      <c r="G42" s="68">
        <v>0.71428570000000002</v>
      </c>
      <c r="H42" s="68">
        <v>0.6</v>
      </c>
      <c r="I42" s="70">
        <f t="shared" si="2"/>
        <v>9</v>
      </c>
      <c r="J42" s="68">
        <v>0.7</v>
      </c>
      <c r="K42" s="68">
        <v>0.3</v>
      </c>
      <c r="L42" s="12" t="s">
        <v>284</v>
      </c>
      <c r="M42" s="12" t="s">
        <v>704</v>
      </c>
      <c r="N42" s="69">
        <v>2.3461599999999998</v>
      </c>
      <c r="O42" t="str">
        <f t="shared" si="3"/>
        <v>SL999</v>
      </c>
      <c r="P42" s="31">
        <f t="shared" si="4"/>
        <v>1</v>
      </c>
      <c r="Q42" s="31">
        <f t="shared" si="5"/>
        <v>4</v>
      </c>
      <c r="R42" s="31">
        <f t="shared" si="6"/>
        <v>1</v>
      </c>
      <c r="S42" s="31">
        <f t="shared" si="7"/>
        <v>1</v>
      </c>
      <c r="T42" s="53">
        <f>IF('AAA Summary'!$L$35=4, RANK(H42,H$8:H$82,1)+COUNTIF($H$8:H42,H42)-1, IF('AAA Summary'!$L$35=3, RANK(G42,G$8:G$82,1)+COUNTIF($G$8:G42,G42)-1, IF('AAA Summary'!$L$35=2, RANK(F42,F$8:F$82,1)+COUNTIF($F$8:F42,F42)-1, IF('AAA Summary'!$L$35=1, RANK(E42,E$8:E$82,1)+COUNTIF($E$8:E42,E42)-1))))</f>
        <v>5</v>
      </c>
      <c r="U42" s="40">
        <f>IF('AAA Summary'!$L$35=4, H42, IF('AAA Summary'!$L$35=3, G42, IF('AAA Summary'!$L$35=2, F42, IF('AAA Summary'!$L$35=1, E42))))</f>
        <v>0.66666669999999995</v>
      </c>
      <c r="V42">
        <f t="shared" si="8"/>
        <v>23</v>
      </c>
    </row>
    <row r="43" spans="1:22" x14ac:dyDescent="0.25">
      <c r="A43" t="s">
        <v>167</v>
      </c>
      <c r="B43" t="s">
        <v>168</v>
      </c>
      <c r="C43" s="12">
        <v>12</v>
      </c>
      <c r="D43" s="12" t="s">
        <v>345</v>
      </c>
      <c r="E43" s="68">
        <v>1</v>
      </c>
      <c r="F43" s="68">
        <v>1</v>
      </c>
      <c r="G43" s="68">
        <v>1</v>
      </c>
      <c r="H43" s="68">
        <v>1</v>
      </c>
      <c r="I43" s="70" t="e">
        <f t="shared" si="2"/>
        <v>#VALUE!</v>
      </c>
      <c r="J43" s="68">
        <v>0.33333333333333331</v>
      </c>
      <c r="K43" s="68">
        <v>0.66666666666666663</v>
      </c>
      <c r="L43" s="12" t="s">
        <v>400</v>
      </c>
      <c r="M43" s="12" t="s">
        <v>346</v>
      </c>
      <c r="N43" s="69">
        <v>0</v>
      </c>
      <c r="O43" t="str">
        <f t="shared" si="3"/>
        <v>SS999</v>
      </c>
      <c r="P43" s="31">
        <f t="shared" si="4"/>
        <v>4</v>
      </c>
      <c r="Q43" s="31">
        <f t="shared" si="5"/>
        <v>4</v>
      </c>
      <c r="R43" s="31">
        <f t="shared" si="6"/>
        <v>4</v>
      </c>
      <c r="S43" s="31">
        <f t="shared" si="7"/>
        <v>4</v>
      </c>
      <c r="T43" s="53">
        <f>IF('AAA Summary'!$L$35=4, RANK(H43,H$8:H$82,1)+COUNTIF($H$8:H43,H43)-1, IF('AAA Summary'!$L$35=3, RANK(G43,G$8:G$82,1)+COUNTIF($G$8:G43,G43)-1, IF('AAA Summary'!$L$35=2, RANK(F43,F$8:F$82,1)+COUNTIF($F$8:F43,F43)-1, IF('AAA Summary'!$L$35=1, RANK(E43,E$8:E$82,1)+COUNTIF($E$8:E43,E43)-1))))</f>
        <v>60</v>
      </c>
      <c r="U43" s="40">
        <f>IF('AAA Summary'!$L$35=4, H43, IF('AAA Summary'!$L$35=3, G43, IF('AAA Summary'!$L$35=2, F43, IF('AAA Summary'!$L$35=1, E43))))</f>
        <v>1</v>
      </c>
      <c r="V43">
        <f t="shared" si="8"/>
        <v>63</v>
      </c>
    </row>
    <row r="44" spans="1:22" x14ac:dyDescent="0.25">
      <c r="A44" t="s">
        <v>169</v>
      </c>
      <c r="B44" t="s">
        <v>170</v>
      </c>
      <c r="C44" s="12" t="s">
        <v>345</v>
      </c>
      <c r="D44" s="12">
        <v>0</v>
      </c>
      <c r="E44" s="68">
        <v>1</v>
      </c>
      <c r="F44" s="68">
        <v>1</v>
      </c>
      <c r="G44" s="68">
        <v>1</v>
      </c>
      <c r="H44" s="68">
        <v>1</v>
      </c>
      <c r="I44" s="70" t="e">
        <f t="shared" si="2"/>
        <v>#VALUE!</v>
      </c>
      <c r="J44" s="68">
        <v>0</v>
      </c>
      <c r="K44" s="68">
        <v>1</v>
      </c>
      <c r="L44" s="12" t="s">
        <v>335</v>
      </c>
      <c r="M44" s="12" t="s">
        <v>346</v>
      </c>
      <c r="N44" s="69">
        <v>0</v>
      </c>
      <c r="O44" t="str">
        <f t="shared" si="3"/>
        <v>ST999</v>
      </c>
      <c r="P44" s="31">
        <f t="shared" si="4"/>
        <v>4</v>
      </c>
      <c r="Q44" s="31">
        <f t="shared" si="5"/>
        <v>4</v>
      </c>
      <c r="R44" s="31">
        <f t="shared" si="6"/>
        <v>4</v>
      </c>
      <c r="S44" s="31">
        <f t="shared" si="7"/>
        <v>4</v>
      </c>
      <c r="T44" s="53">
        <f>IF('AAA Summary'!$L$35=4, RANK(H44,H$8:H$82,1)+COUNTIF($H$8:H44,H44)-1, IF('AAA Summary'!$L$35=3, RANK(G44,G$8:G$82,1)+COUNTIF($G$8:G44,G44)-1, IF('AAA Summary'!$L$35=2, RANK(F44,F$8:F$82,1)+COUNTIF($F$8:F44,F44)-1, IF('AAA Summary'!$L$35=1, RANK(E44,E$8:E$82,1)+COUNTIF($E$8:E44,E44)-1))))</f>
        <v>61</v>
      </c>
      <c r="U44" s="40">
        <f>IF('AAA Summary'!$L$35=4, H44, IF('AAA Summary'!$L$35=3, G44, IF('AAA Summary'!$L$35=2, F44, IF('AAA Summary'!$L$35=1, E44))))</f>
        <v>1</v>
      </c>
      <c r="V44">
        <f t="shared" si="8"/>
        <v>68</v>
      </c>
    </row>
    <row r="45" spans="1:22" x14ac:dyDescent="0.25">
      <c r="A45" t="s">
        <v>80</v>
      </c>
      <c r="B45" t="s">
        <v>81</v>
      </c>
      <c r="C45" s="12">
        <v>51</v>
      </c>
      <c r="D45" s="12">
        <v>22</v>
      </c>
      <c r="E45" s="68">
        <v>0.96078430000000004</v>
      </c>
      <c r="F45" s="68">
        <v>0.94117649999999997</v>
      </c>
      <c r="G45" s="68">
        <v>0.95918369999999997</v>
      </c>
      <c r="H45" s="68">
        <v>0.92156859999999996</v>
      </c>
      <c r="I45" s="70">
        <f t="shared" si="2"/>
        <v>29</v>
      </c>
      <c r="J45" s="68">
        <v>0.43137254901960786</v>
      </c>
      <c r="K45" s="68">
        <v>0.56862745098039214</v>
      </c>
      <c r="L45" s="12" t="s">
        <v>291</v>
      </c>
      <c r="M45" s="12" t="s">
        <v>693</v>
      </c>
      <c r="N45" s="69">
        <v>1.8256499999999998</v>
      </c>
      <c r="O45" t="str">
        <f t="shared" si="3"/>
        <v>RM1</v>
      </c>
      <c r="P45" s="31">
        <f t="shared" si="4"/>
        <v>3</v>
      </c>
      <c r="Q45" s="31">
        <f t="shared" si="5"/>
        <v>1</v>
      </c>
      <c r="R45" s="31">
        <f t="shared" si="6"/>
        <v>2</v>
      </c>
      <c r="S45" s="31">
        <f t="shared" si="7"/>
        <v>2</v>
      </c>
      <c r="T45" s="53">
        <f>IF('AAA Summary'!$L$35=4, RANK(H45,H$8:H$82,1)+COUNTIF($H$8:H45,H45)-1, IF('AAA Summary'!$L$35=3, RANK(G45,G$8:G$82,1)+COUNTIF($G$8:G45,G45)-1, IF('AAA Summary'!$L$35=2, RANK(F45,F$8:F$82,1)+COUNTIF($F$8:F45,F45)-1, IF('AAA Summary'!$L$35=1, RANK(E45,E$8:E$82,1)+COUNTIF($E$8:E45,E45)-1))))</f>
        <v>37</v>
      </c>
      <c r="U45" s="40">
        <f>IF('AAA Summary'!$L$35=4, H45, IF('AAA Summary'!$L$35=3, G45, IF('AAA Summary'!$L$35=2, F45, IF('AAA Summary'!$L$35=1, E45))))</f>
        <v>0.96078430000000004</v>
      </c>
      <c r="V45">
        <f t="shared" si="8"/>
        <v>56</v>
      </c>
    </row>
    <row r="46" spans="1:22" x14ac:dyDescent="0.25">
      <c r="A46" t="s">
        <v>121</v>
      </c>
      <c r="B46" t="s">
        <v>122</v>
      </c>
      <c r="C46" s="12">
        <v>40</v>
      </c>
      <c r="D46" s="12">
        <v>24</v>
      </c>
      <c r="E46" s="68">
        <v>0.95</v>
      </c>
      <c r="F46" s="68">
        <v>1</v>
      </c>
      <c r="G46" s="68">
        <v>0.97297299999999998</v>
      </c>
      <c r="H46" s="68">
        <v>0.875</v>
      </c>
      <c r="I46" s="70">
        <f t="shared" si="2"/>
        <v>16</v>
      </c>
      <c r="J46" s="68">
        <v>0.6</v>
      </c>
      <c r="K46" s="68">
        <v>0.4</v>
      </c>
      <c r="L46" s="12" t="s">
        <v>286</v>
      </c>
      <c r="M46" s="12" t="s">
        <v>218</v>
      </c>
      <c r="N46" s="69">
        <v>2.8254999999999999</v>
      </c>
      <c r="O46" t="str">
        <f t="shared" si="3"/>
        <v>RVJ</v>
      </c>
      <c r="P46" s="31">
        <f t="shared" si="4"/>
        <v>2</v>
      </c>
      <c r="Q46" s="31">
        <f t="shared" si="5"/>
        <v>4</v>
      </c>
      <c r="R46" s="31">
        <f t="shared" si="6"/>
        <v>3</v>
      </c>
      <c r="S46" s="31">
        <f t="shared" si="7"/>
        <v>2</v>
      </c>
      <c r="T46" s="53">
        <f>IF('AAA Summary'!$L$35=4, RANK(H46,H$8:H$82,1)+COUNTIF($H$8:H46,H46)-1, IF('AAA Summary'!$L$35=3, RANK(G46,G$8:G$82,1)+COUNTIF($G$8:G46,G46)-1, IF('AAA Summary'!$L$35=2, RANK(F46,F$8:F$82,1)+COUNTIF($F$8:F46,F46)-1, IF('AAA Summary'!$L$35=1, RANK(E46,E$8:E$82,1)+COUNTIF($E$8:E46,E46)-1))))</f>
        <v>32</v>
      </c>
      <c r="U46" s="40">
        <f>IF('AAA Summary'!$L$35=4, H46, IF('AAA Summary'!$L$35=3, G46, IF('AAA Summary'!$L$35=2, F46, IF('AAA Summary'!$L$35=1, E46))))</f>
        <v>0.95</v>
      </c>
      <c r="V46">
        <f t="shared" si="8"/>
        <v>32</v>
      </c>
    </row>
    <row r="47" spans="1:22" x14ac:dyDescent="0.25">
      <c r="A47" t="s">
        <v>86</v>
      </c>
      <c r="B47" t="s">
        <v>694</v>
      </c>
      <c r="C47" s="12">
        <v>21</v>
      </c>
      <c r="D47" s="12">
        <v>10</v>
      </c>
      <c r="E47" s="68">
        <v>0.85714290000000004</v>
      </c>
      <c r="F47" s="68">
        <v>1</v>
      </c>
      <c r="G47" s="68">
        <v>0.9375</v>
      </c>
      <c r="H47" s="68">
        <v>0.76190480000000005</v>
      </c>
      <c r="I47" s="70">
        <f t="shared" si="2"/>
        <v>11</v>
      </c>
      <c r="J47" s="68">
        <v>0.47619047619047616</v>
      </c>
      <c r="K47" s="68">
        <v>0.52380952380952384</v>
      </c>
      <c r="L47" s="12" t="s">
        <v>291</v>
      </c>
      <c r="M47" s="12" t="s">
        <v>213</v>
      </c>
      <c r="N47" s="69">
        <v>1.9928399999999999</v>
      </c>
      <c r="O47" t="str">
        <f t="shared" si="3"/>
        <v>RNL</v>
      </c>
      <c r="P47" s="31">
        <f t="shared" si="4"/>
        <v>1</v>
      </c>
      <c r="Q47" s="31">
        <f t="shared" si="5"/>
        <v>4</v>
      </c>
      <c r="R47" s="31">
        <f t="shared" si="6"/>
        <v>2</v>
      </c>
      <c r="S47" s="31">
        <f t="shared" si="7"/>
        <v>1</v>
      </c>
      <c r="T47" s="53">
        <f>IF('AAA Summary'!$L$35=4, RANK(H47,H$8:H$82,1)+COUNTIF($H$8:H47,H47)-1, IF('AAA Summary'!$L$35=3, RANK(G47,G$8:G$82,1)+COUNTIF($G$8:G47,G47)-1, IF('AAA Summary'!$L$35=2, RANK(F47,F$8:F$82,1)+COUNTIF($F$8:F47,F47)-1, IF('AAA Summary'!$L$35=1, RANK(E47,E$8:E$82,1)+COUNTIF($E$8:E47,E47)-1))))</f>
        <v>17</v>
      </c>
      <c r="U47" s="40">
        <f>IF('AAA Summary'!$L$35=4, H47, IF('AAA Summary'!$L$35=3, G47, IF('AAA Summary'!$L$35=2, F47, IF('AAA Summary'!$L$35=1, E47))))</f>
        <v>0.85714290000000004</v>
      </c>
      <c r="V47">
        <f t="shared" si="8"/>
        <v>51</v>
      </c>
    </row>
    <row r="48" spans="1:22" x14ac:dyDescent="0.25">
      <c r="A48" t="s">
        <v>88</v>
      </c>
      <c r="B48" t="s">
        <v>89</v>
      </c>
      <c r="C48" s="12">
        <v>24</v>
      </c>
      <c r="D48" s="12">
        <v>18</v>
      </c>
      <c r="E48" s="68">
        <v>0.83333330000000005</v>
      </c>
      <c r="F48" s="68">
        <v>1</v>
      </c>
      <c r="G48" s="68">
        <v>0.82608689999999996</v>
      </c>
      <c r="H48" s="68">
        <v>0.79166669999999995</v>
      </c>
      <c r="I48" s="70">
        <f t="shared" si="2"/>
        <v>6</v>
      </c>
      <c r="J48" s="68">
        <v>0.75</v>
      </c>
      <c r="K48" s="68">
        <v>0.25</v>
      </c>
      <c r="L48" s="12" t="s">
        <v>286</v>
      </c>
      <c r="M48" s="12" t="s">
        <v>213</v>
      </c>
      <c r="N48" s="69">
        <v>4.3647200000000002</v>
      </c>
      <c r="O48" t="str">
        <f t="shared" si="3"/>
        <v>RNS</v>
      </c>
      <c r="P48" s="31">
        <f t="shared" si="4"/>
        <v>1</v>
      </c>
      <c r="Q48" s="31">
        <f t="shared" si="5"/>
        <v>4</v>
      </c>
      <c r="R48" s="31">
        <f t="shared" si="6"/>
        <v>1</v>
      </c>
      <c r="S48" s="31">
        <f t="shared" si="7"/>
        <v>1</v>
      </c>
      <c r="T48" s="53">
        <f>IF('AAA Summary'!$L$35=4, RANK(H48,H$8:H$82,1)+COUNTIF($H$8:H48,H48)-1, IF('AAA Summary'!$L$35=3, RANK(G48,G$8:G$82,1)+COUNTIF($G$8:G48,G48)-1, IF('AAA Summary'!$L$35=2, RANK(F48,F$8:F$82,1)+COUNTIF($F$8:F48,F48)-1, IF('AAA Summary'!$L$35=1, RANK(E48,E$8:E$82,1)+COUNTIF($E$8:E48,E48)-1))))</f>
        <v>15</v>
      </c>
      <c r="U48" s="40">
        <f>IF('AAA Summary'!$L$35=4, H48, IF('AAA Summary'!$L$35=3, G48, IF('AAA Summary'!$L$35=2, F48, IF('AAA Summary'!$L$35=1, E48))))</f>
        <v>0.83333330000000005</v>
      </c>
      <c r="V48">
        <f t="shared" si="8"/>
        <v>18</v>
      </c>
    </row>
    <row r="49" spans="1:22" x14ac:dyDescent="0.25">
      <c r="A49" t="s">
        <v>141</v>
      </c>
      <c r="B49" t="s">
        <v>142</v>
      </c>
      <c r="C49" s="12">
        <v>42</v>
      </c>
      <c r="D49" s="12">
        <v>21</v>
      </c>
      <c r="E49" s="68">
        <v>0.66666669999999995</v>
      </c>
      <c r="F49" s="68">
        <v>0.97619040000000001</v>
      </c>
      <c r="G49" s="68">
        <v>0.68421050000000005</v>
      </c>
      <c r="H49" s="68">
        <v>0.66666669999999995</v>
      </c>
      <c r="I49" s="70">
        <f t="shared" si="2"/>
        <v>21</v>
      </c>
      <c r="J49" s="68">
        <v>0.5</v>
      </c>
      <c r="K49" s="68">
        <v>0.5</v>
      </c>
      <c r="L49" s="12" t="s">
        <v>284</v>
      </c>
      <c r="M49" s="12" t="s">
        <v>439</v>
      </c>
      <c r="N49" s="69">
        <v>1.99312</v>
      </c>
      <c r="O49" t="str">
        <f t="shared" si="3"/>
        <v>RX1</v>
      </c>
      <c r="P49" s="31">
        <f t="shared" si="4"/>
        <v>1</v>
      </c>
      <c r="Q49" s="31">
        <f t="shared" si="5"/>
        <v>2</v>
      </c>
      <c r="R49" s="31">
        <f t="shared" si="6"/>
        <v>1</v>
      </c>
      <c r="S49" s="31">
        <f t="shared" si="7"/>
        <v>1</v>
      </c>
      <c r="T49" s="53">
        <f>IF('AAA Summary'!$L$35=4, RANK(H49,H$8:H$82,1)+COUNTIF($H$8:H49,H49)-1, IF('AAA Summary'!$L$35=3, RANK(G49,G$8:G$82,1)+COUNTIF($G$8:G49,G49)-1, IF('AAA Summary'!$L$35=2, RANK(F49,F$8:F$82,1)+COUNTIF($F$8:F49,F49)-1, IF('AAA Summary'!$L$35=1, RANK(E49,E$8:E$82,1)+COUNTIF($E$8:E49,E49)-1))))</f>
        <v>6</v>
      </c>
      <c r="U49" s="40">
        <f>IF('AAA Summary'!$L$35=4, H49, IF('AAA Summary'!$L$35=3, G49, IF('AAA Summary'!$L$35=2, F49, IF('AAA Summary'!$L$35=1, E49))))</f>
        <v>0.66666669999999995</v>
      </c>
      <c r="V49">
        <f t="shared" si="8"/>
        <v>48</v>
      </c>
    </row>
    <row r="50" spans="1:22" x14ac:dyDescent="0.25">
      <c r="A50" t="s">
        <v>115</v>
      </c>
      <c r="B50" t="s">
        <v>424</v>
      </c>
      <c r="C50" s="12">
        <v>45</v>
      </c>
      <c r="D50" s="12">
        <v>17</v>
      </c>
      <c r="E50" s="68">
        <v>0.95555559999999995</v>
      </c>
      <c r="F50" s="68">
        <v>1</v>
      </c>
      <c r="G50" s="68">
        <v>0.95238100000000003</v>
      </c>
      <c r="H50" s="68">
        <v>0.93333330000000003</v>
      </c>
      <c r="I50" s="70">
        <f t="shared" si="2"/>
        <v>28</v>
      </c>
      <c r="J50" s="68">
        <v>0.37777777777777777</v>
      </c>
      <c r="K50" s="68">
        <v>0.62222222222222223</v>
      </c>
      <c r="L50" s="12" t="s">
        <v>284</v>
      </c>
      <c r="M50" s="12" t="s">
        <v>314</v>
      </c>
      <c r="N50" s="69">
        <v>0</v>
      </c>
      <c r="O50" t="str">
        <f t="shared" si="3"/>
        <v>RTH</v>
      </c>
      <c r="P50" s="31">
        <f t="shared" si="4"/>
        <v>2</v>
      </c>
      <c r="Q50" s="31">
        <f t="shared" si="5"/>
        <v>4</v>
      </c>
      <c r="R50" s="31">
        <f t="shared" si="6"/>
        <v>2</v>
      </c>
      <c r="S50" s="31">
        <f t="shared" si="7"/>
        <v>3</v>
      </c>
      <c r="T50" s="53">
        <f>IF('AAA Summary'!$L$35=4, RANK(H50,H$8:H$82,1)+COUNTIF($H$8:H50,H50)-1, IF('AAA Summary'!$L$35=3, RANK(G50,G$8:G$82,1)+COUNTIF($G$8:G50,G50)-1, IF('AAA Summary'!$L$35=2, RANK(F50,F$8:F$82,1)+COUNTIF($F$8:F50,F50)-1, IF('AAA Summary'!$L$35=1, RANK(E50,E$8:E$82,1)+COUNTIF($E$8:E50,E50)-1))))</f>
        <v>33</v>
      </c>
      <c r="U50" s="40">
        <f>IF('AAA Summary'!$L$35=4, H50, IF('AAA Summary'!$L$35=3, G50, IF('AAA Summary'!$L$35=2, F50, IF('AAA Summary'!$L$35=1, E50))))</f>
        <v>0.95555559999999995</v>
      </c>
      <c r="V50">
        <f t="shared" si="8"/>
        <v>61</v>
      </c>
    </row>
    <row r="51" spans="1:22" x14ac:dyDescent="0.25">
      <c r="A51" t="s">
        <v>125</v>
      </c>
      <c r="B51" t="s">
        <v>126</v>
      </c>
      <c r="C51" s="12">
        <v>45</v>
      </c>
      <c r="D51" s="12">
        <v>35</v>
      </c>
      <c r="E51" s="68">
        <v>1</v>
      </c>
      <c r="F51" s="68">
        <v>1</v>
      </c>
      <c r="G51" s="68">
        <v>1</v>
      </c>
      <c r="H51" s="68">
        <v>1</v>
      </c>
      <c r="I51" s="70">
        <f t="shared" si="2"/>
        <v>10</v>
      </c>
      <c r="J51" s="68">
        <v>0.77777777777777779</v>
      </c>
      <c r="K51" s="68">
        <v>0.22222222222222221</v>
      </c>
      <c r="L51" s="12" t="s">
        <v>221</v>
      </c>
      <c r="M51" s="12" t="s">
        <v>315</v>
      </c>
      <c r="N51" s="69">
        <v>0.59163999999999994</v>
      </c>
      <c r="O51" t="str">
        <f t="shared" si="3"/>
        <v>RW6</v>
      </c>
      <c r="P51" s="31">
        <f t="shared" si="4"/>
        <v>4</v>
      </c>
      <c r="Q51" s="31">
        <f t="shared" si="5"/>
        <v>4</v>
      </c>
      <c r="R51" s="31">
        <f t="shared" si="6"/>
        <v>4</v>
      </c>
      <c r="S51" s="31">
        <f t="shared" si="7"/>
        <v>4</v>
      </c>
      <c r="T51" s="53">
        <f>IF('AAA Summary'!$L$35=4, RANK(H51,H$8:H$82,1)+COUNTIF($H$8:H51,H51)-1, IF('AAA Summary'!$L$35=3, RANK(G51,G$8:G$82,1)+COUNTIF($G$8:G51,G51)-1, IF('AAA Summary'!$L$35=2, RANK(F51,F$8:F$82,1)+COUNTIF($F$8:F51,F51)-1, IF('AAA Summary'!$L$35=1, RANK(E51,E$8:E$82,1)+COUNTIF($E$8:E51,E51)-1))))</f>
        <v>62</v>
      </c>
      <c r="U51" s="40">
        <f>IF('AAA Summary'!$L$35=4, H51, IF('AAA Summary'!$L$35=3, G51, IF('AAA Summary'!$L$35=2, F51, IF('AAA Summary'!$L$35=1, E51))))</f>
        <v>1</v>
      </c>
      <c r="V51">
        <f t="shared" si="8"/>
        <v>14</v>
      </c>
    </row>
    <row r="52" spans="1:22" x14ac:dyDescent="0.25">
      <c r="A52" t="s">
        <v>98</v>
      </c>
      <c r="B52" t="s">
        <v>99</v>
      </c>
      <c r="C52" s="12">
        <v>11</v>
      </c>
      <c r="D52" s="12">
        <v>6</v>
      </c>
      <c r="E52" s="68">
        <v>1</v>
      </c>
      <c r="F52" s="68">
        <v>0.90909090000000004</v>
      </c>
      <c r="G52" s="68">
        <v>1</v>
      </c>
      <c r="H52" s="68">
        <v>1</v>
      </c>
      <c r="I52" s="70">
        <f t="shared" si="2"/>
        <v>5</v>
      </c>
      <c r="J52" s="68">
        <v>0.54545454545454541</v>
      </c>
      <c r="K52" s="68">
        <v>0.45454545454545453</v>
      </c>
      <c r="L52" s="12" t="s">
        <v>276</v>
      </c>
      <c r="M52" s="12" t="s">
        <v>695</v>
      </c>
      <c r="N52" s="69">
        <v>0</v>
      </c>
      <c r="O52" t="str">
        <f t="shared" si="3"/>
        <v>RQW</v>
      </c>
      <c r="P52" s="31">
        <f t="shared" si="4"/>
        <v>4</v>
      </c>
      <c r="Q52" s="31">
        <f t="shared" si="5"/>
        <v>1</v>
      </c>
      <c r="R52" s="31">
        <f t="shared" si="6"/>
        <v>4</v>
      </c>
      <c r="S52" s="31">
        <f t="shared" si="7"/>
        <v>4</v>
      </c>
      <c r="T52" s="53">
        <f>IF('AAA Summary'!$L$35=4, RANK(H52,H$8:H$82,1)+COUNTIF($H$8:H52,H52)-1, IF('AAA Summary'!$L$35=3, RANK(G52,G$8:G$82,1)+COUNTIF($G$8:G52,G52)-1, IF('AAA Summary'!$L$35=2, RANK(F52,F$8:F$82,1)+COUNTIF($F$8:F52,F52)-1, IF('AAA Summary'!$L$35=1, RANK(E52,E$8:E$82,1)+COUNTIF($E$8:E52,E52)-1))))</f>
        <v>63</v>
      </c>
      <c r="U52" s="40">
        <f>IF('AAA Summary'!$L$35=4, H52, IF('AAA Summary'!$L$35=3, G52, IF('AAA Summary'!$L$35=2, F52, IF('AAA Summary'!$L$35=1, E52))))</f>
        <v>1</v>
      </c>
      <c r="V52">
        <f t="shared" si="8"/>
        <v>43</v>
      </c>
    </row>
    <row r="53" spans="1:22" x14ac:dyDescent="0.25">
      <c r="A53" t="s">
        <v>108</v>
      </c>
      <c r="B53" t="s">
        <v>109</v>
      </c>
      <c r="C53" s="12" t="s">
        <v>345</v>
      </c>
      <c r="D53" s="12" t="s">
        <v>345</v>
      </c>
      <c r="E53" s="68">
        <v>1</v>
      </c>
      <c r="F53" s="68">
        <v>1</v>
      </c>
      <c r="G53" s="68">
        <v>1</v>
      </c>
      <c r="H53" s="68">
        <v>1</v>
      </c>
      <c r="I53" s="70" t="e">
        <f t="shared" si="2"/>
        <v>#VALUE!</v>
      </c>
      <c r="J53" s="68">
        <v>1</v>
      </c>
      <c r="K53" s="68">
        <v>0</v>
      </c>
      <c r="L53" s="12" t="s">
        <v>346</v>
      </c>
      <c r="M53" s="12" t="s">
        <v>335</v>
      </c>
      <c r="N53" s="69">
        <v>0</v>
      </c>
      <c r="O53" t="str">
        <f t="shared" si="3"/>
        <v>RT3</v>
      </c>
      <c r="P53" s="31">
        <f t="shared" si="4"/>
        <v>4</v>
      </c>
      <c r="Q53" s="31">
        <f t="shared" si="5"/>
        <v>4</v>
      </c>
      <c r="R53" s="31">
        <f t="shared" si="6"/>
        <v>4</v>
      </c>
      <c r="S53" s="31">
        <f t="shared" si="7"/>
        <v>4</v>
      </c>
      <c r="T53" s="53">
        <f>IF('AAA Summary'!$L$35=4, RANK(H53,H$8:H$82,1)+COUNTIF($H$8:H53,H53)-1, IF('AAA Summary'!$L$35=3, RANK(G53,G$8:G$82,1)+COUNTIF($G$8:G53,G53)-1, IF('AAA Summary'!$L$35=2, RANK(F53,F$8:F$82,1)+COUNTIF($F$8:F53,F53)-1, IF('AAA Summary'!$L$35=1, RANK(E53,E$8:E$82,1)+COUNTIF($E$8:E53,E53)-1))))</f>
        <v>64</v>
      </c>
      <c r="U53" s="40">
        <f>IF('AAA Summary'!$L$35=4, H53, IF('AAA Summary'!$L$35=3, G53, IF('AAA Summary'!$L$35=2, F53, IF('AAA Summary'!$L$35=1, E53))))</f>
        <v>1</v>
      </c>
      <c r="V53">
        <f t="shared" si="8"/>
        <v>1</v>
      </c>
    </row>
    <row r="54" spans="1:22" x14ac:dyDescent="0.25">
      <c r="A54" t="s">
        <v>42</v>
      </c>
      <c r="B54" t="s">
        <v>43</v>
      </c>
      <c r="C54" s="12">
        <v>13</v>
      </c>
      <c r="D54" s="12">
        <v>7</v>
      </c>
      <c r="E54" s="68">
        <v>0.92307689999999998</v>
      </c>
      <c r="F54" s="68">
        <v>1</v>
      </c>
      <c r="G54" s="68">
        <v>0.90909090000000004</v>
      </c>
      <c r="H54" s="68">
        <v>0.92307689999999998</v>
      </c>
      <c r="I54" s="70">
        <f t="shared" si="2"/>
        <v>6</v>
      </c>
      <c r="J54" s="68">
        <v>0.53846153846153844</v>
      </c>
      <c r="K54" s="68">
        <v>0.46153846153846156</v>
      </c>
      <c r="L54" s="12" t="s">
        <v>263</v>
      </c>
      <c r="M54" s="12" t="s">
        <v>687</v>
      </c>
      <c r="N54" s="69">
        <v>0</v>
      </c>
      <c r="O54" t="str">
        <f t="shared" si="3"/>
        <v>REF</v>
      </c>
      <c r="P54" s="31">
        <f t="shared" si="4"/>
        <v>2</v>
      </c>
      <c r="Q54" s="31">
        <f t="shared" si="5"/>
        <v>4</v>
      </c>
      <c r="R54" s="31">
        <f t="shared" si="6"/>
        <v>2</v>
      </c>
      <c r="S54" s="31">
        <f t="shared" si="7"/>
        <v>3</v>
      </c>
      <c r="T54" s="53">
        <f>IF('AAA Summary'!$L$35=4, RANK(H54,H$8:H$82,1)+COUNTIF($H$8:H54,H54)-1, IF('AAA Summary'!$L$35=3, RANK(G54,G$8:G$82,1)+COUNTIF($G$8:G54,G54)-1, IF('AAA Summary'!$L$35=2, RANK(F54,F$8:F$82,1)+COUNTIF($F$8:F54,F54)-1, IF('AAA Summary'!$L$35=1, RANK(E54,E$8:E$82,1)+COUNTIF($E$8:E54,E54)-1))))</f>
        <v>25</v>
      </c>
      <c r="U54" s="40">
        <f>IF('AAA Summary'!$L$35=4, H54, IF('AAA Summary'!$L$35=3, G54, IF('AAA Summary'!$L$35=2, F54, IF('AAA Summary'!$L$35=1, E54))))</f>
        <v>0.92307689999999998</v>
      </c>
      <c r="V54">
        <f t="shared" si="8"/>
        <v>45</v>
      </c>
    </row>
    <row r="55" spans="1:22" x14ac:dyDescent="0.25">
      <c r="A55" t="s">
        <v>53</v>
      </c>
      <c r="B55" t="s">
        <v>54</v>
      </c>
      <c r="C55" s="12">
        <v>33</v>
      </c>
      <c r="D55" s="12">
        <v>7</v>
      </c>
      <c r="E55" s="68">
        <v>1</v>
      </c>
      <c r="F55" s="68">
        <v>0.96969700000000003</v>
      </c>
      <c r="G55" s="68">
        <v>1</v>
      </c>
      <c r="H55" s="68">
        <v>0.96969700000000003</v>
      </c>
      <c r="I55" s="70">
        <f t="shared" si="2"/>
        <v>26</v>
      </c>
      <c r="J55" s="68">
        <v>0.21212121212121213</v>
      </c>
      <c r="K55" s="68">
        <v>0.78787878787878785</v>
      </c>
      <c r="L55" s="12" t="s">
        <v>263</v>
      </c>
      <c r="M55" s="12" t="s">
        <v>394</v>
      </c>
      <c r="N55" s="69">
        <v>3.7597300000000002</v>
      </c>
      <c r="O55" t="str">
        <f t="shared" si="3"/>
        <v>RH8</v>
      </c>
      <c r="P55" s="31">
        <f t="shared" si="4"/>
        <v>4</v>
      </c>
      <c r="Q55" s="31">
        <f t="shared" si="5"/>
        <v>2</v>
      </c>
      <c r="R55" s="31">
        <f t="shared" si="6"/>
        <v>4</v>
      </c>
      <c r="S55" s="31">
        <f t="shared" si="7"/>
        <v>3</v>
      </c>
      <c r="T55" s="53">
        <f>IF('AAA Summary'!$L$35=4, RANK(H55,H$8:H$82,1)+COUNTIF($H$8:H55,H55)-1, IF('AAA Summary'!$L$35=3, RANK(G55,G$8:G$82,1)+COUNTIF($G$8:G55,G55)-1, IF('AAA Summary'!$L$35=2, RANK(F55,F$8:F$82,1)+COUNTIF($F$8:F55,F55)-1, IF('AAA Summary'!$L$35=1, RANK(E55,E$8:E$82,1)+COUNTIF($E$8:E55,E55)-1))))</f>
        <v>65</v>
      </c>
      <c r="U55" s="40">
        <f>IF('AAA Summary'!$L$35=4, H55, IF('AAA Summary'!$L$35=3, G55, IF('AAA Summary'!$L$35=2, F55, IF('AAA Summary'!$L$35=1, E55))))</f>
        <v>1</v>
      </c>
      <c r="V55">
        <f t="shared" si="8"/>
        <v>66</v>
      </c>
    </row>
    <row r="56" spans="1:22" x14ac:dyDescent="0.25">
      <c r="A56" t="s">
        <v>21</v>
      </c>
      <c r="B56" t="s">
        <v>22</v>
      </c>
      <c r="C56" s="12">
        <v>30</v>
      </c>
      <c r="D56" s="12">
        <v>18</v>
      </c>
      <c r="E56" s="68">
        <v>0.56666669999999997</v>
      </c>
      <c r="F56" s="68">
        <v>0.96666660000000004</v>
      </c>
      <c r="G56" s="68">
        <v>0.61904760000000003</v>
      </c>
      <c r="H56" s="68">
        <v>0.46666669999999999</v>
      </c>
      <c r="I56" s="70">
        <f t="shared" si="2"/>
        <v>12</v>
      </c>
      <c r="J56" s="68">
        <v>0.6</v>
      </c>
      <c r="K56" s="68">
        <v>0.4</v>
      </c>
      <c r="L56" s="12" t="s">
        <v>270</v>
      </c>
      <c r="M56" s="12" t="s">
        <v>213</v>
      </c>
      <c r="N56" s="69">
        <v>0</v>
      </c>
      <c r="O56" t="str">
        <f t="shared" si="3"/>
        <v>RAL</v>
      </c>
      <c r="P56" s="31">
        <f t="shared" si="4"/>
        <v>1</v>
      </c>
      <c r="Q56" s="31">
        <f t="shared" si="5"/>
        <v>2</v>
      </c>
      <c r="R56" s="31">
        <f t="shared" si="6"/>
        <v>1</v>
      </c>
      <c r="S56" s="31">
        <f t="shared" si="7"/>
        <v>1</v>
      </c>
      <c r="T56" s="53">
        <f>IF('AAA Summary'!$L$35=4, RANK(H56,H$8:H$82,1)+COUNTIF($H$8:H56,H56)-1, IF('AAA Summary'!$L$35=3, RANK(G56,G$8:G$82,1)+COUNTIF($G$8:G56,G56)-1, IF('AAA Summary'!$L$35=2, RANK(F56,F$8:F$82,1)+COUNTIF($F$8:F56,F56)-1, IF('AAA Summary'!$L$35=1, RANK(E56,E$8:E$82,1)+COUNTIF($E$8:E56,E56)-1))))</f>
        <v>2</v>
      </c>
      <c r="U56" s="40">
        <f>IF('AAA Summary'!$L$35=4, H56, IF('AAA Summary'!$L$35=3, G56, IF('AAA Summary'!$L$35=2, F56, IF('AAA Summary'!$L$35=1, E56))))</f>
        <v>0.56666669999999997</v>
      </c>
      <c r="V56">
        <f t="shared" si="8"/>
        <v>32</v>
      </c>
    </row>
    <row r="57" spans="1:22" x14ac:dyDescent="0.25">
      <c r="A57" t="s">
        <v>57</v>
      </c>
      <c r="B57" t="s">
        <v>58</v>
      </c>
      <c r="C57" s="12">
        <v>36</v>
      </c>
      <c r="D57" s="12">
        <v>15</v>
      </c>
      <c r="E57" s="68">
        <v>0.80555560000000004</v>
      </c>
      <c r="F57" s="68">
        <v>1</v>
      </c>
      <c r="G57" s="68">
        <v>0.84848489999999999</v>
      </c>
      <c r="H57" s="68">
        <v>0.75</v>
      </c>
      <c r="I57" s="70">
        <f t="shared" si="2"/>
        <v>21</v>
      </c>
      <c r="J57" s="68">
        <v>0.41666666666666669</v>
      </c>
      <c r="K57" s="68">
        <v>0.58333333333333337</v>
      </c>
      <c r="L57" s="12" t="s">
        <v>286</v>
      </c>
      <c r="M57" s="12" t="s">
        <v>575</v>
      </c>
      <c r="N57" s="69">
        <v>1.6870199999999997</v>
      </c>
      <c r="O57" t="str">
        <f t="shared" si="3"/>
        <v>RHQ</v>
      </c>
      <c r="P57" s="31">
        <f t="shared" si="4"/>
        <v>1</v>
      </c>
      <c r="Q57" s="31">
        <f t="shared" si="5"/>
        <v>4</v>
      </c>
      <c r="R57" s="31">
        <f t="shared" si="6"/>
        <v>1</v>
      </c>
      <c r="S57" s="31">
        <f t="shared" si="7"/>
        <v>1</v>
      </c>
      <c r="T57" s="53">
        <f>IF('AAA Summary'!$L$35=4, RANK(H57,H$8:H$82,1)+COUNTIF($H$8:H57,H57)-1, IF('AAA Summary'!$L$35=3, RANK(G57,G$8:G$82,1)+COUNTIF($G$8:G57,G57)-1, IF('AAA Summary'!$L$35=2, RANK(F57,F$8:F$82,1)+COUNTIF($F$8:F57,F57)-1, IF('AAA Summary'!$L$35=1, RANK(E57,E$8:E$82,1)+COUNTIF($E$8:E57,E57)-1))))</f>
        <v>13</v>
      </c>
      <c r="U57" s="40">
        <f>IF('AAA Summary'!$L$35=4, H57, IF('AAA Summary'!$L$35=3, G57, IF('AAA Summary'!$L$35=2, F57, IF('AAA Summary'!$L$35=1, E57))))</f>
        <v>0.80555560000000004</v>
      </c>
      <c r="V57">
        <f t="shared" si="8"/>
        <v>57</v>
      </c>
    </row>
    <row r="58" spans="1:22" x14ac:dyDescent="0.25">
      <c r="A58" t="s">
        <v>151</v>
      </c>
      <c r="B58" t="s">
        <v>152</v>
      </c>
      <c r="C58" s="12">
        <v>25</v>
      </c>
      <c r="D58" s="12">
        <v>16</v>
      </c>
      <c r="E58" s="68">
        <v>0.88</v>
      </c>
      <c r="F58" s="68">
        <v>1</v>
      </c>
      <c r="G58" s="68">
        <v>0.86956520000000004</v>
      </c>
      <c r="H58" s="68">
        <v>0.8</v>
      </c>
      <c r="I58" s="70">
        <f t="shared" si="2"/>
        <v>9</v>
      </c>
      <c r="J58" s="68">
        <v>0.64</v>
      </c>
      <c r="K58" s="68">
        <v>0.36</v>
      </c>
      <c r="L58" s="12" t="s">
        <v>304</v>
      </c>
      <c r="M58" s="12" t="s">
        <v>391</v>
      </c>
      <c r="N58" s="69">
        <v>0</v>
      </c>
      <c r="O58" t="str">
        <f t="shared" si="3"/>
        <v>RXW</v>
      </c>
      <c r="P58" s="31">
        <f t="shared" si="4"/>
        <v>2</v>
      </c>
      <c r="Q58" s="31">
        <f t="shared" si="5"/>
        <v>4</v>
      </c>
      <c r="R58" s="31">
        <f t="shared" si="6"/>
        <v>1</v>
      </c>
      <c r="S58" s="31">
        <f t="shared" si="7"/>
        <v>1</v>
      </c>
      <c r="T58" s="53">
        <f>IF('AAA Summary'!$L$35=4, RANK(H58,H$8:H$82,1)+COUNTIF($H$8:H58,H58)-1, IF('AAA Summary'!$L$35=3, RANK(G58,G$8:G$82,1)+COUNTIF($G$8:G58,G58)-1, IF('AAA Summary'!$L$35=2, RANK(F58,F$8:F$82,1)+COUNTIF($F$8:F58,F58)-1, IF('AAA Summary'!$L$35=1, RANK(E58,E$8:E$82,1)+COUNTIF($E$8:E58,E58)-1))))</f>
        <v>21</v>
      </c>
      <c r="U58" s="40">
        <f>IF('AAA Summary'!$L$35=4, H58, IF('AAA Summary'!$L$35=3, G58, IF('AAA Summary'!$L$35=2, F58, IF('AAA Summary'!$L$35=1, E58))))</f>
        <v>0.88</v>
      </c>
      <c r="V58">
        <f t="shared" si="8"/>
        <v>27</v>
      </c>
    </row>
    <row r="59" spans="1:22" x14ac:dyDescent="0.25">
      <c r="A59" t="s">
        <v>689</v>
      </c>
      <c r="B59" t="s">
        <v>690</v>
      </c>
      <c r="C59" s="12">
        <v>41</v>
      </c>
      <c r="D59" s="12">
        <v>25</v>
      </c>
      <c r="E59" s="68">
        <v>0.97560979999999997</v>
      </c>
      <c r="F59" s="68">
        <v>1</v>
      </c>
      <c r="G59" s="68">
        <v>0.9736842</v>
      </c>
      <c r="H59" s="68">
        <v>0.9512195</v>
      </c>
      <c r="I59" s="70">
        <f t="shared" si="2"/>
        <v>16</v>
      </c>
      <c r="J59" s="68">
        <v>0.6097560975609756</v>
      </c>
      <c r="K59" s="68">
        <v>0.3902439024390244</v>
      </c>
      <c r="L59" s="12" t="s">
        <v>286</v>
      </c>
      <c r="M59" s="12" t="s">
        <v>314</v>
      </c>
      <c r="N59" s="69">
        <v>1.2514099999999999</v>
      </c>
      <c r="O59" t="str">
        <f t="shared" si="3"/>
        <v>RH5</v>
      </c>
      <c r="P59" s="31">
        <f t="shared" si="4"/>
        <v>3</v>
      </c>
      <c r="Q59" s="31">
        <f t="shared" si="5"/>
        <v>4</v>
      </c>
      <c r="R59" s="31">
        <f t="shared" si="6"/>
        <v>3</v>
      </c>
      <c r="S59" s="31">
        <f t="shared" si="7"/>
        <v>3</v>
      </c>
      <c r="T59" s="53">
        <f>IF('AAA Summary'!$L$35=4, RANK(H59,H$8:H$82,1)+COUNTIF($H$8:H59,H59)-1, IF('AAA Summary'!$L$35=3, RANK(G59,G$8:G$82,1)+COUNTIF($G$8:G59,G59)-1, IF('AAA Summary'!$L$35=2, RANK(F59,F$8:F$82,1)+COUNTIF($F$8:F59,F59)-1, IF('AAA Summary'!$L$35=1, RANK(E59,E$8:E$82,1)+COUNTIF($E$8:E59,E59)-1))))</f>
        <v>43</v>
      </c>
      <c r="U59" s="40">
        <f>IF('AAA Summary'!$L$35=4, H59, IF('AAA Summary'!$L$35=3, G59, IF('AAA Summary'!$L$35=2, F59, IF('AAA Summary'!$L$35=1, E59))))</f>
        <v>0.97560979999999997</v>
      </c>
      <c r="V59">
        <f t="shared" si="8"/>
        <v>30</v>
      </c>
    </row>
    <row r="60" spans="1:22" x14ac:dyDescent="0.25">
      <c r="A60" t="s">
        <v>119</v>
      </c>
      <c r="B60" t="s">
        <v>120</v>
      </c>
      <c r="C60" s="12">
        <v>23</v>
      </c>
      <c r="D60" s="12">
        <v>14</v>
      </c>
      <c r="E60" s="68">
        <v>0.95652170000000003</v>
      </c>
      <c r="F60" s="68">
        <v>0.95652170000000003</v>
      </c>
      <c r="G60" s="68">
        <v>0.95238100000000003</v>
      </c>
      <c r="H60" s="68">
        <v>1</v>
      </c>
      <c r="I60" s="70">
        <f t="shared" si="2"/>
        <v>9</v>
      </c>
      <c r="J60" s="68">
        <v>0.60869565217391308</v>
      </c>
      <c r="K60" s="68">
        <v>0.39130434782608697</v>
      </c>
      <c r="L60" s="12" t="s">
        <v>286</v>
      </c>
      <c r="M60" s="12" t="s">
        <v>303</v>
      </c>
      <c r="N60" s="69">
        <v>0.86736000000000002</v>
      </c>
      <c r="O60" t="str">
        <f t="shared" si="3"/>
        <v>RTR</v>
      </c>
      <c r="P60" s="31">
        <f t="shared" si="4"/>
        <v>2</v>
      </c>
      <c r="Q60" s="31">
        <f t="shared" si="5"/>
        <v>1</v>
      </c>
      <c r="R60" s="31">
        <f t="shared" si="6"/>
        <v>2</v>
      </c>
      <c r="S60" s="31">
        <f t="shared" si="7"/>
        <v>4</v>
      </c>
      <c r="T60" s="53">
        <f>IF('AAA Summary'!$L$35=4, RANK(H60,H$8:H$82,1)+COUNTIF($H$8:H60,H60)-1, IF('AAA Summary'!$L$35=3, RANK(G60,G$8:G$82,1)+COUNTIF($G$8:G60,G60)-1, IF('AAA Summary'!$L$35=2, RANK(F60,F$8:F$82,1)+COUNTIF($F$8:F60,F60)-1, IF('AAA Summary'!$L$35=1, RANK(E60,E$8:E$82,1)+COUNTIF($E$8:E60,E60)-1))))</f>
        <v>34</v>
      </c>
      <c r="U60" s="40">
        <f>IF('AAA Summary'!$L$35=4, H60, IF('AAA Summary'!$L$35=3, G60, IF('AAA Summary'!$L$35=2, F60, IF('AAA Summary'!$L$35=1, E60))))</f>
        <v>0.95652170000000003</v>
      </c>
      <c r="V60">
        <f t="shared" si="8"/>
        <v>31</v>
      </c>
    </row>
    <row r="61" spans="1:22" x14ac:dyDescent="0.25">
      <c r="A61" t="s">
        <v>674</v>
      </c>
      <c r="B61" t="s">
        <v>675</v>
      </c>
      <c r="C61" s="12">
        <v>39</v>
      </c>
      <c r="D61" s="12">
        <v>31</v>
      </c>
      <c r="E61" s="68">
        <v>0.97435899999999998</v>
      </c>
      <c r="F61" s="68">
        <v>0.97435899999999998</v>
      </c>
      <c r="G61" s="68">
        <v>0.9736842</v>
      </c>
      <c r="H61" s="68">
        <v>0.92307689999999998</v>
      </c>
      <c r="I61" s="70">
        <f t="shared" si="2"/>
        <v>8</v>
      </c>
      <c r="J61" s="68">
        <v>0.79487179487179482</v>
      </c>
      <c r="K61" s="68">
        <v>0.20512820512820512</v>
      </c>
      <c r="L61" s="12" t="s">
        <v>284</v>
      </c>
      <c r="M61" s="12" t="s">
        <v>676</v>
      </c>
      <c r="N61" s="69">
        <v>1.6600899999999998</v>
      </c>
      <c r="O61" t="str">
        <f t="shared" si="3"/>
        <v>R0B</v>
      </c>
      <c r="P61" s="31">
        <f t="shared" si="4"/>
        <v>3</v>
      </c>
      <c r="Q61" s="31">
        <f t="shared" si="5"/>
        <v>2</v>
      </c>
      <c r="R61" s="31">
        <f t="shared" si="6"/>
        <v>3</v>
      </c>
      <c r="S61" s="31">
        <f t="shared" si="7"/>
        <v>3</v>
      </c>
      <c r="T61" s="53">
        <f>IF('AAA Summary'!$L$35=4, RANK(H61,H$8:H$82,1)+COUNTIF($H$8:H61,H61)-1, IF('AAA Summary'!$L$35=3, RANK(G61,G$8:G$82,1)+COUNTIF($G$8:G61,G61)-1, IF('AAA Summary'!$L$35=2, RANK(F61,F$8:F$82,1)+COUNTIF($F$8:F61,F61)-1, IF('AAA Summary'!$L$35=1, RANK(E61,E$8:E$82,1)+COUNTIF($E$8:E61,E61)-1))))</f>
        <v>42</v>
      </c>
      <c r="U61" s="40">
        <f>IF('AAA Summary'!$L$35=4, H61, IF('AAA Summary'!$L$35=3, G61, IF('AAA Summary'!$L$35=2, F61, IF('AAA Summary'!$L$35=1, E61))))</f>
        <v>0.97435899999999998</v>
      </c>
      <c r="V61">
        <f t="shared" si="8"/>
        <v>12</v>
      </c>
    </row>
    <row r="62" spans="1:22" x14ac:dyDescent="0.25">
      <c r="A62" t="s">
        <v>65</v>
      </c>
      <c r="B62" t="s">
        <v>66</v>
      </c>
      <c r="C62" s="12">
        <v>41</v>
      </c>
      <c r="D62" s="12">
        <v>36</v>
      </c>
      <c r="E62" s="68">
        <v>0.82926829999999996</v>
      </c>
      <c r="F62" s="68">
        <v>1</v>
      </c>
      <c r="G62" s="68">
        <v>0.88888889999999998</v>
      </c>
      <c r="H62" s="68">
        <v>0.82926829999999996</v>
      </c>
      <c r="I62" s="70">
        <f t="shared" si="2"/>
        <v>5</v>
      </c>
      <c r="J62" s="68">
        <v>0.87804878048780488</v>
      </c>
      <c r="K62" s="68">
        <v>0.12195121951219512</v>
      </c>
      <c r="L62" s="12" t="s">
        <v>284</v>
      </c>
      <c r="M62" s="12" t="s">
        <v>692</v>
      </c>
      <c r="N62" s="69">
        <v>0</v>
      </c>
      <c r="O62" t="str">
        <f t="shared" si="3"/>
        <v>RJ7</v>
      </c>
      <c r="P62" s="31">
        <f t="shared" si="4"/>
        <v>1</v>
      </c>
      <c r="Q62" s="31">
        <f t="shared" si="5"/>
        <v>4</v>
      </c>
      <c r="R62" s="31">
        <f t="shared" si="6"/>
        <v>2</v>
      </c>
      <c r="S62" s="31">
        <f t="shared" si="7"/>
        <v>2</v>
      </c>
      <c r="T62" s="53">
        <f>IF('AAA Summary'!$L$35=4, RANK(H62,H$8:H$82,1)+COUNTIF($H$8:H62,H62)-1, IF('AAA Summary'!$L$35=3, RANK(G62,G$8:G$82,1)+COUNTIF($G$8:G62,G62)-1, IF('AAA Summary'!$L$35=2, RANK(F62,F$8:F$82,1)+COUNTIF($F$8:F62,F62)-1, IF('AAA Summary'!$L$35=1, RANK(E62,E$8:E$82,1)+COUNTIF($E$8:E62,E62)-1))))</f>
        <v>14</v>
      </c>
      <c r="U62" s="40">
        <f>IF('AAA Summary'!$L$35=4, H62, IF('AAA Summary'!$L$35=3, G62, IF('AAA Summary'!$L$35=2, F62, IF('AAA Summary'!$L$35=1, E62))))</f>
        <v>0.82926829999999996</v>
      </c>
      <c r="V62">
        <f t="shared" si="8"/>
        <v>6</v>
      </c>
    </row>
    <row r="63" spans="1:22" x14ac:dyDescent="0.25">
      <c r="A63" t="s">
        <v>2</v>
      </c>
      <c r="B63" t="s">
        <v>196</v>
      </c>
      <c r="C63" s="12">
        <v>27</v>
      </c>
      <c r="D63" s="12">
        <v>11</v>
      </c>
      <c r="E63" s="68">
        <v>1</v>
      </c>
      <c r="F63" s="68">
        <v>0.96296300000000001</v>
      </c>
      <c r="G63" s="68">
        <v>1</v>
      </c>
      <c r="H63" s="68">
        <v>0.96296300000000001</v>
      </c>
      <c r="I63" s="70">
        <f t="shared" si="2"/>
        <v>16</v>
      </c>
      <c r="J63" s="68">
        <v>0.40740740740740738</v>
      </c>
      <c r="K63" s="68">
        <v>0.59259259259259256</v>
      </c>
      <c r="L63" s="12" t="s">
        <v>263</v>
      </c>
      <c r="M63" s="12" t="s">
        <v>315</v>
      </c>
      <c r="N63" s="69">
        <v>4.7336900000000002</v>
      </c>
      <c r="O63" t="str">
        <f t="shared" si="3"/>
        <v>7A3</v>
      </c>
      <c r="P63" s="31">
        <f t="shared" si="4"/>
        <v>4</v>
      </c>
      <c r="Q63" s="31">
        <f t="shared" si="5"/>
        <v>1</v>
      </c>
      <c r="R63" s="31">
        <f t="shared" si="6"/>
        <v>4</v>
      </c>
      <c r="S63" s="31">
        <f t="shared" si="7"/>
        <v>3</v>
      </c>
      <c r="T63" s="53">
        <f>IF('AAA Summary'!$L$35=4, RANK(H63,H$8:H$82,1)+COUNTIF($H$8:H63,H63)-1, IF('AAA Summary'!$L$35=3, RANK(G63,G$8:G$82,1)+COUNTIF($G$8:G63,G63)-1, IF('AAA Summary'!$L$35=2, RANK(F63,F$8:F$82,1)+COUNTIF($F$8:F63,F63)-1, IF('AAA Summary'!$L$35=1, RANK(E63,E$8:E$82,1)+COUNTIF($E$8:E63,E63)-1))))</f>
        <v>66</v>
      </c>
      <c r="U63" s="40">
        <f>IF('AAA Summary'!$L$35=4, H63, IF('AAA Summary'!$L$35=3, G63, IF('AAA Summary'!$L$35=2, F63, IF('AAA Summary'!$L$35=1, E63))))</f>
        <v>1</v>
      </c>
      <c r="V63">
        <f t="shared" si="8"/>
        <v>59</v>
      </c>
    </row>
    <row r="64" spans="1:22" x14ac:dyDescent="0.25">
      <c r="A64" t="s">
        <v>84</v>
      </c>
      <c r="B64" t="s">
        <v>85</v>
      </c>
      <c r="C64" s="12">
        <v>27</v>
      </c>
      <c r="D64" s="12">
        <v>18</v>
      </c>
      <c r="E64" s="68">
        <v>0.96296300000000001</v>
      </c>
      <c r="F64" s="68">
        <v>0.88888889999999998</v>
      </c>
      <c r="G64" s="68">
        <v>0.96153840000000002</v>
      </c>
      <c r="H64" s="68">
        <v>0.8518519</v>
      </c>
      <c r="I64" s="70">
        <f t="shared" si="2"/>
        <v>9</v>
      </c>
      <c r="J64" s="68">
        <v>0.66666666666666663</v>
      </c>
      <c r="K64" s="68">
        <v>0.33333333333333331</v>
      </c>
      <c r="L64" s="12" t="s">
        <v>221</v>
      </c>
      <c r="M64" s="12" t="s">
        <v>288</v>
      </c>
      <c r="N64" s="69">
        <v>0</v>
      </c>
      <c r="O64" t="str">
        <f t="shared" si="3"/>
        <v>RNA</v>
      </c>
      <c r="P64" s="31">
        <f t="shared" si="4"/>
        <v>3</v>
      </c>
      <c r="Q64" s="31">
        <f t="shared" si="5"/>
        <v>1</v>
      </c>
      <c r="R64" s="31">
        <f t="shared" si="6"/>
        <v>3</v>
      </c>
      <c r="S64" s="31">
        <f t="shared" si="7"/>
        <v>2</v>
      </c>
      <c r="T64" s="53">
        <f>IF('AAA Summary'!$L$35=4, RANK(H64,H$8:H$82,1)+COUNTIF($H$8:H64,H64)-1, IF('AAA Summary'!$L$35=3, RANK(G64,G$8:G$82,1)+COUNTIF($G$8:G64,G64)-1, IF('AAA Summary'!$L$35=2, RANK(F64,F$8:F$82,1)+COUNTIF($F$8:F64,F64)-1, IF('AAA Summary'!$L$35=1, RANK(E64,E$8:E$82,1)+COUNTIF($E$8:E64,E64)-1))))</f>
        <v>39</v>
      </c>
      <c r="U64" s="40">
        <f>IF('AAA Summary'!$L$35=4, H64, IF('AAA Summary'!$L$35=3, G64, IF('AAA Summary'!$L$35=2, F64, IF('AAA Summary'!$L$35=1, E64))))</f>
        <v>0.96296300000000001</v>
      </c>
      <c r="V64">
        <f t="shared" si="8"/>
        <v>24</v>
      </c>
    </row>
    <row r="65" spans="1:22" x14ac:dyDescent="0.25">
      <c r="A65" t="s">
        <v>15</v>
      </c>
      <c r="B65" t="s">
        <v>16</v>
      </c>
      <c r="C65" s="12">
        <v>9</v>
      </c>
      <c r="D65" s="12">
        <v>9</v>
      </c>
      <c r="E65" s="68">
        <v>1</v>
      </c>
      <c r="F65" s="68">
        <v>1</v>
      </c>
      <c r="G65" s="68">
        <v>1</v>
      </c>
      <c r="H65" s="68">
        <v>1</v>
      </c>
      <c r="I65" s="70">
        <f t="shared" si="2"/>
        <v>0</v>
      </c>
      <c r="J65" s="68">
        <v>1</v>
      </c>
      <c r="K65" s="68">
        <v>0</v>
      </c>
      <c r="L65" s="12" t="s">
        <v>230</v>
      </c>
      <c r="M65" s="12" t="s">
        <v>335</v>
      </c>
      <c r="N65" s="69">
        <v>0</v>
      </c>
      <c r="O65" t="str">
        <f t="shared" si="3"/>
        <v>RA9</v>
      </c>
      <c r="P65" s="31">
        <f t="shared" si="4"/>
        <v>4</v>
      </c>
      <c r="Q65" s="31">
        <f t="shared" si="5"/>
        <v>4</v>
      </c>
      <c r="R65" s="31">
        <f t="shared" si="6"/>
        <v>4</v>
      </c>
      <c r="S65" s="31">
        <f t="shared" si="7"/>
        <v>4</v>
      </c>
      <c r="T65" s="53">
        <f>IF('AAA Summary'!$L$35=4, RANK(H65,H$8:H$82,1)+COUNTIF($H$8:H65,H65)-1, IF('AAA Summary'!$L$35=3, RANK(G65,G$8:G$82,1)+COUNTIF($G$8:G65,G65)-1, IF('AAA Summary'!$L$35=2, RANK(F65,F$8:F$82,1)+COUNTIF($F$8:F65,F65)-1, IF('AAA Summary'!$L$35=1, RANK(E65,E$8:E$82,1)+COUNTIF($E$8:E65,E65)-1))))</f>
        <v>67</v>
      </c>
      <c r="U65" s="40">
        <f>IF('AAA Summary'!$L$35=4, H65, IF('AAA Summary'!$L$35=3, G65, IF('AAA Summary'!$L$35=2, F65, IF('AAA Summary'!$L$35=1, E65))))</f>
        <v>1</v>
      </c>
      <c r="V65">
        <f t="shared" si="8"/>
        <v>1</v>
      </c>
    </row>
    <row r="66" spans="1:22" x14ac:dyDescent="0.25">
      <c r="A66" t="s">
        <v>129</v>
      </c>
      <c r="B66" t="s">
        <v>130</v>
      </c>
      <c r="C66" s="12">
        <v>24</v>
      </c>
      <c r="D66" s="12" t="s">
        <v>345</v>
      </c>
      <c r="E66" s="68">
        <v>0.95833330000000005</v>
      </c>
      <c r="F66" s="68">
        <v>0.95833330000000005</v>
      </c>
      <c r="G66" s="68">
        <v>0.95833330000000005</v>
      </c>
      <c r="H66" s="68">
        <v>1</v>
      </c>
      <c r="I66" s="70" t="e">
        <f t="shared" si="2"/>
        <v>#VALUE!</v>
      </c>
      <c r="J66" s="68">
        <v>0.16666666666666666</v>
      </c>
      <c r="K66" s="68">
        <v>0.83333333333333337</v>
      </c>
      <c r="L66" s="12" t="s">
        <v>346</v>
      </c>
      <c r="M66" s="12" t="s">
        <v>245</v>
      </c>
      <c r="N66" s="69">
        <v>1.15154</v>
      </c>
      <c r="O66" t="str">
        <f t="shared" si="3"/>
        <v>RWD</v>
      </c>
      <c r="P66" s="31">
        <f t="shared" si="4"/>
        <v>3</v>
      </c>
      <c r="Q66" s="31">
        <f t="shared" si="5"/>
        <v>1</v>
      </c>
      <c r="R66" s="31">
        <f t="shared" si="6"/>
        <v>2</v>
      </c>
      <c r="S66" s="31">
        <f t="shared" si="7"/>
        <v>4</v>
      </c>
      <c r="T66" s="53">
        <f>IF('AAA Summary'!$L$35=4, RANK(H66,H$8:H$82,1)+COUNTIF($H$8:H66,H66)-1, IF('AAA Summary'!$L$35=3, RANK(G66,G$8:G$82,1)+COUNTIF($G$8:G66,G66)-1, IF('AAA Summary'!$L$35=2, RANK(F66,F$8:F$82,1)+COUNTIF($F$8:F66,F66)-1, IF('AAA Summary'!$L$35=1, RANK(E66,E$8:E$82,1)+COUNTIF($E$8:E66,E66)-1))))</f>
        <v>36</v>
      </c>
      <c r="U66" s="40">
        <f>IF('AAA Summary'!$L$35=4, H66, IF('AAA Summary'!$L$35=3, G66, IF('AAA Summary'!$L$35=2, F66, IF('AAA Summary'!$L$35=1, E66))))</f>
        <v>0.95833330000000005</v>
      </c>
      <c r="V66">
        <f t="shared" si="8"/>
        <v>67</v>
      </c>
    </row>
    <row r="67" spans="1:22" x14ac:dyDescent="0.25">
      <c r="A67" t="s">
        <v>67</v>
      </c>
      <c r="B67" t="s">
        <v>68</v>
      </c>
      <c r="C67" s="12">
        <v>67</v>
      </c>
      <c r="D67" s="12">
        <v>33</v>
      </c>
      <c r="E67" s="68">
        <v>0.98507460000000002</v>
      </c>
      <c r="F67" s="68">
        <v>1</v>
      </c>
      <c r="G67" s="68">
        <v>1</v>
      </c>
      <c r="H67" s="68">
        <v>0.94029850000000004</v>
      </c>
      <c r="I67" s="70">
        <f t="shared" si="2"/>
        <v>34</v>
      </c>
      <c r="J67" s="68">
        <v>0.4925373134328358</v>
      </c>
      <c r="K67" s="68">
        <v>0.5074626865671642</v>
      </c>
      <c r="L67" s="12" t="s">
        <v>284</v>
      </c>
      <c r="M67" s="12" t="s">
        <v>307</v>
      </c>
      <c r="N67" s="69">
        <v>1.9654199999999999</v>
      </c>
      <c r="O67" t="str">
        <f t="shared" si="3"/>
        <v>RJE</v>
      </c>
      <c r="P67" s="31">
        <f t="shared" si="4"/>
        <v>3</v>
      </c>
      <c r="Q67" s="31">
        <f t="shared" si="5"/>
        <v>4</v>
      </c>
      <c r="R67" s="31">
        <f t="shared" si="6"/>
        <v>4</v>
      </c>
      <c r="S67" s="31">
        <f t="shared" si="7"/>
        <v>3</v>
      </c>
      <c r="T67" s="53">
        <f>IF('AAA Summary'!$L$35=4, RANK(H67,H$8:H$82,1)+COUNTIF($H$8:H67,H67)-1, IF('AAA Summary'!$L$35=3, RANK(G67,G$8:G$82,1)+COUNTIF($G$8:G67,G67)-1, IF('AAA Summary'!$L$35=2, RANK(F67,F$8:F$82,1)+COUNTIF($F$8:F67,F67)-1, IF('AAA Summary'!$L$35=1, RANK(E67,E$8:E$82,1)+COUNTIF($E$8:E67,E67)-1))))</f>
        <v>48</v>
      </c>
      <c r="U67" s="40">
        <f>IF('AAA Summary'!$L$35=4, H67, IF('AAA Summary'!$L$35=3, G67, IF('AAA Summary'!$L$35=2, F67, IF('AAA Summary'!$L$35=1, E67))))</f>
        <v>0.98507460000000002</v>
      </c>
      <c r="V67">
        <f t="shared" si="8"/>
        <v>50</v>
      </c>
    </row>
    <row r="68" spans="1:22" x14ac:dyDescent="0.25">
      <c r="A68" t="s">
        <v>55</v>
      </c>
      <c r="B68" t="s">
        <v>56</v>
      </c>
      <c r="C68" s="12">
        <v>76</v>
      </c>
      <c r="D68" s="12">
        <v>42</v>
      </c>
      <c r="E68" s="68">
        <v>0.8026316</v>
      </c>
      <c r="F68" s="68">
        <v>1</v>
      </c>
      <c r="G68" s="68">
        <v>0.81944439999999996</v>
      </c>
      <c r="H68" s="68">
        <v>0.7763158</v>
      </c>
      <c r="I68" s="70">
        <f t="shared" si="2"/>
        <v>34</v>
      </c>
      <c r="J68" s="68">
        <v>0.55263157894736847</v>
      </c>
      <c r="K68" s="68">
        <v>0.44736842105263158</v>
      </c>
      <c r="L68" s="12" t="s">
        <v>230</v>
      </c>
      <c r="M68" s="12" t="s">
        <v>314</v>
      </c>
      <c r="N68" s="69">
        <v>1.22262</v>
      </c>
      <c r="O68" t="str">
        <f t="shared" si="3"/>
        <v>RHM</v>
      </c>
      <c r="P68" s="31">
        <f t="shared" si="4"/>
        <v>1</v>
      </c>
      <c r="Q68" s="31">
        <f t="shared" si="5"/>
        <v>4</v>
      </c>
      <c r="R68" s="31">
        <f t="shared" si="6"/>
        <v>1</v>
      </c>
      <c r="S68" s="31">
        <f t="shared" si="7"/>
        <v>1</v>
      </c>
      <c r="T68" s="53">
        <f>IF('AAA Summary'!$L$35=4, RANK(H68,H$8:H$82,1)+COUNTIF($H$8:H68,H68)-1, IF('AAA Summary'!$L$35=3, RANK(G68,G$8:G$82,1)+COUNTIF($G$8:G68,G68)-1, IF('AAA Summary'!$L$35=2, RANK(F68,F$8:F$82,1)+COUNTIF($F$8:F68,F68)-1, IF('AAA Summary'!$L$35=1, RANK(E68,E$8:E$82,1)+COUNTIF($E$8:E68,E68)-1))))</f>
        <v>12</v>
      </c>
      <c r="U68" s="40">
        <f>IF('AAA Summary'!$L$35=4, H68, IF('AAA Summary'!$L$35=3, G68, IF('AAA Summary'!$L$35=2, F68, IF('AAA Summary'!$L$35=1, E68))))</f>
        <v>0.8026316</v>
      </c>
      <c r="V68">
        <f t="shared" si="8"/>
        <v>42</v>
      </c>
    </row>
    <row r="69" spans="1:22" x14ac:dyDescent="0.25">
      <c r="A69" t="s">
        <v>701</v>
      </c>
      <c r="B69" t="s">
        <v>702</v>
      </c>
      <c r="C69" s="12">
        <v>61</v>
      </c>
      <c r="D69" s="12">
        <v>48</v>
      </c>
      <c r="E69" s="68">
        <v>0.9836066</v>
      </c>
      <c r="F69" s="68">
        <v>0.9836066</v>
      </c>
      <c r="G69" s="68">
        <v>0.98275860000000004</v>
      </c>
      <c r="H69" s="68">
        <v>0.95081970000000005</v>
      </c>
      <c r="I69" s="70">
        <f t="shared" si="2"/>
        <v>13</v>
      </c>
      <c r="J69" s="68">
        <v>0.78688524590163933</v>
      </c>
      <c r="K69" s="68">
        <v>0.21311475409836064</v>
      </c>
      <c r="L69" s="12" t="s">
        <v>304</v>
      </c>
      <c r="M69" s="12" t="s">
        <v>402</v>
      </c>
      <c r="N69" s="69">
        <v>1.01824</v>
      </c>
      <c r="O69" t="str">
        <f t="shared" si="3"/>
        <v>RYR</v>
      </c>
      <c r="P69" s="31">
        <f t="shared" si="4"/>
        <v>3</v>
      </c>
      <c r="Q69" s="31">
        <f t="shared" si="5"/>
        <v>2</v>
      </c>
      <c r="R69" s="31">
        <f t="shared" si="6"/>
        <v>3</v>
      </c>
      <c r="S69" s="31">
        <f t="shared" si="7"/>
        <v>3</v>
      </c>
      <c r="T69" s="53">
        <f>IF('AAA Summary'!$L$35=4, RANK(H69,H$8:H$82,1)+COUNTIF($H$8:H69,H69)-1, IF('AAA Summary'!$L$35=3, RANK(G69,G$8:G$82,1)+COUNTIF($G$8:G69,G69)-1, IF('AAA Summary'!$L$35=2, RANK(F69,F$8:F$82,1)+COUNTIF($F$8:F69,F69)-1, IF('AAA Summary'!$L$35=1, RANK(E69,E$8:E$82,1)+COUNTIF($E$8:E69,E69)-1))))</f>
        <v>47</v>
      </c>
      <c r="U69" s="40">
        <f>IF('AAA Summary'!$L$35=4, H69, IF('AAA Summary'!$L$35=3, G69, IF('AAA Summary'!$L$35=2, F69, IF('AAA Summary'!$L$35=1, E69))))</f>
        <v>0.9836066</v>
      </c>
      <c r="V69">
        <f t="shared" si="8"/>
        <v>13</v>
      </c>
    </row>
    <row r="70" spans="1:22" x14ac:dyDescent="0.25">
      <c r="A70" t="s">
        <v>104</v>
      </c>
      <c r="B70" t="s">
        <v>105</v>
      </c>
      <c r="C70" s="12">
        <v>36</v>
      </c>
      <c r="D70" s="12">
        <v>26</v>
      </c>
      <c r="E70" s="68">
        <v>0.94444439999999996</v>
      </c>
      <c r="F70" s="68">
        <v>1</v>
      </c>
      <c r="G70" s="68">
        <v>0.96666660000000004</v>
      </c>
      <c r="H70" s="68">
        <v>0.77777779999999996</v>
      </c>
      <c r="I70" s="70">
        <f t="shared" si="2"/>
        <v>10</v>
      </c>
      <c r="J70" s="68">
        <v>0.72222222222222221</v>
      </c>
      <c r="K70" s="68">
        <v>0.27777777777777779</v>
      </c>
      <c r="L70" s="12" t="s">
        <v>221</v>
      </c>
      <c r="M70" s="12" t="s">
        <v>307</v>
      </c>
      <c r="N70" s="69">
        <v>3.0428500000000001</v>
      </c>
      <c r="O70" t="str">
        <f t="shared" si="3"/>
        <v>RRK</v>
      </c>
      <c r="P70" s="31">
        <f t="shared" si="4"/>
        <v>2</v>
      </c>
      <c r="Q70" s="31">
        <f t="shared" si="5"/>
        <v>4</v>
      </c>
      <c r="R70" s="31">
        <f t="shared" si="6"/>
        <v>3</v>
      </c>
      <c r="S70" s="31">
        <f t="shared" si="7"/>
        <v>1</v>
      </c>
      <c r="T70" s="53">
        <f>IF('AAA Summary'!$L$35=4, RANK(H70,H$8:H$82,1)+COUNTIF($H$8:H70,H70)-1, IF('AAA Summary'!$L$35=3, RANK(G70,G$8:G$82,1)+COUNTIF($G$8:G70,G70)-1, IF('AAA Summary'!$L$35=2, RANK(F70,F$8:F$82,1)+COUNTIF($F$8:F70,F70)-1, IF('AAA Summary'!$L$35=1, RANK(E70,E$8:E$82,1)+COUNTIF($E$8:E70,E70)-1))))</f>
        <v>30</v>
      </c>
      <c r="U70" s="40">
        <f>IF('AAA Summary'!$L$35=4, H70, IF('AAA Summary'!$L$35=3, G70, IF('AAA Summary'!$L$35=2, F70, IF('AAA Summary'!$L$35=1, E70))))</f>
        <v>0.94444439999999996</v>
      </c>
      <c r="V70">
        <f t="shared" si="8"/>
        <v>21</v>
      </c>
    </row>
    <row r="71" spans="1:22" x14ac:dyDescent="0.25">
      <c r="A71" t="s">
        <v>74</v>
      </c>
      <c r="B71" t="s">
        <v>75</v>
      </c>
      <c r="C71" s="12">
        <v>55</v>
      </c>
      <c r="D71" s="12">
        <v>35</v>
      </c>
      <c r="E71" s="68">
        <v>0.85454549999999996</v>
      </c>
      <c r="F71" s="68">
        <v>1</v>
      </c>
      <c r="G71" s="68">
        <v>0.84905660000000005</v>
      </c>
      <c r="H71" s="68">
        <v>0.85454549999999996</v>
      </c>
      <c r="I71" s="70">
        <f t="shared" si="2"/>
        <v>20</v>
      </c>
      <c r="J71" s="68">
        <v>0.63636363636363635</v>
      </c>
      <c r="K71" s="68">
        <v>0.36363636363636365</v>
      </c>
      <c r="L71" s="12" t="s">
        <v>270</v>
      </c>
      <c r="M71" s="12" t="s">
        <v>312</v>
      </c>
      <c r="N71" s="69">
        <v>1.3485499999999999</v>
      </c>
      <c r="O71" t="str">
        <f t="shared" si="3"/>
        <v>RKB</v>
      </c>
      <c r="P71" s="31">
        <f t="shared" si="4"/>
        <v>1</v>
      </c>
      <c r="Q71" s="31">
        <f t="shared" si="5"/>
        <v>4</v>
      </c>
      <c r="R71" s="31">
        <f t="shared" si="6"/>
        <v>1</v>
      </c>
      <c r="S71" s="31">
        <f t="shared" si="7"/>
        <v>2</v>
      </c>
      <c r="T71" s="53">
        <f>IF('AAA Summary'!$L$35=4, RANK(H71,H$8:H$82,1)+COUNTIF($H$8:H71,H71)-1, IF('AAA Summary'!$L$35=3, RANK(G71,G$8:G$82,1)+COUNTIF($G$8:G71,G71)-1, IF('AAA Summary'!$L$35=2, RANK(F71,F$8:F$82,1)+COUNTIF($F$8:F71,F71)-1, IF('AAA Summary'!$L$35=1, RANK(E71,E$8:E$82,1)+COUNTIF($E$8:E71,E71)-1))))</f>
        <v>16</v>
      </c>
      <c r="U71" s="40">
        <f>IF('AAA Summary'!$L$35=4, H71, IF('AAA Summary'!$L$35=3, G71, IF('AAA Summary'!$L$35=2, F71, IF('AAA Summary'!$L$35=1, E71))))</f>
        <v>0.85454549999999996</v>
      </c>
      <c r="V71">
        <f t="shared" si="8"/>
        <v>28</v>
      </c>
    </row>
    <row r="72" spans="1:22" x14ac:dyDescent="0.25">
      <c r="A72" t="s">
        <v>677</v>
      </c>
      <c r="B72" t="s">
        <v>678</v>
      </c>
      <c r="C72" s="12">
        <v>50</v>
      </c>
      <c r="D72" s="12">
        <v>29</v>
      </c>
      <c r="E72" s="68">
        <v>0.98</v>
      </c>
      <c r="F72" s="68">
        <v>1</v>
      </c>
      <c r="G72" s="68">
        <v>0.97959180000000001</v>
      </c>
      <c r="H72" s="68">
        <v>0.98</v>
      </c>
      <c r="I72" s="70">
        <f t="shared" si="2"/>
        <v>21</v>
      </c>
      <c r="J72" s="68">
        <v>0.57999999999999996</v>
      </c>
      <c r="K72" s="68">
        <v>0.42</v>
      </c>
      <c r="L72" s="12" t="s">
        <v>286</v>
      </c>
      <c r="M72" s="12" t="s">
        <v>312</v>
      </c>
      <c r="N72" s="69">
        <v>1.37741</v>
      </c>
      <c r="O72" t="str">
        <f t="shared" si="3"/>
        <v>R0D</v>
      </c>
      <c r="P72" s="31">
        <f t="shared" si="4"/>
        <v>3</v>
      </c>
      <c r="Q72" s="31">
        <f t="shared" si="5"/>
        <v>4</v>
      </c>
      <c r="R72" s="31">
        <f t="shared" si="6"/>
        <v>3</v>
      </c>
      <c r="S72" s="31">
        <f t="shared" si="7"/>
        <v>4</v>
      </c>
      <c r="T72" s="53">
        <f>IF('AAA Summary'!$L$35=4, RANK(H72,H$8:H$82,1)+COUNTIF($H$8:H72,H72)-1, IF('AAA Summary'!$L$35=3, RANK(G72,G$8:G$82,1)+COUNTIF($G$8:G72,G72)-1, IF('AAA Summary'!$L$35=2, RANK(F72,F$8:F$82,1)+COUNTIF($F$8:F72,F72)-1, IF('AAA Summary'!$L$35=1, RANK(E72,E$8:E$82,1)+COUNTIF($E$8:E72,E72)-1))))</f>
        <v>45</v>
      </c>
      <c r="U72" s="40">
        <f>IF('AAA Summary'!$L$35=4, H72, IF('AAA Summary'!$L$35=3, G72, IF('AAA Summary'!$L$35=2, F72, IF('AAA Summary'!$L$35=1, E72))))</f>
        <v>0.98</v>
      </c>
      <c r="V72">
        <f t="shared" si="8"/>
        <v>37</v>
      </c>
    </row>
    <row r="73" spans="1:22" x14ac:dyDescent="0.25">
      <c r="A73" t="s">
        <v>114</v>
      </c>
      <c r="B73" t="s">
        <v>347</v>
      </c>
      <c r="C73" s="12">
        <v>23</v>
      </c>
      <c r="D73" s="12">
        <v>13</v>
      </c>
      <c r="E73" s="68">
        <v>1</v>
      </c>
      <c r="F73" s="68">
        <v>1</v>
      </c>
      <c r="G73" s="68">
        <v>1</v>
      </c>
      <c r="H73" s="68">
        <v>1</v>
      </c>
      <c r="I73" s="70">
        <f t="shared" ref="I73:I78" si="9">C73-D73</f>
        <v>10</v>
      </c>
      <c r="J73" s="68">
        <v>0.56521739130434778</v>
      </c>
      <c r="K73" s="68">
        <v>0.43478260869565216</v>
      </c>
      <c r="L73" s="12" t="s">
        <v>214</v>
      </c>
      <c r="M73" s="12" t="s">
        <v>320</v>
      </c>
      <c r="N73" s="69">
        <v>1.39876</v>
      </c>
      <c r="O73" t="str">
        <f t="shared" ref="O73:O78" si="10">A73</f>
        <v>RTG</v>
      </c>
      <c r="P73" s="31">
        <f t="shared" ref="P73:P78" si="11">+IF(E73&lt;E$2,1,IF(E73&lt;E$3,2,IF(E73&lt;E$4,3,4)))</f>
        <v>4</v>
      </c>
      <c r="Q73" s="31">
        <f t="shared" ref="Q73:Q78" si="12">+IF(F73&lt;F$2,1,IF(F73&lt;F$3,2,IF(F73&lt;F$4,3,4)))</f>
        <v>4</v>
      </c>
      <c r="R73" s="31">
        <f t="shared" ref="R73:R78" si="13">+IF(G73&lt;G$2,1,IF(G73&lt;G$3,2,IF(G73&lt;G$4,3,4)))</f>
        <v>4</v>
      </c>
      <c r="S73" s="31">
        <f t="shared" ref="S73:S78" si="14">+IF(H73&lt;H$2,1,IF(H73&lt;H$3,2,IF(H73&lt;H$4,3,4)))</f>
        <v>4</v>
      </c>
      <c r="T73" s="53">
        <f>IF('AAA Summary'!$L$35=4, RANK(H73,H$8:H$82,1)+COUNTIF($H$8:H73,H73)-1, IF('AAA Summary'!$L$35=3, RANK(G73,G$8:G$82,1)+COUNTIF($G$8:G73,G73)-1, IF('AAA Summary'!$L$35=2, RANK(F73,F$8:F$82,1)+COUNTIF($F$8:F73,F73)-1, IF('AAA Summary'!$L$35=1, RANK(E73,E$8:E$82,1)+COUNTIF($E$8:E73,E73)-1))))</f>
        <v>68</v>
      </c>
      <c r="U73" s="40">
        <f>IF('AAA Summary'!$L$35=4, H73, IF('AAA Summary'!$L$35=3, G73, IF('AAA Summary'!$L$35=2, F73, IF('AAA Summary'!$L$35=1, E73))))</f>
        <v>1</v>
      </c>
      <c r="V73">
        <f t="shared" ref="V73:V78" si="15">RANK(J73,$J$8:$J$78)</f>
        <v>39</v>
      </c>
    </row>
    <row r="74" spans="1:22" x14ac:dyDescent="0.25">
      <c r="A74" t="s">
        <v>131</v>
      </c>
      <c r="B74" t="s">
        <v>132</v>
      </c>
      <c r="C74" s="12">
        <v>39</v>
      </c>
      <c r="D74" s="12">
        <v>22</v>
      </c>
      <c r="E74" s="68">
        <v>0.7179487</v>
      </c>
      <c r="F74" s="68">
        <v>1</v>
      </c>
      <c r="G74" s="68">
        <v>0.7179487</v>
      </c>
      <c r="H74" s="68">
        <v>0.94871799999999995</v>
      </c>
      <c r="I74" s="70">
        <f t="shared" si="9"/>
        <v>17</v>
      </c>
      <c r="J74" s="68">
        <v>0.5641025641025641</v>
      </c>
      <c r="K74" s="68">
        <v>0.4358974358974359</v>
      </c>
      <c r="L74" s="12" t="s">
        <v>263</v>
      </c>
      <c r="M74" s="12" t="s">
        <v>312</v>
      </c>
      <c r="N74" s="69">
        <v>1.3703399999999999</v>
      </c>
      <c r="O74" t="str">
        <f t="shared" si="10"/>
        <v>RWE</v>
      </c>
      <c r="P74" s="31">
        <f t="shared" si="11"/>
        <v>1</v>
      </c>
      <c r="Q74" s="31">
        <f t="shared" si="12"/>
        <v>4</v>
      </c>
      <c r="R74" s="31">
        <f t="shared" si="13"/>
        <v>1</v>
      </c>
      <c r="S74" s="31">
        <f t="shared" si="14"/>
        <v>3</v>
      </c>
      <c r="T74" s="53">
        <f>IF('AAA Summary'!$L$35=4, RANK(H74,H$8:H$82,1)+COUNTIF($H$8:H74,H74)-1, IF('AAA Summary'!$L$35=3, RANK(G74,G$8:G$82,1)+COUNTIF($G$8:G74,G74)-1, IF('AAA Summary'!$L$35=2, RANK(F74,F$8:F$82,1)+COUNTIF($F$8:F74,F74)-1, IF('AAA Summary'!$L$35=1, RANK(E74,E$8:E$82,1)+COUNTIF($E$8:E74,E74)-1))))</f>
        <v>8</v>
      </c>
      <c r="U74" s="40">
        <f>IF('AAA Summary'!$L$35=4, H74, IF('AAA Summary'!$L$35=3, G74, IF('AAA Summary'!$L$35=2, F74, IF('AAA Summary'!$L$35=1, E74))))</f>
        <v>0.7179487</v>
      </c>
      <c r="V74">
        <f t="shared" si="15"/>
        <v>41</v>
      </c>
    </row>
    <row r="75" spans="1:22" x14ac:dyDescent="0.25">
      <c r="A75" t="s">
        <v>73</v>
      </c>
      <c r="B75" t="s">
        <v>197</v>
      </c>
      <c r="C75" s="12">
        <v>24</v>
      </c>
      <c r="D75" s="12">
        <v>10</v>
      </c>
      <c r="E75" s="68">
        <v>0.875</v>
      </c>
      <c r="F75" s="68">
        <v>0.95833330000000005</v>
      </c>
      <c r="G75" s="68">
        <v>0.85</v>
      </c>
      <c r="H75" s="68">
        <v>0.95833330000000005</v>
      </c>
      <c r="I75" s="70">
        <f t="shared" si="9"/>
        <v>14</v>
      </c>
      <c r="J75" s="68">
        <v>0.41666666666666669</v>
      </c>
      <c r="K75" s="68">
        <v>0.58333333333333337</v>
      </c>
      <c r="L75" s="12" t="s">
        <v>230</v>
      </c>
      <c r="M75" s="12" t="s">
        <v>213</v>
      </c>
      <c r="N75" s="69">
        <v>1.0355300000000001</v>
      </c>
      <c r="O75" t="str">
        <f t="shared" si="10"/>
        <v>RK9</v>
      </c>
      <c r="P75" s="31">
        <f t="shared" si="11"/>
        <v>2</v>
      </c>
      <c r="Q75" s="31">
        <f t="shared" si="12"/>
        <v>1</v>
      </c>
      <c r="R75" s="31">
        <f t="shared" si="13"/>
        <v>1</v>
      </c>
      <c r="S75" s="31">
        <f t="shared" si="14"/>
        <v>3</v>
      </c>
      <c r="T75" s="53">
        <f>IF('AAA Summary'!$L$35=4, RANK(H75,H$8:H$82,1)+COUNTIF($H$8:H75,H75)-1, IF('AAA Summary'!$L$35=3, RANK(G75,G$8:G$82,1)+COUNTIF($G$8:G75,G75)-1, IF('AAA Summary'!$L$35=2, RANK(F75,F$8:F$82,1)+COUNTIF($F$8:F75,F75)-1, IF('AAA Summary'!$L$35=1, RANK(E75,E$8:E$82,1)+COUNTIF($E$8:E75,E75)-1))))</f>
        <v>20</v>
      </c>
      <c r="U75" s="40">
        <f>IF('AAA Summary'!$L$35=4, H75, IF('AAA Summary'!$L$35=3, G75, IF('AAA Summary'!$L$35=2, F75, IF('AAA Summary'!$L$35=1, E75))))</f>
        <v>0.875</v>
      </c>
      <c r="V75">
        <f t="shared" si="15"/>
        <v>57</v>
      </c>
    </row>
    <row r="76" spans="1:22" x14ac:dyDescent="0.25">
      <c r="A76" t="s">
        <v>133</v>
      </c>
      <c r="B76" t="s">
        <v>134</v>
      </c>
      <c r="C76" s="12">
        <v>16</v>
      </c>
      <c r="D76" s="12">
        <v>12</v>
      </c>
      <c r="E76" s="68">
        <v>1</v>
      </c>
      <c r="F76" s="68">
        <v>0.9375</v>
      </c>
      <c r="G76" s="68">
        <v>1</v>
      </c>
      <c r="H76" s="68">
        <v>0.9375</v>
      </c>
      <c r="I76" s="70">
        <f t="shared" si="9"/>
        <v>4</v>
      </c>
      <c r="J76" s="68">
        <v>0.75</v>
      </c>
      <c r="K76" s="68">
        <v>0.25</v>
      </c>
      <c r="L76" s="12" t="s">
        <v>285</v>
      </c>
      <c r="M76" s="12" t="s">
        <v>698</v>
      </c>
      <c r="N76" s="69">
        <v>2.0322300000000002</v>
      </c>
      <c r="O76" t="str">
        <f t="shared" si="10"/>
        <v>RWG</v>
      </c>
      <c r="P76" s="31">
        <f t="shared" si="11"/>
        <v>4</v>
      </c>
      <c r="Q76" s="31">
        <f t="shared" si="12"/>
        <v>1</v>
      </c>
      <c r="R76" s="31">
        <f t="shared" si="13"/>
        <v>4</v>
      </c>
      <c r="S76" s="31">
        <f t="shared" si="14"/>
        <v>3</v>
      </c>
      <c r="T76" s="53">
        <f>IF('AAA Summary'!$L$35=4, RANK(H76,H$8:H$82,1)+COUNTIF($H$8:H76,H76)-1, IF('AAA Summary'!$L$35=3, RANK(G76,G$8:G$82,1)+COUNTIF($G$8:G76,G76)-1, IF('AAA Summary'!$L$35=2, RANK(F76,F$8:F$82,1)+COUNTIF($F$8:F76,F76)-1, IF('AAA Summary'!$L$35=1, RANK(E76,E$8:E$82,1)+COUNTIF($E$8:E76,E76)-1))))</f>
        <v>69</v>
      </c>
      <c r="U76" s="40">
        <f>IF('AAA Summary'!$L$35=4, H76, IF('AAA Summary'!$L$35=3, G76, IF('AAA Summary'!$L$35=2, F76, IF('AAA Summary'!$L$35=1, E76))))</f>
        <v>1</v>
      </c>
      <c r="V76">
        <f t="shared" si="15"/>
        <v>18</v>
      </c>
    </row>
    <row r="77" spans="1:22" x14ac:dyDescent="0.25">
      <c r="A77" t="s">
        <v>137</v>
      </c>
      <c r="B77" t="s">
        <v>138</v>
      </c>
      <c r="C77" s="12">
        <v>48</v>
      </c>
      <c r="D77" s="12">
        <v>26</v>
      </c>
      <c r="E77" s="68">
        <v>1</v>
      </c>
      <c r="F77" s="68">
        <v>1</v>
      </c>
      <c r="G77" s="68">
        <v>1</v>
      </c>
      <c r="H77" s="68">
        <v>0.85416669999999995</v>
      </c>
      <c r="I77" s="70">
        <f t="shared" si="9"/>
        <v>22</v>
      </c>
      <c r="J77" s="68">
        <v>0.54166666666666663</v>
      </c>
      <c r="K77" s="68">
        <v>0.45833333333333331</v>
      </c>
      <c r="L77" s="12" t="s">
        <v>300</v>
      </c>
      <c r="M77" s="12" t="s">
        <v>321</v>
      </c>
      <c r="N77" s="69">
        <v>0.52122999999999997</v>
      </c>
      <c r="O77" t="str">
        <f t="shared" si="10"/>
        <v>RWP</v>
      </c>
      <c r="P77" s="31">
        <f t="shared" si="11"/>
        <v>4</v>
      </c>
      <c r="Q77" s="31">
        <f t="shared" si="12"/>
        <v>4</v>
      </c>
      <c r="R77" s="31">
        <f t="shared" si="13"/>
        <v>4</v>
      </c>
      <c r="S77" s="31">
        <f t="shared" si="14"/>
        <v>2</v>
      </c>
      <c r="T77" s="53">
        <f>IF('AAA Summary'!$L$35=4, RANK(H77,H$8:H$82,1)+COUNTIF($H$8:H77,H77)-1, IF('AAA Summary'!$L$35=3, RANK(G77,G$8:G$82,1)+COUNTIF($G$8:G77,G77)-1, IF('AAA Summary'!$L$35=2, RANK(F77,F$8:F$82,1)+COUNTIF($F$8:F77,F77)-1, IF('AAA Summary'!$L$35=1, RANK(E77,E$8:E$82,1)+COUNTIF($E$8:E77,E77)-1))))</f>
        <v>70</v>
      </c>
      <c r="U77" s="40">
        <f>IF('AAA Summary'!$L$35=4, H77, IF('AAA Summary'!$L$35=3, G77, IF('AAA Summary'!$L$35=2, F77, IF('AAA Summary'!$L$35=1, E77))))</f>
        <v>1</v>
      </c>
      <c r="V77">
        <f t="shared" si="15"/>
        <v>44</v>
      </c>
    </row>
    <row r="78" spans="1:22" x14ac:dyDescent="0.25">
      <c r="A78" t="s">
        <v>33</v>
      </c>
      <c r="B78" t="s">
        <v>34</v>
      </c>
      <c r="C78" s="12">
        <v>26</v>
      </c>
      <c r="D78" s="12">
        <v>7</v>
      </c>
      <c r="E78" s="68">
        <v>0.76923079999999999</v>
      </c>
      <c r="F78" s="68">
        <v>0.96153840000000002</v>
      </c>
      <c r="G78" s="68">
        <v>0.85</v>
      </c>
      <c r="H78" s="68">
        <v>0.76923079999999999</v>
      </c>
      <c r="I78" s="70">
        <f t="shared" si="9"/>
        <v>19</v>
      </c>
      <c r="J78" s="68">
        <v>0.26923076923076922</v>
      </c>
      <c r="K78" s="68">
        <v>0.73076923076923073</v>
      </c>
      <c r="L78" s="12" t="s">
        <v>685</v>
      </c>
      <c r="M78" s="12" t="s">
        <v>686</v>
      </c>
      <c r="N78" s="69">
        <v>1.36802</v>
      </c>
      <c r="O78" t="str">
        <f t="shared" si="10"/>
        <v>RCB</v>
      </c>
      <c r="P78" s="31">
        <f t="shared" si="11"/>
        <v>1</v>
      </c>
      <c r="Q78" s="31">
        <f t="shared" si="12"/>
        <v>1</v>
      </c>
      <c r="R78" s="31">
        <f t="shared" si="13"/>
        <v>1</v>
      </c>
      <c r="S78" s="31">
        <f t="shared" si="14"/>
        <v>1</v>
      </c>
      <c r="T78" s="53">
        <f>IF('AAA Summary'!$L$35=4, RANK(H78,H$8:H$82,1)+COUNTIF($H$8:H78,H78)-1, IF('AAA Summary'!$L$35=3, RANK(G78,G$8:G$82,1)+COUNTIF($G$8:G78,G78)-1, IF('AAA Summary'!$L$35=2, RANK(F78,F$8:F$82,1)+COUNTIF($F$8:F78,F78)-1, IF('AAA Summary'!$L$35=1, RANK(E78,E$8:E$82,1)+COUNTIF($E$8:E78,E78)-1))))</f>
        <v>9</v>
      </c>
      <c r="U78" s="40">
        <f>IF('AAA Summary'!$L$35=4, H78, IF('AAA Summary'!$L$35=3, G78, IF('AAA Summary'!$L$35=2, F78, IF('AAA Summary'!$L$35=1, E78))))</f>
        <v>0.76923079999999999</v>
      </c>
      <c r="V78">
        <f t="shared" si="15"/>
        <v>64</v>
      </c>
    </row>
  </sheetData>
  <sortState ref="A2:K72">
    <sortCondition ref="B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workbookViewId="0">
      <pane xSplit="1" ySplit="7" topLeftCell="B8" activePane="bottomRight" state="frozen"/>
      <selection pane="topRight" activeCell="B1" sqref="B1"/>
      <selection pane="bottomLeft" activeCell="A2" sqref="A2"/>
      <selection pane="bottomRight" activeCell="B8" sqref="B8:V8"/>
    </sheetView>
  </sheetViews>
  <sheetFormatPr defaultRowHeight="15" x14ac:dyDescent="0.25"/>
  <cols>
    <col min="1" max="1" width="10.85546875" customWidth="1"/>
    <col min="2" max="2" width="63.7109375" bestFit="1" customWidth="1"/>
    <col min="3" max="3" width="11.85546875" customWidth="1"/>
    <col min="4" max="4" width="13.42578125" customWidth="1"/>
    <col min="5" max="5" width="12.5703125" customWidth="1"/>
    <col min="6" max="6" width="16.42578125" customWidth="1"/>
    <col min="7" max="7" width="22" customWidth="1"/>
    <col min="8" max="8" width="13.28515625" customWidth="1"/>
    <col min="9" max="9" width="19.85546875" customWidth="1"/>
    <col min="10" max="12" width="15.5703125" bestFit="1" customWidth="1"/>
    <col min="13" max="13" width="20.85546875" customWidth="1"/>
    <col min="14" max="14" width="18.28515625" customWidth="1"/>
    <col min="15" max="15" width="17.42578125" customWidth="1"/>
    <col min="16" max="16" width="10.85546875" customWidth="1"/>
    <col min="37" max="37" width="22" customWidth="1"/>
  </cols>
  <sheetData>
    <row r="1" spans="1:37" x14ac:dyDescent="0.25">
      <c r="A1">
        <v>0</v>
      </c>
      <c r="B1" t="s">
        <v>381</v>
      </c>
      <c r="E1">
        <f t="shared" ref="E1:H5" si="0">QUARTILE(E$8:E$82,$A1)</f>
        <v>0.28000000000000003</v>
      </c>
      <c r="F1">
        <f t="shared" si="0"/>
        <v>0</v>
      </c>
      <c r="G1">
        <f t="shared" si="0"/>
        <v>0.31</v>
      </c>
      <c r="H1">
        <f t="shared" si="0"/>
        <v>0.24</v>
      </c>
    </row>
    <row r="2" spans="1:37" x14ac:dyDescent="0.25">
      <c r="A2">
        <v>1</v>
      </c>
      <c r="B2" t="s">
        <v>382</v>
      </c>
      <c r="E2">
        <f t="shared" si="0"/>
        <v>0.88</v>
      </c>
      <c r="F2">
        <f t="shared" si="0"/>
        <v>0.96499999999999997</v>
      </c>
      <c r="G2">
        <f t="shared" si="0"/>
        <v>0.88500000000000001</v>
      </c>
      <c r="H2">
        <f t="shared" si="0"/>
        <v>0.79</v>
      </c>
    </row>
    <row r="3" spans="1:37" x14ac:dyDescent="0.25">
      <c r="A3">
        <v>2</v>
      </c>
      <c r="B3" t="s">
        <v>383</v>
      </c>
      <c r="E3">
        <f t="shared" si="0"/>
        <v>0.94</v>
      </c>
      <c r="F3">
        <f t="shared" si="0"/>
        <v>0.99</v>
      </c>
      <c r="G3">
        <f t="shared" si="0"/>
        <v>0.95</v>
      </c>
      <c r="H3">
        <f t="shared" si="0"/>
        <v>0.9</v>
      </c>
    </row>
    <row r="4" spans="1:37" x14ac:dyDescent="0.25">
      <c r="A4">
        <v>3</v>
      </c>
      <c r="B4" t="s">
        <v>384</v>
      </c>
      <c r="E4">
        <f t="shared" si="0"/>
        <v>0.98</v>
      </c>
      <c r="F4">
        <f t="shared" si="0"/>
        <v>1</v>
      </c>
      <c r="G4">
        <f t="shared" si="0"/>
        <v>0.99</v>
      </c>
      <c r="H4">
        <f t="shared" si="0"/>
        <v>0.95499999999999996</v>
      </c>
    </row>
    <row r="5" spans="1:37" x14ac:dyDescent="0.25">
      <c r="A5">
        <v>4</v>
      </c>
      <c r="B5" t="s">
        <v>385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6" spans="1:37" ht="15.75" thickBot="1" x14ac:dyDescent="0.3"/>
    <row r="7" spans="1:37" ht="75.75" thickBot="1" x14ac:dyDescent="0.3">
      <c r="A7" s="10" t="s">
        <v>176</v>
      </c>
      <c r="B7" s="10" t="s">
        <v>175</v>
      </c>
      <c r="C7" s="9" t="s">
        <v>184</v>
      </c>
      <c r="D7" s="9" t="s">
        <v>185</v>
      </c>
      <c r="E7" s="10" t="s">
        <v>192</v>
      </c>
      <c r="F7" s="9" t="s">
        <v>186</v>
      </c>
      <c r="G7" s="9" t="s">
        <v>187</v>
      </c>
      <c r="H7" s="9" t="s">
        <v>188</v>
      </c>
      <c r="I7" s="10" t="s">
        <v>189</v>
      </c>
      <c r="J7" s="18" t="s">
        <v>669</v>
      </c>
      <c r="K7" s="10" t="s">
        <v>650</v>
      </c>
      <c r="L7" s="10" t="s">
        <v>651</v>
      </c>
      <c r="M7" s="10" t="s">
        <v>190</v>
      </c>
      <c r="N7" s="10" t="s">
        <v>191</v>
      </c>
      <c r="O7" s="10" t="s">
        <v>302</v>
      </c>
      <c r="P7" s="10" t="s">
        <v>176</v>
      </c>
      <c r="Q7" s="18" t="s">
        <v>386</v>
      </c>
      <c r="R7" s="37" t="s">
        <v>387</v>
      </c>
      <c r="S7" s="37" t="s">
        <v>388</v>
      </c>
      <c r="T7" s="37" t="s">
        <v>389</v>
      </c>
      <c r="U7" s="37" t="s">
        <v>401</v>
      </c>
      <c r="V7" s="37" t="s">
        <v>409</v>
      </c>
      <c r="W7" s="29" t="s">
        <v>652</v>
      </c>
      <c r="X7" s="29" t="s">
        <v>653</v>
      </c>
      <c r="Y7" s="29" t="s">
        <v>656</v>
      </c>
      <c r="Z7" s="28" t="s">
        <v>368</v>
      </c>
      <c r="AA7" s="28" t="s">
        <v>376</v>
      </c>
      <c r="AB7" s="28" t="s">
        <v>377</v>
      </c>
      <c r="AC7" s="30" t="s">
        <v>358</v>
      </c>
      <c r="AD7" s="28" t="s">
        <v>359</v>
      </c>
      <c r="AE7" s="35" t="s">
        <v>369</v>
      </c>
      <c r="AF7" s="29" t="s">
        <v>654</v>
      </c>
      <c r="AG7" s="39" t="s">
        <v>412</v>
      </c>
      <c r="AH7" s="39" t="s">
        <v>413</v>
      </c>
      <c r="AI7" s="39" t="s">
        <v>414</v>
      </c>
      <c r="AJ7" s="39" t="s">
        <v>655</v>
      </c>
      <c r="AK7" s="21" t="s">
        <v>668</v>
      </c>
    </row>
    <row r="8" spans="1:37" x14ac:dyDescent="0.25">
      <c r="A8" t="s">
        <v>7</v>
      </c>
      <c r="B8" t="s">
        <v>8</v>
      </c>
      <c r="C8" s="57">
        <v>44</v>
      </c>
      <c r="D8" s="57">
        <v>28</v>
      </c>
      <c r="E8" s="58">
        <v>0.98</v>
      </c>
      <c r="F8" s="58">
        <v>0.95</v>
      </c>
      <c r="G8" s="58">
        <v>0.97</v>
      </c>
      <c r="H8" s="58">
        <v>0.91</v>
      </c>
      <c r="I8" s="32" t="s">
        <v>469</v>
      </c>
      <c r="J8">
        <v>44.2</v>
      </c>
      <c r="K8">
        <v>29.099999999999998</v>
      </c>
      <c r="L8">
        <v>60.099999999999994</v>
      </c>
      <c r="M8" s="32" t="s">
        <v>456</v>
      </c>
      <c r="N8" s="32" t="s">
        <v>230</v>
      </c>
      <c r="O8" s="59">
        <v>1.6E-2</v>
      </c>
      <c r="P8" s="32" t="str">
        <f>A8</f>
        <v>7A6</v>
      </c>
      <c r="Q8" s="31">
        <f t="shared" ref="Q8:Q39" si="1">+IF(E8&lt;E$2,1,IF(E8&lt;E$3,2,IF(E8&lt;E$4,3,4)))</f>
        <v>4</v>
      </c>
      <c r="R8" s="31">
        <f t="shared" ref="R8:R39" si="2">+IF(F8&lt;F$2,1,IF(F8&lt;F$3,2,IF(F8&lt;F$4,3,4)))</f>
        <v>1</v>
      </c>
      <c r="S8" s="31">
        <f t="shared" ref="S8:S39" si="3">+IF(G8&lt;G$2,1,IF(G8&lt;G$3,2,IF(G8&lt;G$4,3,4)))</f>
        <v>3</v>
      </c>
      <c r="T8" s="31">
        <f t="shared" ref="T8:T71" si="4">+IF(H8&lt;H$2,1,IF(H8&lt;H$3,2,IF(H8&lt;H$4,3,4)))</f>
        <v>3</v>
      </c>
      <c r="U8" s="53">
        <f>IF('AAA Summary'!$L$35=4, RANK(H8,H$8:H$82,1)+COUNTIF($H$8:H8,H8)-1, IF('AAA Summary'!$L$35=3, RANK(G8,G$8:G$82,1)+COUNTIF($G$8:G8,G8)-1, IF('AAA Summary'!$L$35=2, RANK(F8,F$8:F$82,1)+COUNTIF($F$8:F8,F8)-1, IF('AAA Summary'!$L$35=1, RANK(E8,E$8:E$82,1)+COUNTIF($E$8:E8,E8)-1))))</f>
        <v>54</v>
      </c>
      <c r="V8" s="40">
        <f>IF('AAA Summary'!$L$35=4, H8, IF('AAA Summary'!$L$35=3, G8, IF('AAA Summary'!$L$35=2, F8, IF('AAA Summary'!$L$35=1, E8))))</f>
        <v>0.98</v>
      </c>
      <c r="W8" s="16">
        <f>J8-K8</f>
        <v>15.100000000000005</v>
      </c>
      <c r="X8" s="16">
        <f>L8-J8</f>
        <v>15.899999999999991</v>
      </c>
      <c r="Y8" s="16">
        <v>80</v>
      </c>
      <c r="Z8" s="16">
        <v>67</v>
      </c>
      <c r="AA8" s="16">
        <v>41</v>
      </c>
      <c r="AB8" s="16">
        <v>99</v>
      </c>
      <c r="AC8" s="16">
        <f t="shared" ref="AC8:AC28" si="5">Z8-AA8</f>
        <v>26</v>
      </c>
      <c r="AD8" s="16">
        <f>AB8-Z8</f>
        <v>32</v>
      </c>
      <c r="AE8" s="16">
        <v>56</v>
      </c>
      <c r="AF8">
        <v>38</v>
      </c>
      <c r="AG8" s="53" t="b">
        <f>IF('AAA Summary'!$L$4=2, J8, IF('AAA Summary'!$L$4=1, Z8))</f>
        <v>0</v>
      </c>
      <c r="AH8" s="53" t="b">
        <f>IF('AAA Summary'!$L$4=2, W8, IF('AAA Summary'!$L$4=1, AC8))</f>
        <v>0</v>
      </c>
      <c r="AI8" s="53" t="b">
        <f>IF('AAA Summary'!$L$4=2, X8, IF('AAA Summary'!$L$4=1, AD8))</f>
        <v>0</v>
      </c>
      <c r="AJ8" s="53" t="b">
        <f>IF('AAA Summary'!$L$4=2, Y8, IF('AAA Summary'!$L$4=1, AE8))</f>
        <v>0</v>
      </c>
      <c r="AK8" s="13">
        <v>0.442</v>
      </c>
    </row>
    <row r="9" spans="1:37" x14ac:dyDescent="0.25">
      <c r="A9" t="s">
        <v>117</v>
      </c>
      <c r="B9" t="s">
        <v>416</v>
      </c>
      <c r="C9" s="57">
        <v>30</v>
      </c>
      <c r="D9" s="57">
        <v>23</v>
      </c>
      <c r="E9" s="58">
        <v>0.97</v>
      </c>
      <c r="F9" s="58">
        <v>0.93</v>
      </c>
      <c r="G9" s="58">
        <v>1</v>
      </c>
      <c r="H9" s="58">
        <v>0.9</v>
      </c>
      <c r="I9" s="32" t="s">
        <v>470</v>
      </c>
      <c r="J9">
        <v>20.7</v>
      </c>
      <c r="K9">
        <v>8</v>
      </c>
      <c r="L9">
        <v>39.700000000000003</v>
      </c>
      <c r="M9" s="32" t="s">
        <v>314</v>
      </c>
      <c r="N9" s="32" t="s">
        <v>221</v>
      </c>
      <c r="O9" s="59">
        <v>0</v>
      </c>
      <c r="P9" s="32" t="str">
        <f t="shared" ref="P9:P72" si="6">A9</f>
        <v>RTK</v>
      </c>
      <c r="Q9" s="31">
        <f t="shared" si="1"/>
        <v>3</v>
      </c>
      <c r="R9" s="31">
        <f t="shared" si="2"/>
        <v>1</v>
      </c>
      <c r="S9" s="31">
        <f t="shared" si="3"/>
        <v>4</v>
      </c>
      <c r="T9" s="31">
        <f t="shared" si="4"/>
        <v>3</v>
      </c>
      <c r="U9" s="53">
        <f>IF('AAA Summary'!$L$35=4, RANK(H9,H$8:H$82,1)+COUNTIF($H$8:H9,H9)-1, IF('AAA Summary'!$L$35=3, RANK(G9,G$8:G$82,1)+COUNTIF($G$8:G9,G9)-1, IF('AAA Summary'!$L$35=2, RANK(F9,F$8:F$82,1)+COUNTIF($F$8:F9,F9)-1, IF('AAA Summary'!$L$35=1, RANK(E9,E$8:E$82,1)+COUNTIF($E$8:E9,E9)-1))))</f>
        <v>50</v>
      </c>
      <c r="V9" s="40">
        <f>IF('AAA Summary'!$L$35=4, H9, IF('AAA Summary'!$L$35=3, G9, IF('AAA Summary'!$L$35=2, F9, IF('AAA Summary'!$L$35=1, E9))))</f>
        <v>0.97</v>
      </c>
      <c r="W9" s="16">
        <f t="shared" ref="W9:W72" si="7">J9-K9</f>
        <v>12.7</v>
      </c>
      <c r="X9" s="16">
        <f t="shared" ref="X9:X72" si="8">L9-J9</f>
        <v>19.000000000000004</v>
      </c>
      <c r="Y9" s="16">
        <v>80</v>
      </c>
      <c r="Z9" s="16">
        <v>108</v>
      </c>
      <c r="AA9" s="16">
        <v>76</v>
      </c>
      <c r="AB9" s="16">
        <v>174</v>
      </c>
      <c r="AC9" s="16">
        <f t="shared" si="5"/>
        <v>32</v>
      </c>
      <c r="AD9" s="16">
        <f t="shared" ref="AD9:AD72" si="9">AB9-Z9</f>
        <v>66</v>
      </c>
      <c r="AE9" s="16">
        <v>56</v>
      </c>
      <c r="AF9">
        <v>68</v>
      </c>
      <c r="AG9" s="53" t="b">
        <f>IF('AAA Summary'!$L$4=2, J9, IF('AAA Summary'!$L$4=1, Z9))</f>
        <v>0</v>
      </c>
      <c r="AH9" s="53" t="b">
        <f>IF('AAA Summary'!$L$4=2, W9, IF('AAA Summary'!$L$4=1, AC9))</f>
        <v>0</v>
      </c>
      <c r="AI9" s="53" t="b">
        <f>IF('AAA Summary'!$L$4=2, X9, IF('AAA Summary'!$L$4=1, AD9))</f>
        <v>0</v>
      </c>
      <c r="AJ9" s="53" t="b">
        <f>IF('AAA Summary'!$L$4=2, Y9, IF('AAA Summary'!$L$4=1, AE9))</f>
        <v>0</v>
      </c>
      <c r="AK9" s="13">
        <v>0.20699999999999999</v>
      </c>
    </row>
    <row r="10" spans="1:37" x14ac:dyDescent="0.25">
      <c r="A10" t="s">
        <v>45</v>
      </c>
      <c r="B10" t="s">
        <v>417</v>
      </c>
      <c r="C10" s="57">
        <v>20</v>
      </c>
      <c r="D10" s="57">
        <v>19</v>
      </c>
      <c r="E10" s="58">
        <v>1</v>
      </c>
      <c r="F10" s="58">
        <v>1</v>
      </c>
      <c r="G10" s="58">
        <v>1</v>
      </c>
      <c r="H10" s="58">
        <v>0.9</v>
      </c>
      <c r="I10" s="32" t="s">
        <v>471</v>
      </c>
      <c r="J10">
        <v>35</v>
      </c>
      <c r="K10">
        <v>15.4</v>
      </c>
      <c r="L10">
        <v>59.199999999999996</v>
      </c>
      <c r="M10" s="32" t="s">
        <v>335</v>
      </c>
      <c r="N10" s="32" t="s">
        <v>284</v>
      </c>
      <c r="O10" s="59">
        <v>1.2E-2</v>
      </c>
      <c r="P10" s="32" t="str">
        <f t="shared" si="6"/>
        <v>RF4</v>
      </c>
      <c r="Q10" s="31">
        <f t="shared" si="1"/>
        <v>4</v>
      </c>
      <c r="R10" s="31">
        <f t="shared" si="2"/>
        <v>4</v>
      </c>
      <c r="S10" s="31">
        <f t="shared" si="3"/>
        <v>4</v>
      </c>
      <c r="T10" s="31">
        <f t="shared" si="4"/>
        <v>3</v>
      </c>
      <c r="U10" s="53">
        <f>IF('AAA Summary'!$L$35=4, RANK(H10,H$8:H$82,1)+COUNTIF($H$8:H10,H10)-1, IF('AAA Summary'!$L$35=3, RANK(G10,G$8:G$82,1)+COUNTIF($G$8:G10,G10)-1, IF('AAA Summary'!$L$35=2, RANK(F10,F$8:F$82,1)+COUNTIF($F$8:F10,F10)-1, IF('AAA Summary'!$L$35=1, RANK(E10,E$8:E$82,1)+COUNTIF($E$8:E10,E10)-1))))</f>
        <v>61</v>
      </c>
      <c r="V10" s="40">
        <f>IF('AAA Summary'!$L$35=4, H10, IF('AAA Summary'!$L$35=3, G10, IF('AAA Summary'!$L$35=2, F10, IF('AAA Summary'!$L$35=1, E10))))</f>
        <v>1</v>
      </c>
      <c r="W10" s="16">
        <f t="shared" si="7"/>
        <v>19.600000000000001</v>
      </c>
      <c r="X10" s="16">
        <f t="shared" si="8"/>
        <v>24.199999999999996</v>
      </c>
      <c r="Y10" s="16">
        <v>80</v>
      </c>
      <c r="Z10" s="16">
        <v>72</v>
      </c>
      <c r="AA10" s="16">
        <v>46</v>
      </c>
      <c r="AB10" s="16">
        <v>128</v>
      </c>
      <c r="AC10" s="16">
        <f t="shared" si="5"/>
        <v>26</v>
      </c>
      <c r="AD10" s="16">
        <f t="shared" si="9"/>
        <v>56</v>
      </c>
      <c r="AE10" s="16">
        <v>56</v>
      </c>
      <c r="AF10">
        <v>41</v>
      </c>
      <c r="AG10" s="53" t="b">
        <f>IF('AAA Summary'!$L$4=2, J10, IF('AAA Summary'!$L$4=1, Z10))</f>
        <v>0</v>
      </c>
      <c r="AH10" s="53" t="b">
        <f>IF('AAA Summary'!$L$4=2, W10, IF('AAA Summary'!$L$4=1, AC10))</f>
        <v>0</v>
      </c>
      <c r="AI10" s="53" t="b">
        <f>IF('AAA Summary'!$L$4=2, X10, IF('AAA Summary'!$L$4=1, AD10))</f>
        <v>0</v>
      </c>
      <c r="AJ10" s="53" t="b">
        <f>IF('AAA Summary'!$L$4=2, Y10, IF('AAA Summary'!$L$4=1, AE10))</f>
        <v>0</v>
      </c>
      <c r="AK10" s="13">
        <v>0.35</v>
      </c>
    </row>
    <row r="11" spans="1:37" x14ac:dyDescent="0.25">
      <c r="A11" t="s">
        <v>11</v>
      </c>
      <c r="B11" t="s">
        <v>12</v>
      </c>
      <c r="C11" s="57">
        <v>29</v>
      </c>
      <c r="D11" s="57">
        <v>14</v>
      </c>
      <c r="E11" s="58">
        <v>0.9</v>
      </c>
      <c r="F11" s="58">
        <v>1</v>
      </c>
      <c r="G11" s="58">
        <v>0.9</v>
      </c>
      <c r="H11" s="58">
        <v>0.93</v>
      </c>
      <c r="I11" s="32" t="s">
        <v>472</v>
      </c>
      <c r="J11">
        <v>57.699999999999996</v>
      </c>
      <c r="K11">
        <v>36.9</v>
      </c>
      <c r="L11">
        <v>76.599999999999994</v>
      </c>
      <c r="M11" s="32" t="s">
        <v>473</v>
      </c>
      <c r="N11" s="32" t="s">
        <v>214</v>
      </c>
      <c r="O11" s="59">
        <v>4.5999999999999999E-2</v>
      </c>
      <c r="P11" s="32" t="str">
        <f t="shared" si="6"/>
        <v>R1H</v>
      </c>
      <c r="Q11" s="31">
        <f t="shared" si="1"/>
        <v>2</v>
      </c>
      <c r="R11" s="31">
        <f t="shared" si="2"/>
        <v>4</v>
      </c>
      <c r="S11" s="31">
        <f t="shared" si="3"/>
        <v>2</v>
      </c>
      <c r="T11" s="31">
        <f t="shared" si="4"/>
        <v>3</v>
      </c>
      <c r="U11" s="53">
        <f>IF('AAA Summary'!$L$35=4, RANK(H11,H$8:H$82,1)+COUNTIF($H$8:H11,H11)-1, IF('AAA Summary'!$L$35=3, RANK(G11,G$8:G$82,1)+COUNTIF($G$8:G11,G11)-1, IF('AAA Summary'!$L$35=2, RANK(F11,F$8:F$82,1)+COUNTIF($F$8:F11,F11)-1, IF('AAA Summary'!$L$35=1, RANK(E11,E$8:E$82,1)+COUNTIF($E$8:E11,E11)-1))))</f>
        <v>25</v>
      </c>
      <c r="V11" s="40">
        <f>IF('AAA Summary'!$L$35=4, H11, IF('AAA Summary'!$L$35=3, G11, IF('AAA Summary'!$L$35=2, F11, IF('AAA Summary'!$L$35=1, E11))))</f>
        <v>0.9</v>
      </c>
      <c r="W11" s="16">
        <f t="shared" si="7"/>
        <v>20.799999999999997</v>
      </c>
      <c r="X11" s="16">
        <f t="shared" si="8"/>
        <v>18.899999999999999</v>
      </c>
      <c r="Y11" s="16">
        <v>80</v>
      </c>
      <c r="Z11" s="16">
        <v>48</v>
      </c>
      <c r="AA11" s="16">
        <v>28</v>
      </c>
      <c r="AB11" s="16">
        <v>103</v>
      </c>
      <c r="AC11" s="16">
        <f t="shared" si="5"/>
        <v>20</v>
      </c>
      <c r="AD11" s="16">
        <f t="shared" si="9"/>
        <v>55</v>
      </c>
      <c r="AE11" s="16">
        <v>56</v>
      </c>
      <c r="AF11">
        <v>14</v>
      </c>
      <c r="AG11" s="53" t="b">
        <f>IF('AAA Summary'!$L$4=2, J11, IF('AAA Summary'!$L$4=1, Z11))</f>
        <v>0</v>
      </c>
      <c r="AH11" s="53" t="b">
        <f>IF('AAA Summary'!$L$4=2, W11, IF('AAA Summary'!$L$4=1, AC11))</f>
        <v>0</v>
      </c>
      <c r="AI11" s="53" t="b">
        <f>IF('AAA Summary'!$L$4=2, X11, IF('AAA Summary'!$L$4=1, AD11))</f>
        <v>0</v>
      </c>
      <c r="AJ11" s="53" t="b">
        <f>IF('AAA Summary'!$L$4=2, Y11, IF('AAA Summary'!$L$4=1, AE11))</f>
        <v>0</v>
      </c>
      <c r="AK11" s="13">
        <v>0.57699999999999996</v>
      </c>
    </row>
    <row r="12" spans="1:37" x14ac:dyDescent="0.25">
      <c r="A12" t="s">
        <v>35</v>
      </c>
      <c r="B12" t="s">
        <v>36</v>
      </c>
      <c r="C12" s="57">
        <v>37</v>
      </c>
      <c r="D12" s="57">
        <v>31</v>
      </c>
      <c r="E12" s="58">
        <v>0.43</v>
      </c>
      <c r="F12" s="58">
        <v>0.95</v>
      </c>
      <c r="G12" s="58">
        <v>0.42</v>
      </c>
      <c r="H12" s="58">
        <v>0.32</v>
      </c>
      <c r="I12" s="32" t="s">
        <v>474</v>
      </c>
      <c r="J12">
        <v>43.8</v>
      </c>
      <c r="K12">
        <v>19.8</v>
      </c>
      <c r="L12">
        <v>70.099999999999994</v>
      </c>
      <c r="M12" s="32" t="s">
        <v>475</v>
      </c>
      <c r="N12" s="32" t="s">
        <v>263</v>
      </c>
      <c r="O12" s="59">
        <v>2.2000000000000002E-2</v>
      </c>
      <c r="P12" s="32" t="str">
        <f t="shared" si="6"/>
        <v>RDD</v>
      </c>
      <c r="Q12" s="31">
        <f t="shared" si="1"/>
        <v>1</v>
      </c>
      <c r="R12" s="31">
        <f t="shared" si="2"/>
        <v>1</v>
      </c>
      <c r="S12" s="31">
        <f t="shared" si="3"/>
        <v>1</v>
      </c>
      <c r="T12" s="31">
        <f t="shared" si="4"/>
        <v>1</v>
      </c>
      <c r="U12" s="53">
        <f>IF('AAA Summary'!$L$35=4, RANK(H12,H$8:H$82,1)+COUNTIF($H$8:H12,H12)-1, IF('AAA Summary'!$L$35=3, RANK(G12,G$8:G$82,1)+COUNTIF($G$8:G12,G12)-1, IF('AAA Summary'!$L$35=2, RANK(F12,F$8:F$82,1)+COUNTIF($F$8:F12,F12)-1, IF('AAA Summary'!$L$35=1, RANK(E12,E$8:E$82,1)+COUNTIF($E$8:E12,E12)-1))))</f>
        <v>2</v>
      </c>
      <c r="V12" s="40">
        <f>IF('AAA Summary'!$L$35=4, H12, IF('AAA Summary'!$L$35=3, G12, IF('AAA Summary'!$L$35=2, F12, IF('AAA Summary'!$L$35=1, E12))))</f>
        <v>0.43</v>
      </c>
      <c r="W12" s="16">
        <f t="shared" si="7"/>
        <v>23.999999999999996</v>
      </c>
      <c r="X12" s="16">
        <f t="shared" si="8"/>
        <v>26.299999999999997</v>
      </c>
      <c r="Y12" s="16">
        <v>80</v>
      </c>
      <c r="Z12" s="16">
        <v>94</v>
      </c>
      <c r="AA12" s="16">
        <v>40</v>
      </c>
      <c r="AB12" s="16">
        <v>132</v>
      </c>
      <c r="AC12" s="16">
        <f t="shared" si="5"/>
        <v>54</v>
      </c>
      <c r="AD12" s="16">
        <f t="shared" si="9"/>
        <v>38</v>
      </c>
      <c r="AE12" s="16">
        <v>56</v>
      </c>
      <c r="AF12">
        <v>65</v>
      </c>
      <c r="AG12" s="53" t="b">
        <f>IF('AAA Summary'!$L$4=2, J12, IF('AAA Summary'!$L$4=1, Z12))</f>
        <v>0</v>
      </c>
      <c r="AH12" s="53" t="b">
        <f>IF('AAA Summary'!$L$4=2, W12, IF('AAA Summary'!$L$4=1, AC12))</f>
        <v>0</v>
      </c>
      <c r="AI12" s="53" t="b">
        <f>IF('AAA Summary'!$L$4=2, X12, IF('AAA Summary'!$L$4=1, AD12))</f>
        <v>0</v>
      </c>
      <c r="AJ12" s="53" t="b">
        <f>IF('AAA Summary'!$L$4=2, Y12, IF('AAA Summary'!$L$4=1, AE12))</f>
        <v>0</v>
      </c>
      <c r="AK12" s="13">
        <v>0.438</v>
      </c>
    </row>
    <row r="13" spans="1:37" x14ac:dyDescent="0.25">
      <c r="A13" t="s">
        <v>31</v>
      </c>
      <c r="B13" t="s">
        <v>32</v>
      </c>
      <c r="C13" s="57">
        <v>59</v>
      </c>
      <c r="D13" s="57">
        <v>58</v>
      </c>
      <c r="E13" s="58">
        <v>0.95</v>
      </c>
      <c r="F13" s="58">
        <v>1</v>
      </c>
      <c r="G13" s="58">
        <v>0.96</v>
      </c>
      <c r="H13" s="58">
        <v>0.85</v>
      </c>
      <c r="I13" s="32" t="s">
        <v>476</v>
      </c>
      <c r="J13">
        <v>50</v>
      </c>
      <c r="K13">
        <v>36.299999999999997</v>
      </c>
      <c r="L13">
        <v>63.7</v>
      </c>
      <c r="M13" s="32" t="s">
        <v>335</v>
      </c>
      <c r="N13" s="32" t="s">
        <v>286</v>
      </c>
      <c r="O13" s="59">
        <v>1.4999999999999999E-2</v>
      </c>
      <c r="P13" s="32" t="str">
        <f t="shared" si="6"/>
        <v>RC1</v>
      </c>
      <c r="Q13" s="31">
        <f t="shared" si="1"/>
        <v>3</v>
      </c>
      <c r="R13" s="31">
        <f t="shared" si="2"/>
        <v>4</v>
      </c>
      <c r="S13" s="31">
        <f t="shared" si="3"/>
        <v>3</v>
      </c>
      <c r="T13" s="31">
        <f t="shared" si="4"/>
        <v>2</v>
      </c>
      <c r="U13" s="53">
        <f>IF('AAA Summary'!$L$35=4, RANK(H13,H$8:H$82,1)+COUNTIF($H$8:H13,H13)-1, IF('AAA Summary'!$L$35=3, RANK(G13,G$8:G$82,1)+COUNTIF($G$8:G13,G13)-1, IF('AAA Summary'!$L$35=2, RANK(F13,F$8:F$82,1)+COUNTIF($F$8:F13,F13)-1, IF('AAA Summary'!$L$35=1, RANK(E13,E$8:E$82,1)+COUNTIF($E$8:E13,E13)-1))))</f>
        <v>39</v>
      </c>
      <c r="V13" s="40">
        <f>IF('AAA Summary'!$L$35=4, H13, IF('AAA Summary'!$L$35=3, G13, IF('AAA Summary'!$L$35=2, F13, IF('AAA Summary'!$L$35=1, E13))))</f>
        <v>0.95</v>
      </c>
      <c r="W13" s="16">
        <f t="shared" si="7"/>
        <v>13.700000000000003</v>
      </c>
      <c r="X13" s="16">
        <f t="shared" si="8"/>
        <v>13.700000000000003</v>
      </c>
      <c r="Y13" s="16">
        <v>80</v>
      </c>
      <c r="Z13" s="16">
        <v>59</v>
      </c>
      <c r="AA13" s="16">
        <v>31</v>
      </c>
      <c r="AB13" s="16">
        <v>102</v>
      </c>
      <c r="AC13" s="16">
        <f t="shared" si="5"/>
        <v>28</v>
      </c>
      <c r="AD13" s="16">
        <f t="shared" si="9"/>
        <v>43</v>
      </c>
      <c r="AE13" s="16">
        <v>56</v>
      </c>
      <c r="AF13">
        <v>26</v>
      </c>
      <c r="AG13" s="53" t="b">
        <f>IF('AAA Summary'!$L$4=2, J13, IF('AAA Summary'!$L$4=1, Z13))</f>
        <v>0</v>
      </c>
      <c r="AH13" s="53" t="b">
        <f>IF('AAA Summary'!$L$4=2, W13, IF('AAA Summary'!$L$4=1, AC13))</f>
        <v>0</v>
      </c>
      <c r="AI13" s="53" t="b">
        <f>IF('AAA Summary'!$L$4=2, X13, IF('AAA Summary'!$L$4=1, AD13))</f>
        <v>0</v>
      </c>
      <c r="AJ13" s="53" t="b">
        <f>IF('AAA Summary'!$L$4=2, Y13, IF('AAA Summary'!$L$4=1, AE13))</f>
        <v>0</v>
      </c>
      <c r="AK13" s="13">
        <v>0.5</v>
      </c>
    </row>
    <row r="14" spans="1:37" x14ac:dyDescent="0.25">
      <c r="A14" t="s">
        <v>173</v>
      </c>
      <c r="B14" t="s">
        <v>174</v>
      </c>
      <c r="C14" s="57">
        <v>113</v>
      </c>
      <c r="D14" s="57">
        <v>59</v>
      </c>
      <c r="E14" s="58">
        <v>0.96</v>
      </c>
      <c r="F14" s="58">
        <v>0.99</v>
      </c>
      <c r="G14" s="58">
        <v>0.96</v>
      </c>
      <c r="H14" s="58">
        <v>0.94</v>
      </c>
      <c r="I14" s="32" t="s">
        <v>477</v>
      </c>
      <c r="J14">
        <v>17.399999999999999</v>
      </c>
      <c r="K14">
        <v>10.8</v>
      </c>
      <c r="L14">
        <v>25.900000000000002</v>
      </c>
      <c r="M14" s="32" t="s">
        <v>478</v>
      </c>
      <c r="N14" s="32" t="s">
        <v>204</v>
      </c>
      <c r="O14" s="59">
        <v>6.0000000000000001E-3</v>
      </c>
      <c r="P14" s="32" t="str">
        <f t="shared" si="6"/>
        <v>ZT001</v>
      </c>
      <c r="Q14" s="31">
        <f t="shared" si="1"/>
        <v>3</v>
      </c>
      <c r="R14" s="31">
        <f t="shared" si="2"/>
        <v>3</v>
      </c>
      <c r="S14" s="31">
        <f t="shared" si="3"/>
        <v>3</v>
      </c>
      <c r="T14" s="31">
        <f t="shared" si="4"/>
        <v>3</v>
      </c>
      <c r="U14" s="53">
        <f>IF('AAA Summary'!$L$35=4, RANK(H14,H$8:H$82,1)+COUNTIF($H$8:H14,H14)-1, IF('AAA Summary'!$L$35=3, RANK(G14,G$8:G$82,1)+COUNTIF($G$8:G14,G14)-1, IF('AAA Summary'!$L$35=2, RANK(F14,F$8:F$82,1)+COUNTIF($F$8:F14,F14)-1, IF('AAA Summary'!$L$35=1, RANK(E14,E$8:E$82,1)+COUNTIF($E$8:E14,E14)-1))))</f>
        <v>43</v>
      </c>
      <c r="V14" s="40">
        <f>IF('AAA Summary'!$L$35=4, H14, IF('AAA Summary'!$L$35=3, G14, IF('AAA Summary'!$L$35=2, F14, IF('AAA Summary'!$L$35=1, E14))))</f>
        <v>0.96</v>
      </c>
      <c r="W14" s="16">
        <f t="shared" si="7"/>
        <v>6.5999999999999979</v>
      </c>
      <c r="X14" s="16">
        <f t="shared" si="8"/>
        <v>8.5000000000000036</v>
      </c>
      <c r="Y14" s="16">
        <v>80</v>
      </c>
      <c r="Z14" s="16">
        <v>114</v>
      </c>
      <c r="AA14" s="16">
        <v>67</v>
      </c>
      <c r="AB14" s="16">
        <v>212</v>
      </c>
      <c r="AC14" s="16">
        <f t="shared" si="5"/>
        <v>47</v>
      </c>
      <c r="AD14" s="16">
        <f t="shared" si="9"/>
        <v>98</v>
      </c>
      <c r="AE14" s="16">
        <v>56</v>
      </c>
      <c r="AF14">
        <v>70</v>
      </c>
      <c r="AG14" s="53" t="b">
        <f>IF('AAA Summary'!$L$4=2, J14, IF('AAA Summary'!$L$4=1, Z14))</f>
        <v>0</v>
      </c>
      <c r="AH14" s="53" t="b">
        <f>IF('AAA Summary'!$L$4=2, W14, IF('AAA Summary'!$L$4=1, AC14))</f>
        <v>0</v>
      </c>
      <c r="AI14" s="53" t="b">
        <f>IF('AAA Summary'!$L$4=2, X14, IF('AAA Summary'!$L$4=1, AD14))</f>
        <v>0</v>
      </c>
      <c r="AJ14" s="53" t="b">
        <f>IF('AAA Summary'!$L$4=2, Y14, IF('AAA Summary'!$L$4=1, AE14))</f>
        <v>0</v>
      </c>
      <c r="AK14" s="13">
        <v>0.17399999999999999</v>
      </c>
    </row>
    <row r="15" spans="1:37" x14ac:dyDescent="0.25">
      <c r="A15" t="s">
        <v>0</v>
      </c>
      <c r="B15" t="s">
        <v>1</v>
      </c>
      <c r="C15" s="57">
        <v>35</v>
      </c>
      <c r="D15" s="57">
        <v>21</v>
      </c>
      <c r="E15" s="58">
        <v>0.94</v>
      </c>
      <c r="F15" s="58">
        <v>0.97</v>
      </c>
      <c r="G15" s="58">
        <v>0.94</v>
      </c>
      <c r="H15" s="58">
        <v>0.8</v>
      </c>
      <c r="I15" s="32" t="s">
        <v>479</v>
      </c>
      <c r="J15">
        <v>24.2</v>
      </c>
      <c r="K15">
        <v>11.1</v>
      </c>
      <c r="L15">
        <v>42.3</v>
      </c>
      <c r="M15" s="32" t="s">
        <v>321</v>
      </c>
      <c r="N15" s="32" t="s">
        <v>220</v>
      </c>
      <c r="O15" s="59">
        <v>9.0000000000000011E-3</v>
      </c>
      <c r="P15" s="32" t="str">
        <f t="shared" si="6"/>
        <v>7A1</v>
      </c>
      <c r="Q15" s="31">
        <f t="shared" si="1"/>
        <v>3</v>
      </c>
      <c r="R15" s="31">
        <f t="shared" si="2"/>
        <v>2</v>
      </c>
      <c r="S15" s="31">
        <f t="shared" si="3"/>
        <v>2</v>
      </c>
      <c r="T15" s="31">
        <f t="shared" si="4"/>
        <v>2</v>
      </c>
      <c r="U15" s="53">
        <f>IF('AAA Summary'!$L$35=4, RANK(H15,H$8:H$82,1)+COUNTIF($H$8:H15,H15)-1, IF('AAA Summary'!$L$35=3, RANK(G15,G$8:G$82,1)+COUNTIF($G$8:G15,G15)-1, IF('AAA Summary'!$L$35=2, RANK(F15,F$8:F$82,1)+COUNTIF($F$8:F15,F15)-1, IF('AAA Summary'!$L$35=1, RANK(E15,E$8:E$82,1)+COUNTIF($E$8:E15,E15)-1))))</f>
        <v>35</v>
      </c>
      <c r="V15" s="40">
        <f>IF('AAA Summary'!$L$35=4, H15, IF('AAA Summary'!$L$35=3, G15, IF('AAA Summary'!$L$35=2, F15, IF('AAA Summary'!$L$35=1, E15))))</f>
        <v>0.94</v>
      </c>
      <c r="W15" s="16">
        <f t="shared" si="7"/>
        <v>13.1</v>
      </c>
      <c r="X15" s="16">
        <f t="shared" si="8"/>
        <v>18.099999999999998</v>
      </c>
      <c r="Y15" s="16">
        <v>80</v>
      </c>
      <c r="Z15" s="16">
        <v>89</v>
      </c>
      <c r="AA15" s="16">
        <v>60</v>
      </c>
      <c r="AB15" s="16">
        <v>158</v>
      </c>
      <c r="AC15" s="16">
        <f t="shared" si="5"/>
        <v>29</v>
      </c>
      <c r="AD15" s="16">
        <f t="shared" si="9"/>
        <v>69</v>
      </c>
      <c r="AE15" s="16">
        <v>56</v>
      </c>
      <c r="AF15">
        <v>62</v>
      </c>
      <c r="AG15" s="53" t="b">
        <f>IF('AAA Summary'!$L$4=2, J15, IF('AAA Summary'!$L$4=1, Z15))</f>
        <v>0</v>
      </c>
      <c r="AH15" s="53" t="b">
        <f>IF('AAA Summary'!$L$4=2, W15, IF('AAA Summary'!$L$4=1, AC15))</f>
        <v>0</v>
      </c>
      <c r="AI15" s="53" t="b">
        <f>IF('AAA Summary'!$L$4=2, X15, IF('AAA Summary'!$L$4=1, AD15))</f>
        <v>0</v>
      </c>
      <c r="AJ15" s="53" t="b">
        <f>IF('AAA Summary'!$L$4=2, Y15, IF('AAA Summary'!$L$4=1, AE15))</f>
        <v>0</v>
      </c>
      <c r="AK15" s="13">
        <v>0.24199999999999999</v>
      </c>
    </row>
    <row r="16" spans="1:37" x14ac:dyDescent="0.25">
      <c r="A16" t="s">
        <v>17</v>
      </c>
      <c r="B16" t="s">
        <v>18</v>
      </c>
      <c r="C16" s="57">
        <v>25</v>
      </c>
      <c r="D16" s="57">
        <v>14</v>
      </c>
      <c r="E16" s="58">
        <v>0.96</v>
      </c>
      <c r="F16" s="58">
        <v>0.96</v>
      </c>
      <c r="G16" s="58">
        <v>1</v>
      </c>
      <c r="H16" s="58">
        <v>0.96</v>
      </c>
      <c r="I16" s="32" t="s">
        <v>480</v>
      </c>
      <c r="J16">
        <v>58.3</v>
      </c>
      <c r="K16">
        <v>36.6</v>
      </c>
      <c r="L16">
        <v>77.900000000000006</v>
      </c>
      <c r="M16" s="32" t="s">
        <v>481</v>
      </c>
      <c r="N16" s="32" t="s">
        <v>203</v>
      </c>
      <c r="O16" s="59">
        <v>1.1000000000000001E-2</v>
      </c>
      <c r="P16" s="32" t="str">
        <f t="shared" si="6"/>
        <v>RAE</v>
      </c>
      <c r="Q16" s="31">
        <f t="shared" si="1"/>
        <v>3</v>
      </c>
      <c r="R16" s="31">
        <f t="shared" si="2"/>
        <v>1</v>
      </c>
      <c r="S16" s="31">
        <f t="shared" si="3"/>
        <v>4</v>
      </c>
      <c r="T16" s="31">
        <f t="shared" si="4"/>
        <v>4</v>
      </c>
      <c r="U16" s="53">
        <f>IF('AAA Summary'!$L$35=4, RANK(H16,H$8:H$82,1)+COUNTIF($H$8:H16,H16)-1, IF('AAA Summary'!$L$35=3, RANK(G16,G$8:G$82,1)+COUNTIF($G$8:G16,G16)-1, IF('AAA Summary'!$L$35=2, RANK(F16,F$8:F$82,1)+COUNTIF($F$8:F16,F16)-1, IF('AAA Summary'!$L$35=1, RANK(E16,E$8:E$82,1)+COUNTIF($E$8:E16,E16)-1))))</f>
        <v>44</v>
      </c>
      <c r="V16" s="40">
        <f>IF('AAA Summary'!$L$35=4, H16, IF('AAA Summary'!$L$35=3, G16, IF('AAA Summary'!$L$35=2, F16, IF('AAA Summary'!$L$35=1, E16))))</f>
        <v>0.96</v>
      </c>
      <c r="W16" s="16">
        <f t="shared" si="7"/>
        <v>21.699999999999996</v>
      </c>
      <c r="X16" s="16">
        <f t="shared" si="8"/>
        <v>19.600000000000009</v>
      </c>
      <c r="Y16" s="16">
        <v>80</v>
      </c>
      <c r="Z16" s="16">
        <v>48</v>
      </c>
      <c r="AA16" s="16">
        <v>29</v>
      </c>
      <c r="AB16" s="16">
        <v>104</v>
      </c>
      <c r="AC16" s="16">
        <f t="shared" si="5"/>
        <v>19</v>
      </c>
      <c r="AD16" s="16">
        <f t="shared" si="9"/>
        <v>56</v>
      </c>
      <c r="AE16" s="16">
        <v>56</v>
      </c>
      <c r="AF16">
        <v>15</v>
      </c>
      <c r="AG16" s="53" t="b">
        <f>IF('AAA Summary'!$L$4=2, J16, IF('AAA Summary'!$L$4=1, Z16))</f>
        <v>0</v>
      </c>
      <c r="AH16" s="53" t="b">
        <f>IF('AAA Summary'!$L$4=2, W16, IF('AAA Summary'!$L$4=1, AC16))</f>
        <v>0</v>
      </c>
      <c r="AI16" s="53" t="b">
        <f>IF('AAA Summary'!$L$4=2, X16, IF('AAA Summary'!$L$4=1, AD16))</f>
        <v>0</v>
      </c>
      <c r="AJ16" s="53" t="b">
        <f>IF('AAA Summary'!$L$4=2, Y16, IF('AAA Summary'!$L$4=1, AE16))</f>
        <v>0</v>
      </c>
      <c r="AK16" s="13">
        <v>0.58299999999999996</v>
      </c>
    </row>
    <row r="17" spans="1:37" x14ac:dyDescent="0.25">
      <c r="A17" t="s">
        <v>145</v>
      </c>
      <c r="B17" t="s">
        <v>146</v>
      </c>
      <c r="C17" s="57">
        <v>63</v>
      </c>
      <c r="D17" s="57">
        <v>49</v>
      </c>
      <c r="E17" s="58">
        <v>0.98</v>
      </c>
      <c r="F17" s="58">
        <v>0.98</v>
      </c>
      <c r="G17" s="58">
        <v>0.98</v>
      </c>
      <c r="H17" s="58">
        <v>0.87</v>
      </c>
      <c r="I17" s="32" t="s">
        <v>482</v>
      </c>
      <c r="J17">
        <v>35.5</v>
      </c>
      <c r="K17">
        <v>23.7</v>
      </c>
      <c r="L17">
        <v>48.699999999999996</v>
      </c>
      <c r="M17" s="32" t="s">
        <v>219</v>
      </c>
      <c r="N17" s="32" t="s">
        <v>263</v>
      </c>
      <c r="O17" s="59">
        <v>0.01</v>
      </c>
      <c r="P17" s="32" t="str">
        <f t="shared" si="6"/>
        <v>RXH</v>
      </c>
      <c r="Q17" s="31">
        <f t="shared" si="1"/>
        <v>4</v>
      </c>
      <c r="R17" s="31">
        <f t="shared" si="2"/>
        <v>2</v>
      </c>
      <c r="S17" s="31">
        <f t="shared" si="3"/>
        <v>3</v>
      </c>
      <c r="T17" s="31">
        <f t="shared" si="4"/>
        <v>2</v>
      </c>
      <c r="U17" s="53">
        <f>IF('AAA Summary'!$L$35=4, RANK(H17,H$8:H$82,1)+COUNTIF($H$8:H17,H17)-1, IF('AAA Summary'!$L$35=3, RANK(G17,G$8:G$82,1)+COUNTIF($G$8:G17,G17)-1, IF('AAA Summary'!$L$35=2, RANK(F17,F$8:F$82,1)+COUNTIF($F$8:F17,F17)-1, IF('AAA Summary'!$L$35=1, RANK(E17,E$8:E$82,1)+COUNTIF($E$8:E17,E17)-1))))</f>
        <v>55</v>
      </c>
      <c r="V17" s="40">
        <f>IF('AAA Summary'!$L$35=4, H17, IF('AAA Summary'!$L$35=3, G17, IF('AAA Summary'!$L$35=2, F17, IF('AAA Summary'!$L$35=1, E17))))</f>
        <v>0.98</v>
      </c>
      <c r="W17" s="16">
        <f t="shared" si="7"/>
        <v>11.8</v>
      </c>
      <c r="X17" s="16">
        <f t="shared" si="8"/>
        <v>13.199999999999996</v>
      </c>
      <c r="Y17" s="16">
        <v>80</v>
      </c>
      <c r="Z17" s="16">
        <v>80</v>
      </c>
      <c r="AA17" s="16">
        <v>47</v>
      </c>
      <c r="AB17" s="16">
        <v>163</v>
      </c>
      <c r="AC17" s="16">
        <f t="shared" si="5"/>
        <v>33</v>
      </c>
      <c r="AD17" s="16">
        <f t="shared" si="9"/>
        <v>83</v>
      </c>
      <c r="AE17" s="16">
        <v>56</v>
      </c>
      <c r="AF17">
        <v>54</v>
      </c>
      <c r="AG17" s="53" t="b">
        <f>IF('AAA Summary'!$L$4=2, J17, IF('AAA Summary'!$L$4=1, Z17))</f>
        <v>0</v>
      </c>
      <c r="AH17" s="53" t="b">
        <f>IF('AAA Summary'!$L$4=2, W17, IF('AAA Summary'!$L$4=1, AC17))</f>
        <v>0</v>
      </c>
      <c r="AI17" s="53" t="b">
        <f>IF('AAA Summary'!$L$4=2, X17, IF('AAA Summary'!$L$4=1, AD17))</f>
        <v>0</v>
      </c>
      <c r="AJ17" s="53" t="b">
        <f>IF('AAA Summary'!$L$4=2, Y17, IF('AAA Summary'!$L$4=1, AE17))</f>
        <v>0</v>
      </c>
      <c r="AK17" s="13">
        <v>0.35499999999999998</v>
      </c>
    </row>
    <row r="18" spans="1:37" x14ac:dyDescent="0.25">
      <c r="A18" t="s">
        <v>139</v>
      </c>
      <c r="B18" t="s">
        <v>140</v>
      </c>
      <c r="C18" s="57">
        <v>20</v>
      </c>
      <c r="D18" s="57">
        <v>7</v>
      </c>
      <c r="E18" s="58">
        <v>0.95</v>
      </c>
      <c r="F18" s="58">
        <v>1</v>
      </c>
      <c r="G18" s="58">
        <v>0.95</v>
      </c>
      <c r="H18" s="58">
        <v>0.7</v>
      </c>
      <c r="I18" s="32" t="s">
        <v>483</v>
      </c>
      <c r="J18">
        <v>63.2</v>
      </c>
      <c r="K18">
        <v>38.4</v>
      </c>
      <c r="L18">
        <v>83.7</v>
      </c>
      <c r="M18" s="32" t="s">
        <v>397</v>
      </c>
      <c r="N18" s="32" t="s">
        <v>484</v>
      </c>
      <c r="O18" s="59">
        <v>0</v>
      </c>
      <c r="P18" s="32" t="str">
        <f t="shared" si="6"/>
        <v>RWY</v>
      </c>
      <c r="Q18" s="31">
        <f t="shared" si="1"/>
        <v>3</v>
      </c>
      <c r="R18" s="31">
        <f t="shared" si="2"/>
        <v>4</v>
      </c>
      <c r="S18" s="31">
        <f t="shared" si="3"/>
        <v>3</v>
      </c>
      <c r="T18" s="31">
        <f t="shared" si="4"/>
        <v>1</v>
      </c>
      <c r="U18" s="53">
        <f>IF('AAA Summary'!$L$35=4, RANK(H18,H$8:H$82,1)+COUNTIF($H$8:H18,H18)-1, IF('AAA Summary'!$L$35=3, RANK(G18,G$8:G$82,1)+COUNTIF($G$8:G18,G18)-1, IF('AAA Summary'!$L$35=2, RANK(F18,F$8:F$82,1)+COUNTIF($F$8:F18,F18)-1, IF('AAA Summary'!$L$35=1, RANK(E18,E$8:E$82,1)+COUNTIF($E$8:E18,E18)-1))))</f>
        <v>40</v>
      </c>
      <c r="V18" s="40">
        <f>IF('AAA Summary'!$L$35=4, H18, IF('AAA Summary'!$L$35=3, G18, IF('AAA Summary'!$L$35=2, F18, IF('AAA Summary'!$L$35=1, E18))))</f>
        <v>0.95</v>
      </c>
      <c r="W18" s="16">
        <f t="shared" si="7"/>
        <v>24.800000000000004</v>
      </c>
      <c r="X18" s="16">
        <f t="shared" si="8"/>
        <v>20.5</v>
      </c>
      <c r="Y18" s="16">
        <v>80</v>
      </c>
      <c r="Z18" s="16">
        <v>45</v>
      </c>
      <c r="AA18" s="16">
        <v>27</v>
      </c>
      <c r="AB18" s="16">
        <v>84</v>
      </c>
      <c r="AC18" s="16">
        <f t="shared" si="5"/>
        <v>18</v>
      </c>
      <c r="AD18" s="16">
        <f t="shared" si="9"/>
        <v>39</v>
      </c>
      <c r="AE18" s="16">
        <v>56</v>
      </c>
      <c r="AF18">
        <v>6</v>
      </c>
      <c r="AG18" s="53" t="b">
        <f>IF('AAA Summary'!$L$4=2, J18, IF('AAA Summary'!$L$4=1, Z18))</f>
        <v>0</v>
      </c>
      <c r="AH18" s="53" t="b">
        <f>IF('AAA Summary'!$L$4=2, W18, IF('AAA Summary'!$L$4=1, AC18))</f>
        <v>0</v>
      </c>
      <c r="AI18" s="53" t="b">
        <f>IF('AAA Summary'!$L$4=2, X18, IF('AAA Summary'!$L$4=1, AD18))</f>
        <v>0</v>
      </c>
      <c r="AJ18" s="53" t="b">
        <f>IF('AAA Summary'!$L$4=2, Y18, IF('AAA Summary'!$L$4=1, AE18))</f>
        <v>0</v>
      </c>
      <c r="AK18" s="13">
        <v>0.63200000000000001</v>
      </c>
    </row>
    <row r="19" spans="1:37" x14ac:dyDescent="0.25">
      <c r="A19" t="s">
        <v>51</v>
      </c>
      <c r="B19" t="s">
        <v>52</v>
      </c>
      <c r="C19" s="57">
        <v>93</v>
      </c>
      <c r="D19" s="57">
        <v>55</v>
      </c>
      <c r="E19" s="58">
        <v>0.7</v>
      </c>
      <c r="F19" s="58">
        <v>0.99</v>
      </c>
      <c r="G19" s="58">
        <v>0.71</v>
      </c>
      <c r="H19" s="58">
        <v>0.84</v>
      </c>
      <c r="I19" s="32" t="s">
        <v>485</v>
      </c>
      <c r="J19">
        <v>30.8</v>
      </c>
      <c r="K19">
        <v>19.900000000000002</v>
      </c>
      <c r="L19">
        <v>43.4</v>
      </c>
      <c r="M19" s="32" t="s">
        <v>321</v>
      </c>
      <c r="N19" s="32" t="s">
        <v>285</v>
      </c>
      <c r="O19" s="59">
        <v>3.0000000000000001E-3</v>
      </c>
      <c r="P19" s="32" t="str">
        <f t="shared" si="6"/>
        <v>RGT</v>
      </c>
      <c r="Q19" s="31">
        <f t="shared" si="1"/>
        <v>1</v>
      </c>
      <c r="R19" s="31">
        <f t="shared" si="2"/>
        <v>3</v>
      </c>
      <c r="S19" s="31">
        <f t="shared" si="3"/>
        <v>1</v>
      </c>
      <c r="T19" s="31">
        <f t="shared" si="4"/>
        <v>2</v>
      </c>
      <c r="U19" s="53">
        <f>IF('AAA Summary'!$L$35=4, RANK(H19,H$8:H$82,1)+COUNTIF($H$8:H19,H19)-1, IF('AAA Summary'!$L$35=3, RANK(G19,G$8:G$82,1)+COUNTIF($G$8:G19,G19)-1, IF('AAA Summary'!$L$35=2, RANK(F19,F$8:F$82,1)+COUNTIF($F$8:F19,F19)-1, IF('AAA Summary'!$L$35=1, RANK(E19,E$8:E$82,1)+COUNTIF($E$8:E19,E19)-1))))</f>
        <v>5</v>
      </c>
      <c r="V19" s="40">
        <f>IF('AAA Summary'!$L$35=4, H19, IF('AAA Summary'!$L$35=3, G19, IF('AAA Summary'!$L$35=2, F19, IF('AAA Summary'!$L$35=1, E19))))</f>
        <v>0.7</v>
      </c>
      <c r="W19" s="16">
        <f t="shared" si="7"/>
        <v>10.899999999999999</v>
      </c>
      <c r="X19" s="16">
        <f t="shared" si="8"/>
        <v>12.599999999999998</v>
      </c>
      <c r="Y19" s="16">
        <v>80</v>
      </c>
      <c r="Z19" s="16">
        <v>77</v>
      </c>
      <c r="AA19" s="16">
        <v>42</v>
      </c>
      <c r="AB19" s="16">
        <v>128</v>
      </c>
      <c r="AC19" s="16">
        <f t="shared" si="5"/>
        <v>35</v>
      </c>
      <c r="AD19" s="16">
        <f t="shared" si="9"/>
        <v>51</v>
      </c>
      <c r="AE19" s="16">
        <v>56</v>
      </c>
      <c r="AF19">
        <v>50</v>
      </c>
      <c r="AG19" s="53" t="b">
        <f>IF('AAA Summary'!$L$4=2, J19, IF('AAA Summary'!$L$4=1, Z19))</f>
        <v>0</v>
      </c>
      <c r="AH19" s="53" t="b">
        <f>IF('AAA Summary'!$L$4=2, W19, IF('AAA Summary'!$L$4=1, AC19))</f>
        <v>0</v>
      </c>
      <c r="AI19" s="53" t="b">
        <f>IF('AAA Summary'!$L$4=2, X19, IF('AAA Summary'!$L$4=1, AD19))</f>
        <v>0</v>
      </c>
      <c r="AJ19" s="53" t="b">
        <f>IF('AAA Summary'!$L$4=2, Y19, IF('AAA Summary'!$L$4=1, AE19))</f>
        <v>0</v>
      </c>
      <c r="AK19" s="13">
        <v>0.308</v>
      </c>
    </row>
    <row r="20" spans="1:37" x14ac:dyDescent="0.25">
      <c r="A20" t="s">
        <v>3</v>
      </c>
      <c r="B20" t="s">
        <v>4</v>
      </c>
      <c r="C20" s="57">
        <v>21</v>
      </c>
      <c r="D20" s="57">
        <v>13</v>
      </c>
      <c r="E20" s="58">
        <v>1</v>
      </c>
      <c r="F20" s="58">
        <v>1</v>
      </c>
      <c r="G20" s="58">
        <v>1</v>
      </c>
      <c r="H20" s="58">
        <v>0.9</v>
      </c>
      <c r="I20" s="32" t="s">
        <v>486</v>
      </c>
      <c r="J20">
        <v>38.1</v>
      </c>
      <c r="K20">
        <v>18.099999999999998</v>
      </c>
      <c r="L20">
        <v>61.6</v>
      </c>
      <c r="M20" s="32" t="s">
        <v>390</v>
      </c>
      <c r="N20" s="32" t="s">
        <v>301</v>
      </c>
      <c r="O20" s="59">
        <v>5.5999999999999994E-2</v>
      </c>
      <c r="P20" s="32" t="str">
        <f t="shared" si="6"/>
        <v>7A4</v>
      </c>
      <c r="Q20" s="31">
        <f t="shared" si="1"/>
        <v>4</v>
      </c>
      <c r="R20" s="31">
        <f t="shared" si="2"/>
        <v>4</v>
      </c>
      <c r="S20" s="31">
        <f t="shared" si="3"/>
        <v>4</v>
      </c>
      <c r="T20" s="31">
        <f t="shared" si="4"/>
        <v>3</v>
      </c>
      <c r="U20" s="53">
        <f>IF('AAA Summary'!$L$35=4, RANK(H20,H$8:H$82,1)+COUNTIF($H$8:H20,H20)-1, IF('AAA Summary'!$L$35=3, RANK(G20,G$8:G$82,1)+COUNTIF($G$8:G20,G20)-1, IF('AAA Summary'!$L$35=2, RANK(F20,F$8:F$82,1)+COUNTIF($F$8:F20,F20)-1, IF('AAA Summary'!$L$35=1, RANK(E20,E$8:E$82,1)+COUNTIF($E$8:E20,E20)-1))))</f>
        <v>62</v>
      </c>
      <c r="V20" s="40">
        <f>IF('AAA Summary'!$L$35=4, H20, IF('AAA Summary'!$L$35=3, G20, IF('AAA Summary'!$L$35=2, F20, IF('AAA Summary'!$L$35=1, E20))))</f>
        <v>1</v>
      </c>
      <c r="W20" s="16">
        <f t="shared" si="7"/>
        <v>20.000000000000004</v>
      </c>
      <c r="X20" s="16">
        <f t="shared" si="8"/>
        <v>23.5</v>
      </c>
      <c r="Y20" s="16">
        <v>80</v>
      </c>
      <c r="Z20" s="16">
        <v>68</v>
      </c>
      <c r="AA20" s="16">
        <v>52</v>
      </c>
      <c r="AB20" s="16">
        <v>106</v>
      </c>
      <c r="AC20" s="16">
        <f t="shared" si="5"/>
        <v>16</v>
      </c>
      <c r="AD20" s="16">
        <f t="shared" si="9"/>
        <v>38</v>
      </c>
      <c r="AE20" s="16">
        <v>56</v>
      </c>
      <c r="AF20">
        <v>39</v>
      </c>
      <c r="AG20" s="53" t="b">
        <f>IF('AAA Summary'!$L$4=2, J20, IF('AAA Summary'!$L$4=1, Z20))</f>
        <v>0</v>
      </c>
      <c r="AH20" s="53" t="b">
        <f>IF('AAA Summary'!$L$4=2, W20, IF('AAA Summary'!$L$4=1, AC20))</f>
        <v>0</v>
      </c>
      <c r="AI20" s="53" t="b">
        <f>IF('AAA Summary'!$L$4=2, X20, IF('AAA Summary'!$L$4=1, AD20))</f>
        <v>0</v>
      </c>
      <c r="AJ20" s="53" t="b">
        <f>IF('AAA Summary'!$L$4=2, Y20, IF('AAA Summary'!$L$4=1, AE20))</f>
        <v>0</v>
      </c>
      <c r="AK20" s="13">
        <v>0.38100000000000001</v>
      </c>
    </row>
    <row r="21" spans="1:37" x14ac:dyDescent="0.25">
      <c r="A21" t="s">
        <v>78</v>
      </c>
      <c r="B21" t="s">
        <v>79</v>
      </c>
      <c r="C21" s="57">
        <v>48</v>
      </c>
      <c r="D21" s="57">
        <v>38</v>
      </c>
      <c r="E21" s="58">
        <v>0.88</v>
      </c>
      <c r="F21" s="58">
        <v>1</v>
      </c>
      <c r="G21" s="58">
        <v>0.93</v>
      </c>
      <c r="H21" s="58">
        <v>1</v>
      </c>
      <c r="I21" s="32" t="s">
        <v>487</v>
      </c>
      <c r="J21">
        <v>64.3</v>
      </c>
      <c r="K21">
        <v>48</v>
      </c>
      <c r="L21">
        <v>78.400000000000006</v>
      </c>
      <c r="M21" s="32" t="s">
        <v>245</v>
      </c>
      <c r="N21" s="32" t="s">
        <v>284</v>
      </c>
      <c r="O21" s="59">
        <v>2.7999999999999997E-2</v>
      </c>
      <c r="P21" s="32" t="str">
        <f t="shared" si="6"/>
        <v>RLN</v>
      </c>
      <c r="Q21" s="31">
        <f t="shared" si="1"/>
        <v>2</v>
      </c>
      <c r="R21" s="31">
        <f t="shared" si="2"/>
        <v>4</v>
      </c>
      <c r="S21" s="31">
        <f t="shared" si="3"/>
        <v>2</v>
      </c>
      <c r="T21" s="31">
        <f t="shared" si="4"/>
        <v>4</v>
      </c>
      <c r="U21" s="53">
        <f>IF('AAA Summary'!$L$35=4, RANK(H21,H$8:H$82,1)+COUNTIF($H$8:H21,H21)-1, IF('AAA Summary'!$L$35=3, RANK(G21,G$8:G$82,1)+COUNTIF($G$8:G21,G21)-1, IF('AAA Summary'!$L$35=2, RANK(F21,F$8:F$82,1)+COUNTIF($F$8:F21,F21)-1, IF('AAA Summary'!$L$35=1, RANK(E21,E$8:E$82,1)+COUNTIF($E$8:E21,E21)-1))))</f>
        <v>19</v>
      </c>
      <c r="V21" s="40">
        <f>IF('AAA Summary'!$L$35=4, H21, IF('AAA Summary'!$L$35=3, G21, IF('AAA Summary'!$L$35=2, F21, IF('AAA Summary'!$L$35=1, E21))))</f>
        <v>0.88</v>
      </c>
      <c r="W21" s="16">
        <f t="shared" si="7"/>
        <v>16.299999999999997</v>
      </c>
      <c r="X21" s="16">
        <f t="shared" si="8"/>
        <v>14.100000000000009</v>
      </c>
      <c r="Y21" s="16">
        <v>80</v>
      </c>
      <c r="Z21" s="16">
        <v>47</v>
      </c>
      <c r="AA21" s="16">
        <v>25</v>
      </c>
      <c r="AB21" s="16">
        <v>82</v>
      </c>
      <c r="AC21" s="16">
        <f t="shared" si="5"/>
        <v>22</v>
      </c>
      <c r="AD21" s="16">
        <f t="shared" si="9"/>
        <v>35</v>
      </c>
      <c r="AE21" s="16">
        <v>56</v>
      </c>
      <c r="AF21">
        <v>11</v>
      </c>
      <c r="AG21" s="53" t="b">
        <f>IF('AAA Summary'!$L$4=2, J21, IF('AAA Summary'!$L$4=1, Z21))</f>
        <v>0</v>
      </c>
      <c r="AH21" s="53" t="b">
        <f>IF('AAA Summary'!$L$4=2, W21, IF('AAA Summary'!$L$4=1, AC21))</f>
        <v>0</v>
      </c>
      <c r="AI21" s="53" t="b">
        <f>IF('AAA Summary'!$L$4=2, X21, IF('AAA Summary'!$L$4=1, AD21))</f>
        <v>0</v>
      </c>
      <c r="AJ21" s="53" t="b">
        <f>IF('AAA Summary'!$L$4=2, Y21, IF('AAA Summary'!$L$4=1, AE21))</f>
        <v>0</v>
      </c>
      <c r="AK21" s="13">
        <v>0.64300000000000002</v>
      </c>
    </row>
    <row r="22" spans="1:37" x14ac:dyDescent="0.25">
      <c r="A22" t="s">
        <v>69</v>
      </c>
      <c r="B22" t="s">
        <v>70</v>
      </c>
      <c r="C22" s="57">
        <v>72</v>
      </c>
      <c r="D22" s="57">
        <v>65</v>
      </c>
      <c r="E22" s="58">
        <v>0.97</v>
      </c>
      <c r="F22" s="58">
        <v>0.99</v>
      </c>
      <c r="G22" s="58">
        <v>0.97</v>
      </c>
      <c r="H22" s="58">
        <v>0.9</v>
      </c>
      <c r="I22" s="32" t="s">
        <v>488</v>
      </c>
      <c r="J22">
        <v>37.1</v>
      </c>
      <c r="K22">
        <v>25.900000000000002</v>
      </c>
      <c r="L22">
        <v>49.5</v>
      </c>
      <c r="M22" s="32" t="s">
        <v>489</v>
      </c>
      <c r="N22" s="32" t="s">
        <v>286</v>
      </c>
      <c r="O22" s="59">
        <v>1.3000000000000001E-2</v>
      </c>
      <c r="P22" s="32" t="str">
        <f t="shared" si="6"/>
        <v>RJR</v>
      </c>
      <c r="Q22" s="31">
        <f t="shared" si="1"/>
        <v>3</v>
      </c>
      <c r="R22" s="31">
        <f t="shared" si="2"/>
        <v>3</v>
      </c>
      <c r="S22" s="31">
        <f t="shared" si="3"/>
        <v>3</v>
      </c>
      <c r="T22" s="31">
        <f t="shared" si="4"/>
        <v>3</v>
      </c>
      <c r="U22" s="53">
        <f>IF('AAA Summary'!$L$35=4, RANK(H22,H$8:H$82,1)+COUNTIF($H$8:H22,H22)-1, IF('AAA Summary'!$L$35=3, RANK(G22,G$8:G$82,1)+COUNTIF($G$8:G22,G22)-1, IF('AAA Summary'!$L$35=2, RANK(F22,F$8:F$82,1)+COUNTIF($F$8:F22,F22)-1, IF('AAA Summary'!$L$35=1, RANK(E22,E$8:E$82,1)+COUNTIF($E$8:E22,E22)-1))))</f>
        <v>51</v>
      </c>
      <c r="V22" s="40">
        <f>IF('AAA Summary'!$L$35=4, H22, IF('AAA Summary'!$L$35=3, G22, IF('AAA Summary'!$L$35=2, F22, IF('AAA Summary'!$L$35=1, E22))))</f>
        <v>0.97</v>
      </c>
      <c r="W22" s="16">
        <f t="shared" si="7"/>
        <v>11.2</v>
      </c>
      <c r="X22" s="16">
        <f t="shared" si="8"/>
        <v>12.399999999999999</v>
      </c>
      <c r="Y22" s="16">
        <v>80</v>
      </c>
      <c r="Z22" s="16">
        <v>76</v>
      </c>
      <c r="AA22" s="16">
        <v>36</v>
      </c>
      <c r="AB22" s="16">
        <v>128</v>
      </c>
      <c r="AC22" s="16">
        <f t="shared" si="5"/>
        <v>40</v>
      </c>
      <c r="AD22" s="16">
        <f t="shared" si="9"/>
        <v>52</v>
      </c>
      <c r="AE22" s="16">
        <v>56</v>
      </c>
      <c r="AF22">
        <v>49</v>
      </c>
      <c r="AG22" s="53" t="b">
        <f>IF('AAA Summary'!$L$4=2, J22, IF('AAA Summary'!$L$4=1, Z22))</f>
        <v>0</v>
      </c>
      <c r="AH22" s="53" t="b">
        <f>IF('AAA Summary'!$L$4=2, W22, IF('AAA Summary'!$L$4=1, AC22))</f>
        <v>0</v>
      </c>
      <c r="AI22" s="53" t="b">
        <f>IF('AAA Summary'!$L$4=2, X22, IF('AAA Summary'!$L$4=1, AD22))</f>
        <v>0</v>
      </c>
      <c r="AJ22" s="53" t="b">
        <f>IF('AAA Summary'!$L$4=2, Y22, IF('AAA Summary'!$L$4=1, AE22))</f>
        <v>0</v>
      </c>
      <c r="AK22" s="13">
        <v>0.371</v>
      </c>
    </row>
    <row r="23" spans="1:37" x14ac:dyDescent="0.25">
      <c r="A23" t="s">
        <v>5</v>
      </c>
      <c r="B23" t="s">
        <v>418</v>
      </c>
      <c r="C23" s="57">
        <v>15</v>
      </c>
      <c r="D23" s="57">
        <v>9</v>
      </c>
      <c r="E23" s="58">
        <v>0.93</v>
      </c>
      <c r="F23" s="58">
        <v>0.93</v>
      </c>
      <c r="G23" s="58">
        <v>0.92</v>
      </c>
      <c r="H23" s="58">
        <v>0.93</v>
      </c>
      <c r="I23" s="32" t="s">
        <v>490</v>
      </c>
      <c r="J23">
        <v>28.599999999999998</v>
      </c>
      <c r="K23">
        <v>8.4</v>
      </c>
      <c r="L23">
        <v>58.099999999999994</v>
      </c>
      <c r="M23" s="32" t="s">
        <v>398</v>
      </c>
      <c r="N23" s="32" t="s">
        <v>304</v>
      </c>
      <c r="O23" s="59">
        <v>1.8000000000000002E-2</v>
      </c>
      <c r="P23" s="32" t="str">
        <f t="shared" si="6"/>
        <v>7A5</v>
      </c>
      <c r="Q23" s="31">
        <f t="shared" si="1"/>
        <v>2</v>
      </c>
      <c r="R23" s="31">
        <f t="shared" si="2"/>
        <v>1</v>
      </c>
      <c r="S23" s="31">
        <f t="shared" si="3"/>
        <v>2</v>
      </c>
      <c r="T23" s="31">
        <f t="shared" si="4"/>
        <v>3</v>
      </c>
      <c r="U23" s="53">
        <f>IF('AAA Summary'!$L$35=4, RANK(H23,H$8:H$82,1)+COUNTIF($H$8:H23,H23)-1, IF('AAA Summary'!$L$35=3, RANK(G23,G$8:G$82,1)+COUNTIF($G$8:G23,G23)-1, IF('AAA Summary'!$L$35=2, RANK(F23,F$8:F$82,1)+COUNTIF($F$8:F23,F23)-1, IF('AAA Summary'!$L$35=1, RANK(E23,E$8:E$82,1)+COUNTIF($E$8:E23,E23)-1))))</f>
        <v>31</v>
      </c>
      <c r="V23" s="40">
        <f>IF('AAA Summary'!$L$35=4, H23, IF('AAA Summary'!$L$35=3, G23, IF('AAA Summary'!$L$35=2, F23, IF('AAA Summary'!$L$35=1, E23))))</f>
        <v>0.93</v>
      </c>
      <c r="W23" s="16">
        <f t="shared" si="7"/>
        <v>20.199999999999996</v>
      </c>
      <c r="X23" s="16">
        <f t="shared" si="8"/>
        <v>29.499999999999996</v>
      </c>
      <c r="Y23" s="16">
        <v>80</v>
      </c>
      <c r="Z23" s="16">
        <v>111</v>
      </c>
      <c r="AA23" s="16">
        <v>42</v>
      </c>
      <c r="AB23" s="16">
        <v>148</v>
      </c>
      <c r="AC23" s="16">
        <f t="shared" si="5"/>
        <v>69</v>
      </c>
      <c r="AD23" s="16">
        <f t="shared" si="9"/>
        <v>37</v>
      </c>
      <c r="AE23" s="16">
        <v>56</v>
      </c>
      <c r="AF23">
        <v>69</v>
      </c>
      <c r="AG23" s="53" t="b">
        <f>IF('AAA Summary'!$L$4=2, J23, IF('AAA Summary'!$L$4=1, Z23))</f>
        <v>0</v>
      </c>
      <c r="AH23" s="53" t="b">
        <f>IF('AAA Summary'!$L$4=2, W23, IF('AAA Summary'!$L$4=1, AC23))</f>
        <v>0</v>
      </c>
      <c r="AI23" s="53" t="b">
        <f>IF('AAA Summary'!$L$4=2, X23, IF('AAA Summary'!$L$4=1, AD23))</f>
        <v>0</v>
      </c>
      <c r="AJ23" s="53" t="b">
        <f>IF('AAA Summary'!$L$4=2, Y23, IF('AAA Summary'!$L$4=1, AE23))</f>
        <v>0</v>
      </c>
      <c r="AK23" s="13">
        <v>0.28599999999999998</v>
      </c>
    </row>
    <row r="24" spans="1:37" x14ac:dyDescent="0.25">
      <c r="A24" t="s">
        <v>90</v>
      </c>
      <c r="B24" t="s">
        <v>419</v>
      </c>
      <c r="C24" s="57">
        <v>33</v>
      </c>
      <c r="D24" s="57">
        <v>18</v>
      </c>
      <c r="E24" s="58">
        <v>1</v>
      </c>
      <c r="F24" s="58">
        <v>0.94</v>
      </c>
      <c r="G24" s="58">
        <v>1</v>
      </c>
      <c r="H24" s="58">
        <v>0.88</v>
      </c>
      <c r="I24" s="32" t="s">
        <v>491</v>
      </c>
      <c r="J24">
        <v>51.5</v>
      </c>
      <c r="K24">
        <v>33.5</v>
      </c>
      <c r="L24">
        <v>69.199999999999989</v>
      </c>
      <c r="M24" s="32" t="s">
        <v>310</v>
      </c>
      <c r="N24" s="32" t="s">
        <v>285</v>
      </c>
      <c r="O24" s="59">
        <v>9.0000000000000011E-3</v>
      </c>
      <c r="P24" s="32" t="str">
        <f t="shared" si="6"/>
        <v>RP5</v>
      </c>
      <c r="Q24" s="31">
        <f t="shared" si="1"/>
        <v>4</v>
      </c>
      <c r="R24" s="31">
        <f t="shared" si="2"/>
        <v>1</v>
      </c>
      <c r="S24" s="31">
        <f t="shared" si="3"/>
        <v>4</v>
      </c>
      <c r="T24" s="31">
        <f t="shared" si="4"/>
        <v>2</v>
      </c>
      <c r="U24" s="53">
        <f>IF('AAA Summary'!$L$35=4, RANK(H24,H$8:H$82,1)+COUNTIF($H$8:H24,H24)-1, IF('AAA Summary'!$L$35=3, RANK(G24,G$8:G$82,1)+COUNTIF($G$8:G24,G24)-1, IF('AAA Summary'!$L$35=2, RANK(F24,F$8:F$82,1)+COUNTIF($F$8:F24,F24)-1, IF('AAA Summary'!$L$35=1, RANK(E24,E$8:E$82,1)+COUNTIF($E$8:E24,E24)-1))))</f>
        <v>63</v>
      </c>
      <c r="V24" s="40">
        <f>IF('AAA Summary'!$L$35=4, H24, IF('AAA Summary'!$L$35=3, G24, IF('AAA Summary'!$L$35=2, F24, IF('AAA Summary'!$L$35=1, E24))))</f>
        <v>1</v>
      </c>
      <c r="W24" s="16">
        <f t="shared" si="7"/>
        <v>18</v>
      </c>
      <c r="X24" s="16">
        <f t="shared" si="8"/>
        <v>17.699999999999989</v>
      </c>
      <c r="Y24" s="16">
        <v>80</v>
      </c>
      <c r="Z24" s="16">
        <v>56</v>
      </c>
      <c r="AA24" s="16">
        <v>35</v>
      </c>
      <c r="AB24" s="16">
        <v>110</v>
      </c>
      <c r="AC24" s="16">
        <f t="shared" si="5"/>
        <v>21</v>
      </c>
      <c r="AD24" s="16">
        <f t="shared" si="9"/>
        <v>54</v>
      </c>
      <c r="AE24" s="16">
        <v>56</v>
      </c>
      <c r="AF24">
        <v>24</v>
      </c>
      <c r="AG24" s="53" t="b">
        <f>IF('AAA Summary'!$L$4=2, J24, IF('AAA Summary'!$L$4=1, Z24))</f>
        <v>0</v>
      </c>
      <c r="AH24" s="53" t="b">
        <f>IF('AAA Summary'!$L$4=2, W24, IF('AAA Summary'!$L$4=1, AC24))</f>
        <v>0</v>
      </c>
      <c r="AI24" s="53" t="b">
        <f>IF('AAA Summary'!$L$4=2, X24, IF('AAA Summary'!$L$4=1, AD24))</f>
        <v>0</v>
      </c>
      <c r="AJ24" s="53" t="b">
        <f>IF('AAA Summary'!$L$4=2, Y24, IF('AAA Summary'!$L$4=1, AE24))</f>
        <v>0</v>
      </c>
      <c r="AK24" s="13">
        <v>0.51500000000000001</v>
      </c>
    </row>
    <row r="25" spans="1:37" x14ac:dyDescent="0.25">
      <c r="A25" t="s">
        <v>135</v>
      </c>
      <c r="B25" t="s">
        <v>136</v>
      </c>
      <c r="C25" s="57">
        <v>21</v>
      </c>
      <c r="D25" s="57">
        <v>13</v>
      </c>
      <c r="E25" s="58">
        <v>1</v>
      </c>
      <c r="F25" s="58">
        <v>1</v>
      </c>
      <c r="G25" s="58">
        <v>1</v>
      </c>
      <c r="H25" s="58">
        <v>0.9</v>
      </c>
      <c r="I25" s="32" t="s">
        <v>492</v>
      </c>
      <c r="J25">
        <v>42.9</v>
      </c>
      <c r="K25">
        <v>21.8</v>
      </c>
      <c r="L25">
        <v>66</v>
      </c>
      <c r="M25" s="32" t="s">
        <v>320</v>
      </c>
      <c r="N25" s="32" t="s">
        <v>263</v>
      </c>
      <c r="O25" s="59">
        <v>0</v>
      </c>
      <c r="P25" s="32" t="str">
        <f t="shared" si="6"/>
        <v>RWH</v>
      </c>
      <c r="Q25" s="31">
        <f t="shared" si="1"/>
        <v>4</v>
      </c>
      <c r="R25" s="31">
        <f t="shared" si="2"/>
        <v>4</v>
      </c>
      <c r="S25" s="31">
        <f t="shared" si="3"/>
        <v>4</v>
      </c>
      <c r="T25" s="31">
        <f t="shared" si="4"/>
        <v>3</v>
      </c>
      <c r="U25" s="53">
        <f>IF('AAA Summary'!$L$35=4, RANK(H25,H$8:H$82,1)+COUNTIF($H$8:H25,H25)-1, IF('AAA Summary'!$L$35=3, RANK(G25,G$8:G$82,1)+COUNTIF($G$8:G25,G25)-1, IF('AAA Summary'!$L$35=2, RANK(F25,F$8:F$82,1)+COUNTIF($F$8:F25,F25)-1, IF('AAA Summary'!$L$35=1, RANK(E25,E$8:E$82,1)+COUNTIF($E$8:E25,E25)-1))))</f>
        <v>64</v>
      </c>
      <c r="V25" s="40">
        <f>IF('AAA Summary'!$L$35=4, H25, IF('AAA Summary'!$L$35=3, G25, IF('AAA Summary'!$L$35=2, F25, IF('AAA Summary'!$L$35=1, E25))))</f>
        <v>1</v>
      </c>
      <c r="W25" s="16">
        <f t="shared" si="7"/>
        <v>21.099999999999998</v>
      </c>
      <c r="X25" s="16">
        <f t="shared" si="8"/>
        <v>23.1</v>
      </c>
      <c r="Y25" s="16">
        <v>80</v>
      </c>
      <c r="Z25" s="16">
        <v>67</v>
      </c>
      <c r="AA25" s="16">
        <v>35</v>
      </c>
      <c r="AB25" s="16">
        <v>95</v>
      </c>
      <c r="AC25" s="16">
        <f t="shared" si="5"/>
        <v>32</v>
      </c>
      <c r="AD25" s="16">
        <f t="shared" si="9"/>
        <v>28</v>
      </c>
      <c r="AE25" s="16">
        <v>56</v>
      </c>
      <c r="AF25">
        <v>37</v>
      </c>
      <c r="AG25" s="53" t="b">
        <f>IF('AAA Summary'!$L$4=2, J25, IF('AAA Summary'!$L$4=1, Z25))</f>
        <v>0</v>
      </c>
      <c r="AH25" s="53" t="b">
        <f>IF('AAA Summary'!$L$4=2, W25, IF('AAA Summary'!$L$4=1, AC25))</f>
        <v>0</v>
      </c>
      <c r="AI25" s="53" t="b">
        <f>IF('AAA Summary'!$L$4=2, X25, IF('AAA Summary'!$L$4=1, AD25))</f>
        <v>0</v>
      </c>
      <c r="AJ25" s="53" t="b">
        <f>IF('AAA Summary'!$L$4=2, Y25, IF('AAA Summary'!$L$4=1, AE25))</f>
        <v>0</v>
      </c>
      <c r="AK25" s="13">
        <v>0.42899999999999999</v>
      </c>
    </row>
    <row r="26" spans="1:37" x14ac:dyDescent="0.25">
      <c r="A26" t="s">
        <v>123</v>
      </c>
      <c r="B26" t="s">
        <v>124</v>
      </c>
      <c r="C26" s="57">
        <v>53</v>
      </c>
      <c r="D26" s="57">
        <v>28</v>
      </c>
      <c r="E26" s="58">
        <v>0.87</v>
      </c>
      <c r="F26" s="58">
        <v>0.98</v>
      </c>
      <c r="G26" s="58">
        <v>0.86</v>
      </c>
      <c r="H26" s="58">
        <v>0.6</v>
      </c>
      <c r="I26" s="32" t="s">
        <v>493</v>
      </c>
      <c r="J26">
        <v>60.9</v>
      </c>
      <c r="K26">
        <v>45.4</v>
      </c>
      <c r="L26">
        <v>74.900000000000006</v>
      </c>
      <c r="M26" s="32" t="s">
        <v>319</v>
      </c>
      <c r="N26" s="32" t="s">
        <v>284</v>
      </c>
      <c r="O26" s="59">
        <v>6.0000000000000001E-3</v>
      </c>
      <c r="P26" s="32" t="str">
        <f t="shared" si="6"/>
        <v>RVV</v>
      </c>
      <c r="Q26" s="31">
        <f t="shared" si="1"/>
        <v>1</v>
      </c>
      <c r="R26" s="31">
        <f t="shared" si="2"/>
        <v>2</v>
      </c>
      <c r="S26" s="31">
        <f t="shared" si="3"/>
        <v>1</v>
      </c>
      <c r="T26" s="31">
        <f t="shared" si="4"/>
        <v>1</v>
      </c>
      <c r="U26" s="53">
        <f>IF('AAA Summary'!$L$35=4, RANK(H26,H$8:H$82,1)+COUNTIF($H$8:H26,H26)-1, IF('AAA Summary'!$L$35=3, RANK(G26,G$8:G$82,1)+COUNTIF($G$8:G26,G26)-1, IF('AAA Summary'!$L$35=2, RANK(F26,F$8:F$82,1)+COUNTIF($F$8:F26,F26)-1, IF('AAA Summary'!$L$35=1, RANK(E26,E$8:E$82,1)+COUNTIF($E$8:E26,E26)-1))))</f>
        <v>17</v>
      </c>
      <c r="V26" s="40">
        <f>IF('AAA Summary'!$L$35=4, H26, IF('AAA Summary'!$L$35=3, G26, IF('AAA Summary'!$L$35=2, F26, IF('AAA Summary'!$L$35=1, E26))))</f>
        <v>0.87</v>
      </c>
      <c r="W26" s="16">
        <f t="shared" si="7"/>
        <v>15.5</v>
      </c>
      <c r="X26" s="16">
        <f t="shared" si="8"/>
        <v>14.000000000000007</v>
      </c>
      <c r="Y26" s="16">
        <v>80</v>
      </c>
      <c r="Z26" s="16">
        <v>47</v>
      </c>
      <c r="AA26" s="16">
        <v>30</v>
      </c>
      <c r="AB26" s="16">
        <v>85</v>
      </c>
      <c r="AC26" s="16">
        <f t="shared" si="5"/>
        <v>17</v>
      </c>
      <c r="AD26" s="16">
        <f t="shared" si="9"/>
        <v>38</v>
      </c>
      <c r="AE26" s="16">
        <v>56</v>
      </c>
      <c r="AF26">
        <v>13</v>
      </c>
      <c r="AG26" s="53" t="b">
        <f>IF('AAA Summary'!$L$4=2, J26, IF('AAA Summary'!$L$4=1, Z26))</f>
        <v>0</v>
      </c>
      <c r="AH26" s="53" t="b">
        <f>IF('AAA Summary'!$L$4=2, W26, IF('AAA Summary'!$L$4=1, AC26))</f>
        <v>0</v>
      </c>
      <c r="AI26" s="53" t="b">
        <f>IF('AAA Summary'!$L$4=2, X26, IF('AAA Summary'!$L$4=1, AD26))</f>
        <v>0</v>
      </c>
      <c r="AJ26" s="53" t="b">
        <f>IF('AAA Summary'!$L$4=2, Y26, IF('AAA Summary'!$L$4=1, AE26))</f>
        <v>0</v>
      </c>
      <c r="AK26" s="13">
        <v>0.60899999999999999</v>
      </c>
    </row>
    <row r="27" spans="1:37" x14ac:dyDescent="0.25">
      <c r="A27" t="s">
        <v>149</v>
      </c>
      <c r="B27" t="s">
        <v>150</v>
      </c>
      <c r="C27" s="57">
        <v>27</v>
      </c>
      <c r="D27" s="57">
        <v>16</v>
      </c>
      <c r="E27" s="58">
        <v>0.89</v>
      </c>
      <c r="F27" s="58">
        <v>0.96</v>
      </c>
      <c r="G27" s="58">
        <v>0.96</v>
      </c>
      <c r="H27" s="58">
        <v>0.78</v>
      </c>
      <c r="I27" s="32" t="s">
        <v>494</v>
      </c>
      <c r="J27">
        <v>66.7</v>
      </c>
      <c r="K27">
        <v>44.7</v>
      </c>
      <c r="L27">
        <v>84.399999999999991</v>
      </c>
      <c r="M27" s="32" t="s">
        <v>340</v>
      </c>
      <c r="N27" s="32" t="s">
        <v>276</v>
      </c>
      <c r="O27" s="59">
        <v>9.0000000000000011E-3</v>
      </c>
      <c r="P27" s="32" t="str">
        <f t="shared" si="6"/>
        <v>RXR</v>
      </c>
      <c r="Q27" s="31">
        <f t="shared" si="1"/>
        <v>2</v>
      </c>
      <c r="R27" s="31">
        <f t="shared" si="2"/>
        <v>1</v>
      </c>
      <c r="S27" s="31">
        <f t="shared" si="3"/>
        <v>3</v>
      </c>
      <c r="T27" s="31">
        <f t="shared" si="4"/>
        <v>1</v>
      </c>
      <c r="U27" s="53">
        <f>IF('AAA Summary'!$L$35=4, RANK(H27,H$8:H$82,1)+COUNTIF($H$8:H27,H27)-1, IF('AAA Summary'!$L$35=3, RANK(G27,G$8:G$82,1)+COUNTIF($G$8:G27,G27)-1, IF('AAA Summary'!$L$35=2, RANK(F27,F$8:F$82,1)+COUNTIF($F$8:F27,F27)-1, IF('AAA Summary'!$L$35=1, RANK(E27,E$8:E$82,1)+COUNTIF($E$8:E27,E27)-1))))</f>
        <v>23</v>
      </c>
      <c r="V27" s="40">
        <f>IF('AAA Summary'!$L$35=4, H27, IF('AAA Summary'!$L$35=3, G27, IF('AAA Summary'!$L$35=2, F27, IF('AAA Summary'!$L$35=1, E27))))</f>
        <v>0.89</v>
      </c>
      <c r="W27" s="16">
        <f t="shared" si="7"/>
        <v>22</v>
      </c>
      <c r="X27" s="16">
        <f t="shared" si="8"/>
        <v>17.699999999999989</v>
      </c>
      <c r="Y27" s="16">
        <v>80</v>
      </c>
      <c r="Z27" s="16">
        <v>53</v>
      </c>
      <c r="AA27" s="16">
        <v>39</v>
      </c>
      <c r="AB27" s="16">
        <v>77</v>
      </c>
      <c r="AC27" s="16">
        <f t="shared" si="5"/>
        <v>14</v>
      </c>
      <c r="AD27" s="16">
        <f t="shared" si="9"/>
        <v>24</v>
      </c>
      <c r="AE27" s="16">
        <v>56</v>
      </c>
      <c r="AF27">
        <v>19</v>
      </c>
      <c r="AG27" s="53" t="b">
        <f>IF('AAA Summary'!$L$4=2, J27, IF('AAA Summary'!$L$4=1, Z27))</f>
        <v>0</v>
      </c>
      <c r="AH27" s="53" t="b">
        <f>IF('AAA Summary'!$L$4=2, W27, IF('AAA Summary'!$L$4=1, AC27))</f>
        <v>0</v>
      </c>
      <c r="AI27" s="53" t="b">
        <f>IF('AAA Summary'!$L$4=2, X27, IF('AAA Summary'!$L$4=1, AD27))</f>
        <v>0</v>
      </c>
      <c r="AJ27" s="53" t="b">
        <f>IF('AAA Summary'!$L$4=2, Y27, IF('AAA Summary'!$L$4=1, AE27))</f>
        <v>0</v>
      </c>
      <c r="AK27" s="13">
        <v>0.66700000000000004</v>
      </c>
    </row>
    <row r="28" spans="1:37" x14ac:dyDescent="0.25">
      <c r="A28" t="s">
        <v>37</v>
      </c>
      <c r="B28" t="s">
        <v>198</v>
      </c>
      <c r="C28" s="57">
        <v>57</v>
      </c>
      <c r="D28" s="57">
        <v>48</v>
      </c>
      <c r="E28" s="58">
        <v>0.96</v>
      </c>
      <c r="F28" s="58">
        <v>0.98</v>
      </c>
      <c r="G28" s="58">
        <v>0.96</v>
      </c>
      <c r="H28" s="58">
        <v>0.91</v>
      </c>
      <c r="I28" s="32" t="s">
        <v>495</v>
      </c>
      <c r="J28">
        <v>23.599999999999998</v>
      </c>
      <c r="K28">
        <v>13.200000000000001</v>
      </c>
      <c r="L28">
        <v>37</v>
      </c>
      <c r="M28" s="32" t="s">
        <v>496</v>
      </c>
      <c r="N28" s="32" t="s">
        <v>399</v>
      </c>
      <c r="O28" s="59">
        <v>2.2000000000000002E-2</v>
      </c>
      <c r="P28" s="32" t="str">
        <f t="shared" si="6"/>
        <v>RDE</v>
      </c>
      <c r="Q28" s="31">
        <f t="shared" si="1"/>
        <v>3</v>
      </c>
      <c r="R28" s="31">
        <f t="shared" si="2"/>
        <v>2</v>
      </c>
      <c r="S28" s="31">
        <f t="shared" si="3"/>
        <v>3</v>
      </c>
      <c r="T28" s="31">
        <f t="shared" si="4"/>
        <v>3</v>
      </c>
      <c r="U28" s="53">
        <f>IF('AAA Summary'!$L$35=4, RANK(H28,H$8:H$82,1)+COUNTIF($H$8:H28,H28)-1, IF('AAA Summary'!$L$35=3, RANK(G28,G$8:G$82,1)+COUNTIF($G$8:G28,G28)-1, IF('AAA Summary'!$L$35=2, RANK(F28,F$8:F$82,1)+COUNTIF($F$8:F28,F28)-1, IF('AAA Summary'!$L$35=1, RANK(E28,E$8:E$82,1)+COUNTIF($E$8:E28,E28)-1))))</f>
        <v>45</v>
      </c>
      <c r="V28" s="40">
        <f>IF('AAA Summary'!$L$35=4, H28, IF('AAA Summary'!$L$35=3, G28, IF('AAA Summary'!$L$35=2, F28, IF('AAA Summary'!$L$35=1, E28))))</f>
        <v>0.96</v>
      </c>
      <c r="W28" s="16">
        <f t="shared" si="7"/>
        <v>10.399999999999997</v>
      </c>
      <c r="X28" s="16">
        <f t="shared" si="8"/>
        <v>13.400000000000002</v>
      </c>
      <c r="Y28" s="16">
        <v>80</v>
      </c>
      <c r="Z28" s="16">
        <v>122</v>
      </c>
      <c r="AA28" s="16">
        <v>65</v>
      </c>
      <c r="AB28" s="16">
        <v>190</v>
      </c>
      <c r="AC28" s="16">
        <f t="shared" si="5"/>
        <v>57</v>
      </c>
      <c r="AD28" s="16">
        <f t="shared" si="9"/>
        <v>68</v>
      </c>
      <c r="AE28" s="16">
        <v>56</v>
      </c>
      <c r="AF28">
        <v>71</v>
      </c>
      <c r="AG28" s="53" t="b">
        <f>IF('AAA Summary'!$L$4=2, J28, IF('AAA Summary'!$L$4=1, Z28))</f>
        <v>0</v>
      </c>
      <c r="AH28" s="53" t="b">
        <f>IF('AAA Summary'!$L$4=2, W28, IF('AAA Summary'!$L$4=1, AC28))</f>
        <v>0</v>
      </c>
      <c r="AI28" s="53" t="b">
        <f>IF('AAA Summary'!$L$4=2, X28, IF('AAA Summary'!$L$4=1, AD28))</f>
        <v>0</v>
      </c>
      <c r="AJ28" s="53" t="b">
        <f>IF('AAA Summary'!$L$4=2, Y28, IF('AAA Summary'!$L$4=1, AE28))</f>
        <v>0</v>
      </c>
      <c r="AK28" s="13">
        <v>0.23599999999999999</v>
      </c>
    </row>
    <row r="29" spans="1:37" x14ac:dyDescent="0.25">
      <c r="A29" t="s">
        <v>38</v>
      </c>
      <c r="B29" t="s">
        <v>39</v>
      </c>
      <c r="C29" s="57">
        <v>59</v>
      </c>
      <c r="D29" s="57">
        <v>33</v>
      </c>
      <c r="E29" s="58">
        <v>0.98</v>
      </c>
      <c r="F29" s="58">
        <v>0.95</v>
      </c>
      <c r="G29" s="58">
        <v>0.98</v>
      </c>
      <c r="H29" s="58">
        <v>0.98</v>
      </c>
      <c r="I29" s="32" t="s">
        <v>497</v>
      </c>
      <c r="J29">
        <v>56.899999999999991</v>
      </c>
      <c r="K29">
        <v>43.2</v>
      </c>
      <c r="L29">
        <v>69.8</v>
      </c>
      <c r="M29" s="32" t="s">
        <v>314</v>
      </c>
      <c r="N29" s="32" t="s">
        <v>284</v>
      </c>
      <c r="O29" s="59">
        <v>2.7999999999999997E-2</v>
      </c>
      <c r="P29" s="32" t="str">
        <f t="shared" si="6"/>
        <v>RDU</v>
      </c>
      <c r="Q29" s="31">
        <f t="shared" si="1"/>
        <v>4</v>
      </c>
      <c r="R29" s="31">
        <f t="shared" si="2"/>
        <v>1</v>
      </c>
      <c r="S29" s="31">
        <f t="shared" si="3"/>
        <v>3</v>
      </c>
      <c r="T29" s="31">
        <f t="shared" si="4"/>
        <v>4</v>
      </c>
      <c r="U29" s="53">
        <f>IF('AAA Summary'!$L$35=4, RANK(H29,H$8:H$82,1)+COUNTIF($H$8:H29,H29)-1, IF('AAA Summary'!$L$35=3, RANK(G29,G$8:G$82,1)+COUNTIF($G$8:G29,G29)-1, IF('AAA Summary'!$L$35=2, RANK(F29,F$8:F$82,1)+COUNTIF($F$8:F29,F29)-1, IF('AAA Summary'!$L$35=1, RANK(E29,E$8:E$82,1)+COUNTIF($E$8:E29,E29)-1))))</f>
        <v>56</v>
      </c>
      <c r="V29" s="40">
        <f>IF('AAA Summary'!$L$35=4, H29, IF('AAA Summary'!$L$35=3, G29, IF('AAA Summary'!$L$35=2, F29, IF('AAA Summary'!$L$35=1, E29))))</f>
        <v>0.98</v>
      </c>
      <c r="W29" s="16">
        <f t="shared" si="7"/>
        <v>13.699999999999989</v>
      </c>
      <c r="X29" s="16">
        <f t="shared" si="8"/>
        <v>12.900000000000006</v>
      </c>
      <c r="Y29" s="16">
        <v>80</v>
      </c>
      <c r="Z29" s="16">
        <v>45</v>
      </c>
      <c r="AA29" s="16">
        <v>28</v>
      </c>
      <c r="AB29" s="16">
        <v>90</v>
      </c>
      <c r="AC29" s="16">
        <f>Z29-AA29</f>
        <v>17</v>
      </c>
      <c r="AD29" s="16">
        <f t="shared" si="9"/>
        <v>45</v>
      </c>
      <c r="AE29" s="16">
        <v>56</v>
      </c>
      <c r="AF29">
        <v>7</v>
      </c>
      <c r="AG29" s="53" t="b">
        <f>IF('AAA Summary'!$L$4=2, J29, IF('AAA Summary'!$L$4=1, Z29))</f>
        <v>0</v>
      </c>
      <c r="AH29" s="53" t="b">
        <f>IF('AAA Summary'!$L$4=2, W29, IF('AAA Summary'!$L$4=1, AC29))</f>
        <v>0</v>
      </c>
      <c r="AI29" s="53" t="b">
        <f>IF('AAA Summary'!$L$4=2, X29, IF('AAA Summary'!$L$4=1, AD29))</f>
        <v>0</v>
      </c>
      <c r="AJ29" s="53" t="b">
        <f>IF('AAA Summary'!$L$4=2, Y29, IF('AAA Summary'!$L$4=1, AE29))</f>
        <v>0</v>
      </c>
      <c r="AK29" s="13">
        <v>0.56899999999999995</v>
      </c>
    </row>
    <row r="30" spans="1:37" x14ac:dyDescent="0.25">
      <c r="A30" t="s">
        <v>112</v>
      </c>
      <c r="B30" t="s">
        <v>113</v>
      </c>
      <c r="C30" s="57">
        <v>51</v>
      </c>
      <c r="D30" s="57">
        <v>22</v>
      </c>
      <c r="E30" s="58">
        <v>0.76</v>
      </c>
      <c r="F30" s="58">
        <v>0.98</v>
      </c>
      <c r="G30" s="58">
        <v>0.77</v>
      </c>
      <c r="H30" s="58">
        <v>0.73</v>
      </c>
      <c r="I30" s="32" t="s">
        <v>498</v>
      </c>
      <c r="J30">
        <v>82.1</v>
      </c>
      <c r="K30">
        <v>66.5</v>
      </c>
      <c r="L30">
        <v>92.5</v>
      </c>
      <c r="M30" s="32" t="s">
        <v>307</v>
      </c>
      <c r="N30" s="32" t="s">
        <v>263</v>
      </c>
      <c r="O30" s="59">
        <v>6.0000000000000001E-3</v>
      </c>
      <c r="P30" s="32" t="str">
        <f t="shared" si="6"/>
        <v>RTE</v>
      </c>
      <c r="Q30" s="31">
        <f t="shared" si="1"/>
        <v>1</v>
      </c>
      <c r="R30" s="31">
        <f t="shared" si="2"/>
        <v>2</v>
      </c>
      <c r="S30" s="31">
        <f t="shared" si="3"/>
        <v>1</v>
      </c>
      <c r="T30" s="31">
        <f t="shared" si="4"/>
        <v>1</v>
      </c>
      <c r="U30" s="53">
        <f>IF('AAA Summary'!$L$35=4, RANK(H30,H$8:H$82,1)+COUNTIF($H$8:H30,H30)-1, IF('AAA Summary'!$L$35=3, RANK(G30,G$8:G$82,1)+COUNTIF($G$8:G30,G30)-1, IF('AAA Summary'!$L$35=2, RANK(F30,F$8:F$82,1)+COUNTIF($F$8:F30,F30)-1, IF('AAA Summary'!$L$35=1, RANK(E30,E$8:E$82,1)+COUNTIF($E$8:E30,E30)-1))))</f>
        <v>9</v>
      </c>
      <c r="V30" s="40">
        <f>IF('AAA Summary'!$L$35=4, H30, IF('AAA Summary'!$L$35=3, G30, IF('AAA Summary'!$L$35=2, F30, IF('AAA Summary'!$L$35=1, E30))))</f>
        <v>0.76</v>
      </c>
      <c r="W30" s="16">
        <f t="shared" si="7"/>
        <v>15.599999999999994</v>
      </c>
      <c r="X30" s="16">
        <f t="shared" si="8"/>
        <v>10.400000000000006</v>
      </c>
      <c r="Y30" s="16">
        <v>80</v>
      </c>
      <c r="Z30" s="16">
        <v>35</v>
      </c>
      <c r="AA30" s="16">
        <v>22</v>
      </c>
      <c r="AB30" s="16">
        <v>49</v>
      </c>
      <c r="AC30" s="16">
        <f t="shared" ref="AC30:AC82" si="10">Z30-AA30</f>
        <v>13</v>
      </c>
      <c r="AD30" s="16">
        <f t="shared" si="9"/>
        <v>14</v>
      </c>
      <c r="AE30" s="16">
        <v>56</v>
      </c>
      <c r="AF30">
        <v>2</v>
      </c>
      <c r="AG30" s="53" t="b">
        <f>IF('AAA Summary'!$L$4=2, J30, IF('AAA Summary'!$L$4=1, Z30))</f>
        <v>0</v>
      </c>
      <c r="AH30" s="53" t="b">
        <f>IF('AAA Summary'!$L$4=2, W30, IF('AAA Summary'!$L$4=1, AC30))</f>
        <v>0</v>
      </c>
      <c r="AI30" s="53" t="b">
        <f>IF('AAA Summary'!$L$4=2, X30, IF('AAA Summary'!$L$4=1, AD30))</f>
        <v>0</v>
      </c>
      <c r="AJ30" s="53" t="b">
        <f>IF('AAA Summary'!$L$4=2, Y30, IF('AAA Summary'!$L$4=1, AE30))</f>
        <v>0</v>
      </c>
      <c r="AK30" s="13">
        <v>0.82099999999999995</v>
      </c>
    </row>
    <row r="31" spans="1:37" x14ac:dyDescent="0.25">
      <c r="A31" t="s">
        <v>63</v>
      </c>
      <c r="B31" t="s">
        <v>64</v>
      </c>
      <c r="C31" s="57">
        <v>101</v>
      </c>
      <c r="D31" s="57">
        <v>70</v>
      </c>
      <c r="E31" s="58">
        <v>0.62</v>
      </c>
      <c r="F31" s="58">
        <v>0.93</v>
      </c>
      <c r="G31" s="58">
        <v>0.65</v>
      </c>
      <c r="H31" s="58">
        <v>0.43</v>
      </c>
      <c r="I31" s="32" t="s">
        <v>499</v>
      </c>
      <c r="J31">
        <v>34.9</v>
      </c>
      <c r="K31">
        <v>23.3</v>
      </c>
      <c r="L31">
        <v>48</v>
      </c>
      <c r="M31" s="32" t="s">
        <v>320</v>
      </c>
      <c r="N31" s="32" t="s">
        <v>304</v>
      </c>
      <c r="O31" s="59">
        <v>3.0000000000000001E-3</v>
      </c>
      <c r="P31" s="32" t="str">
        <f t="shared" si="6"/>
        <v>RJ1</v>
      </c>
      <c r="Q31" s="31">
        <f t="shared" si="1"/>
        <v>1</v>
      </c>
      <c r="R31" s="31">
        <f t="shared" si="2"/>
        <v>1</v>
      </c>
      <c r="S31" s="31">
        <f t="shared" si="3"/>
        <v>1</v>
      </c>
      <c r="T31" s="31">
        <f t="shared" si="4"/>
        <v>1</v>
      </c>
      <c r="U31" s="53">
        <f>IF('AAA Summary'!$L$35=4, RANK(H31,H$8:H$82,1)+COUNTIF($H$8:H31,H31)-1, IF('AAA Summary'!$L$35=3, RANK(G31,G$8:G$82,1)+COUNTIF($G$8:G31,G31)-1, IF('AAA Summary'!$L$35=2, RANK(F31,F$8:F$82,1)+COUNTIF($F$8:F31,F31)-1, IF('AAA Summary'!$L$35=1, RANK(E31,E$8:E$82,1)+COUNTIF($E$8:E31,E31)-1))))</f>
        <v>4</v>
      </c>
      <c r="V31" s="40">
        <f>IF('AAA Summary'!$L$35=4, H31, IF('AAA Summary'!$L$35=3, G31, IF('AAA Summary'!$L$35=2, F31, IF('AAA Summary'!$L$35=1, E31))))</f>
        <v>0.62</v>
      </c>
      <c r="W31" s="16">
        <f t="shared" si="7"/>
        <v>11.599999999999998</v>
      </c>
      <c r="X31" s="16">
        <f t="shared" si="8"/>
        <v>13.100000000000001</v>
      </c>
      <c r="Y31" s="16">
        <v>80</v>
      </c>
      <c r="Z31" s="16">
        <v>73</v>
      </c>
      <c r="AA31" s="16">
        <v>46</v>
      </c>
      <c r="AB31" s="16">
        <v>138</v>
      </c>
      <c r="AC31" s="16">
        <f t="shared" si="10"/>
        <v>27</v>
      </c>
      <c r="AD31" s="16">
        <f t="shared" si="9"/>
        <v>65</v>
      </c>
      <c r="AE31" s="16">
        <v>56</v>
      </c>
      <c r="AF31">
        <v>43</v>
      </c>
      <c r="AG31" s="53" t="b">
        <f>IF('AAA Summary'!$L$4=2, J31, IF('AAA Summary'!$L$4=1, Z31))</f>
        <v>0</v>
      </c>
      <c r="AH31" s="53" t="b">
        <f>IF('AAA Summary'!$L$4=2, W31, IF('AAA Summary'!$L$4=1, AC31))</f>
        <v>0</v>
      </c>
      <c r="AI31" s="53" t="b">
        <f>IF('AAA Summary'!$L$4=2, X31, IF('AAA Summary'!$L$4=1, AD31))</f>
        <v>0</v>
      </c>
      <c r="AJ31" s="53" t="b">
        <f>IF('AAA Summary'!$L$4=2, Y31, IF('AAA Summary'!$L$4=1, AE31))</f>
        <v>0</v>
      </c>
      <c r="AK31" s="13">
        <v>0.34899999999999998</v>
      </c>
    </row>
    <row r="32" spans="1:37" x14ac:dyDescent="0.25">
      <c r="A32" t="s">
        <v>127</v>
      </c>
      <c r="B32" t="s">
        <v>420</v>
      </c>
      <c r="C32" s="57">
        <v>50</v>
      </c>
      <c r="D32" s="57">
        <v>31</v>
      </c>
      <c r="E32" s="58">
        <v>0.96</v>
      </c>
      <c r="F32" s="58">
        <v>0</v>
      </c>
      <c r="G32" s="58">
        <v>0.96</v>
      </c>
      <c r="H32" s="58">
        <v>0.98</v>
      </c>
      <c r="I32" s="32" t="s">
        <v>500</v>
      </c>
      <c r="J32">
        <v>45.800000000000004</v>
      </c>
      <c r="K32">
        <v>31.4</v>
      </c>
      <c r="L32">
        <v>60.8</v>
      </c>
      <c r="M32" s="32" t="s">
        <v>393</v>
      </c>
      <c r="N32" s="32" t="s">
        <v>220</v>
      </c>
      <c r="O32" s="59">
        <v>0</v>
      </c>
      <c r="P32" s="32" t="str">
        <f t="shared" si="6"/>
        <v>RWA</v>
      </c>
      <c r="Q32" s="31">
        <f t="shared" si="1"/>
        <v>3</v>
      </c>
      <c r="R32" s="31">
        <f t="shared" si="2"/>
        <v>1</v>
      </c>
      <c r="S32" s="31">
        <f t="shared" si="3"/>
        <v>3</v>
      </c>
      <c r="T32" s="31">
        <f t="shared" si="4"/>
        <v>4</v>
      </c>
      <c r="U32" s="53">
        <f>IF('AAA Summary'!$L$35=4, RANK(H32,H$8:H$82,1)+COUNTIF($H$8:H32,H32)-1, IF('AAA Summary'!$L$35=3, RANK(G32,G$8:G$82,1)+COUNTIF($G$8:G32,G32)-1, IF('AAA Summary'!$L$35=2, RANK(F32,F$8:F$82,1)+COUNTIF($F$8:F32,F32)-1, IF('AAA Summary'!$L$35=1, RANK(E32,E$8:E$82,1)+COUNTIF($E$8:E32,E32)-1))))</f>
        <v>46</v>
      </c>
      <c r="V32" s="40">
        <f>IF('AAA Summary'!$L$35=4, H32, IF('AAA Summary'!$L$35=3, G32, IF('AAA Summary'!$L$35=2, F32, IF('AAA Summary'!$L$35=1, E32))))</f>
        <v>0.96</v>
      </c>
      <c r="W32" s="16">
        <f t="shared" si="7"/>
        <v>14.400000000000006</v>
      </c>
      <c r="X32" s="16">
        <f t="shared" si="8"/>
        <v>14.999999999999993</v>
      </c>
      <c r="Y32" s="16">
        <v>80</v>
      </c>
      <c r="Z32" s="16">
        <v>63</v>
      </c>
      <c r="AA32" s="16">
        <v>37</v>
      </c>
      <c r="AB32" s="16">
        <v>110</v>
      </c>
      <c r="AC32" s="16">
        <f t="shared" si="10"/>
        <v>26</v>
      </c>
      <c r="AD32" s="16">
        <f t="shared" si="9"/>
        <v>47</v>
      </c>
      <c r="AE32" s="16">
        <v>56</v>
      </c>
      <c r="AF32">
        <v>33</v>
      </c>
      <c r="AG32" s="53" t="b">
        <f>IF('AAA Summary'!$L$4=2, J32, IF('AAA Summary'!$L$4=1, Z32))</f>
        <v>0</v>
      </c>
      <c r="AH32" s="53" t="b">
        <f>IF('AAA Summary'!$L$4=2, W32, IF('AAA Summary'!$L$4=1, AC32))</f>
        <v>0</v>
      </c>
      <c r="AI32" s="53" t="b">
        <f>IF('AAA Summary'!$L$4=2, X32, IF('AAA Summary'!$L$4=1, AD32))</f>
        <v>0</v>
      </c>
      <c r="AJ32" s="53" t="b">
        <f>IF('AAA Summary'!$L$4=2, Y32, IF('AAA Summary'!$L$4=1, AE32))</f>
        <v>0</v>
      </c>
      <c r="AK32" s="13">
        <v>0.45800000000000002</v>
      </c>
    </row>
    <row r="33" spans="1:37" x14ac:dyDescent="0.25">
      <c r="A33" t="s">
        <v>153</v>
      </c>
      <c r="B33" t="s">
        <v>154</v>
      </c>
      <c r="C33" s="57">
        <v>32</v>
      </c>
      <c r="D33" s="57">
        <v>23</v>
      </c>
      <c r="E33" s="58">
        <v>0.28000000000000003</v>
      </c>
      <c r="F33" s="58">
        <v>1</v>
      </c>
      <c r="G33" s="58">
        <v>0.31</v>
      </c>
      <c r="H33" s="58">
        <v>0.28000000000000003</v>
      </c>
      <c r="I33" s="32" t="s">
        <v>501</v>
      </c>
      <c r="J33" t="e">
        <v>#VALUE!</v>
      </c>
      <c r="K33" t="e">
        <v>#N/A</v>
      </c>
      <c r="L33" t="e">
        <v>#N/A</v>
      </c>
      <c r="M33" s="32" t="s">
        <v>309</v>
      </c>
      <c r="N33" s="32" t="s">
        <v>502</v>
      </c>
      <c r="O33" s="59">
        <v>0</v>
      </c>
      <c r="P33" s="32" t="str">
        <f t="shared" si="6"/>
        <v>RYJ</v>
      </c>
      <c r="Q33" s="31">
        <f t="shared" si="1"/>
        <v>1</v>
      </c>
      <c r="R33" s="31">
        <f t="shared" si="2"/>
        <v>4</v>
      </c>
      <c r="S33" s="31">
        <f t="shared" si="3"/>
        <v>1</v>
      </c>
      <c r="T33" s="31">
        <f t="shared" si="4"/>
        <v>1</v>
      </c>
      <c r="U33" s="53">
        <f>IF('AAA Summary'!$L$35=4, RANK(H33,H$8:H$82,1)+COUNTIF($H$8:H33,H33)-1, IF('AAA Summary'!$L$35=3, RANK(G33,G$8:G$82,1)+COUNTIF($G$8:G33,G33)-1, IF('AAA Summary'!$L$35=2, RANK(F33,F$8:F$82,1)+COUNTIF($F$8:F33,F33)-1, IF('AAA Summary'!$L$35=1, RANK(E33,E$8:E$82,1)+COUNTIF($E$8:E33,E33)-1))))</f>
        <v>1</v>
      </c>
      <c r="V33" s="40">
        <f>IF('AAA Summary'!$L$35=4, H33, IF('AAA Summary'!$L$35=3, G33, IF('AAA Summary'!$L$35=2, F33, IF('AAA Summary'!$L$35=1, E33))))</f>
        <v>0.28000000000000003</v>
      </c>
      <c r="W33" s="16" t="e">
        <f t="shared" si="7"/>
        <v>#VALUE!</v>
      </c>
      <c r="X33" s="16" t="e">
        <f t="shared" si="8"/>
        <v>#N/A</v>
      </c>
      <c r="Y33" s="16">
        <v>80</v>
      </c>
      <c r="Z33" s="16">
        <v>30</v>
      </c>
      <c r="AA33" s="16">
        <v>11</v>
      </c>
      <c r="AB33" s="16">
        <v>76</v>
      </c>
      <c r="AC33" s="16">
        <f t="shared" si="10"/>
        <v>19</v>
      </c>
      <c r="AD33" s="16">
        <f t="shared" si="9"/>
        <v>46</v>
      </c>
      <c r="AE33" s="16">
        <v>56</v>
      </c>
      <c r="AF33">
        <v>1</v>
      </c>
      <c r="AG33" s="53" t="b">
        <f>IF('AAA Summary'!$L$4=2, J33, IF('AAA Summary'!$L$4=1, Z33))</f>
        <v>0</v>
      </c>
      <c r="AH33" s="53" t="b">
        <f>IF('AAA Summary'!$L$4=2, W33, IF('AAA Summary'!$L$4=1, AC33))</f>
        <v>0</v>
      </c>
      <c r="AI33" s="53" t="b">
        <f>IF('AAA Summary'!$L$4=2, X33, IF('AAA Summary'!$L$4=1, AD33))</f>
        <v>0</v>
      </c>
      <c r="AJ33" s="53" t="b">
        <f>IF('AAA Summary'!$L$4=2, Y33, IF('AAA Summary'!$L$4=1, AE33))</f>
        <v>0</v>
      </c>
      <c r="AK33" s="13" t="s">
        <v>346</v>
      </c>
    </row>
    <row r="34" spans="1:37" x14ac:dyDescent="0.25">
      <c r="A34" t="s">
        <v>71</v>
      </c>
      <c r="B34" t="s">
        <v>72</v>
      </c>
      <c r="C34" s="57">
        <v>5</v>
      </c>
      <c r="D34" s="57">
        <v>4</v>
      </c>
      <c r="E34" s="58">
        <v>1</v>
      </c>
      <c r="F34" s="58">
        <v>1</v>
      </c>
      <c r="G34" s="58">
        <v>1</v>
      </c>
      <c r="H34" s="58">
        <v>1</v>
      </c>
      <c r="I34" s="32" t="s">
        <v>335</v>
      </c>
      <c r="J34" t="e">
        <v>#VALUE!</v>
      </c>
      <c r="K34" t="e">
        <v>#N/A</v>
      </c>
      <c r="L34" t="e">
        <v>#N/A</v>
      </c>
      <c r="M34" s="32" t="s">
        <v>335</v>
      </c>
      <c r="N34" s="32" t="s">
        <v>335</v>
      </c>
      <c r="O34" s="59">
        <v>5.7000000000000002E-2</v>
      </c>
      <c r="P34" s="32" t="str">
        <f t="shared" si="6"/>
        <v>RJZ</v>
      </c>
      <c r="Q34" s="31">
        <f t="shared" si="1"/>
        <v>4</v>
      </c>
      <c r="R34" s="31">
        <f t="shared" si="2"/>
        <v>4</v>
      </c>
      <c r="S34" s="31">
        <f t="shared" si="3"/>
        <v>4</v>
      </c>
      <c r="T34" s="31">
        <f t="shared" si="4"/>
        <v>4</v>
      </c>
      <c r="U34" s="53">
        <f>IF('AAA Summary'!$L$35=4, RANK(H34,H$8:H$82,1)+COUNTIF($H$8:H34,H34)-1, IF('AAA Summary'!$L$35=3, RANK(G34,G$8:G$82,1)+COUNTIF($G$8:G34,G34)-1, IF('AAA Summary'!$L$35=2, RANK(F34,F$8:F$82,1)+COUNTIF($F$8:F34,F34)-1, IF('AAA Summary'!$L$35=1, RANK(E34,E$8:E$82,1)+COUNTIF($E$8:E34,E34)-1))))</f>
        <v>65</v>
      </c>
      <c r="V34" s="40">
        <f>IF('AAA Summary'!$L$35=4, H34, IF('AAA Summary'!$L$35=3, G34, IF('AAA Summary'!$L$35=2, F34, IF('AAA Summary'!$L$35=1, E34))))</f>
        <v>1</v>
      </c>
      <c r="W34" s="16" t="e">
        <f t="shared" si="7"/>
        <v>#VALUE!</v>
      </c>
      <c r="X34" s="16" t="e">
        <f t="shared" si="8"/>
        <v>#N/A</v>
      </c>
      <c r="Y34" s="16">
        <v>80</v>
      </c>
      <c r="Z34" s="16" t="s">
        <v>335</v>
      </c>
      <c r="AA34" s="16" t="e">
        <v>#VALUE!</v>
      </c>
      <c r="AB34" s="16" t="e">
        <v>#VALUE!</v>
      </c>
      <c r="AC34" s="16" t="e">
        <f t="shared" si="10"/>
        <v>#VALUE!</v>
      </c>
      <c r="AD34" s="16" t="e">
        <f t="shared" si="9"/>
        <v>#VALUE!</v>
      </c>
      <c r="AE34" s="16">
        <v>56</v>
      </c>
      <c r="AF34">
        <v>73</v>
      </c>
      <c r="AG34" s="53" t="b">
        <f>IF('AAA Summary'!$L$4=2, J34, IF('AAA Summary'!$L$4=1, Z34))</f>
        <v>0</v>
      </c>
      <c r="AH34" s="53" t="b">
        <f>IF('AAA Summary'!$L$4=2, W34, IF('AAA Summary'!$L$4=1, AC34))</f>
        <v>0</v>
      </c>
      <c r="AI34" s="53" t="b">
        <f>IF('AAA Summary'!$L$4=2, X34, IF('AAA Summary'!$L$4=1, AD34))</f>
        <v>0</v>
      </c>
      <c r="AJ34" s="53" t="b">
        <f>IF('AAA Summary'!$L$4=2, Y34, IF('AAA Summary'!$L$4=1, AE34))</f>
        <v>0</v>
      </c>
      <c r="AK34" s="13" t="s">
        <v>346</v>
      </c>
    </row>
    <row r="35" spans="1:37" x14ac:dyDescent="0.25">
      <c r="A35" t="s">
        <v>147</v>
      </c>
      <c r="B35" t="s">
        <v>148</v>
      </c>
      <c r="C35" s="57">
        <v>84</v>
      </c>
      <c r="D35" s="57">
        <v>57</v>
      </c>
      <c r="E35" s="58">
        <v>0.96</v>
      </c>
      <c r="F35" s="58">
        <v>1</v>
      </c>
      <c r="G35" s="58">
        <v>0.96</v>
      </c>
      <c r="H35" s="58">
        <v>0.95</v>
      </c>
      <c r="I35" s="32" t="s">
        <v>503</v>
      </c>
      <c r="J35">
        <v>18.5</v>
      </c>
      <c r="K35">
        <v>10.8</v>
      </c>
      <c r="L35">
        <v>28.7</v>
      </c>
      <c r="M35" s="32" t="s">
        <v>288</v>
      </c>
      <c r="N35" s="32" t="s">
        <v>263</v>
      </c>
      <c r="O35" s="59">
        <v>9.0000000000000011E-3</v>
      </c>
      <c r="P35" s="32" t="str">
        <f t="shared" si="6"/>
        <v>RXN</v>
      </c>
      <c r="Q35" s="31">
        <f t="shared" si="1"/>
        <v>3</v>
      </c>
      <c r="R35" s="31">
        <f t="shared" si="2"/>
        <v>4</v>
      </c>
      <c r="S35" s="31">
        <f t="shared" si="3"/>
        <v>3</v>
      </c>
      <c r="T35" s="31">
        <f t="shared" si="4"/>
        <v>3</v>
      </c>
      <c r="U35" s="53">
        <f>IF('AAA Summary'!$L$35=4, RANK(H35,H$8:H$82,1)+COUNTIF($H$8:H35,H35)-1, IF('AAA Summary'!$L$35=3, RANK(G35,G$8:G$82,1)+COUNTIF($G$8:G35,G35)-1, IF('AAA Summary'!$L$35=2, RANK(F35,F$8:F$82,1)+COUNTIF($F$8:F35,F35)-1, IF('AAA Summary'!$L$35=1, RANK(E35,E$8:E$82,1)+COUNTIF($E$8:E35,E35)-1))))</f>
        <v>47</v>
      </c>
      <c r="V35" s="40">
        <f>IF('AAA Summary'!$L$35=4, H35, IF('AAA Summary'!$L$35=3, G35, IF('AAA Summary'!$L$35=2, F35, IF('AAA Summary'!$L$35=1, E35))))</f>
        <v>0.96</v>
      </c>
      <c r="W35" s="16">
        <f t="shared" si="7"/>
        <v>7.6999999999999993</v>
      </c>
      <c r="X35" s="16">
        <f t="shared" si="8"/>
        <v>10.199999999999999</v>
      </c>
      <c r="Y35" s="16">
        <v>80</v>
      </c>
      <c r="Z35" s="16">
        <v>96</v>
      </c>
      <c r="AA35" s="16">
        <v>68</v>
      </c>
      <c r="AB35" s="16">
        <v>131</v>
      </c>
      <c r="AC35" s="16">
        <f t="shared" si="10"/>
        <v>28</v>
      </c>
      <c r="AD35" s="16">
        <f t="shared" si="9"/>
        <v>35</v>
      </c>
      <c r="AE35" s="16">
        <v>56</v>
      </c>
      <c r="AF35">
        <v>66</v>
      </c>
      <c r="AG35" s="53" t="b">
        <f>IF('AAA Summary'!$L$4=2, J35, IF('AAA Summary'!$L$4=1, Z35))</f>
        <v>0</v>
      </c>
      <c r="AH35" s="53" t="b">
        <f>IF('AAA Summary'!$L$4=2, W35, IF('AAA Summary'!$L$4=1, AC35))</f>
        <v>0</v>
      </c>
      <c r="AI35" s="53" t="b">
        <f>IF('AAA Summary'!$L$4=2, X35, IF('AAA Summary'!$L$4=1, AD35))</f>
        <v>0</v>
      </c>
      <c r="AJ35" s="53" t="b">
        <f>IF('AAA Summary'!$L$4=2, Y35, IF('AAA Summary'!$L$4=1, AE35))</f>
        <v>0</v>
      </c>
      <c r="AK35" s="13">
        <v>0.185</v>
      </c>
    </row>
    <row r="36" spans="1:37" x14ac:dyDescent="0.25">
      <c r="A36" t="s">
        <v>102</v>
      </c>
      <c r="B36" t="s">
        <v>103</v>
      </c>
      <c r="C36" s="57">
        <v>34</v>
      </c>
      <c r="D36" s="57">
        <v>22</v>
      </c>
      <c r="E36" s="58">
        <v>0.71</v>
      </c>
      <c r="F36" s="58">
        <v>1</v>
      </c>
      <c r="G36" s="58">
        <v>0.7</v>
      </c>
      <c r="H36" s="58">
        <v>0.76</v>
      </c>
      <c r="I36" s="32" t="s">
        <v>504</v>
      </c>
      <c r="J36">
        <v>58.3</v>
      </c>
      <c r="K36">
        <v>36.6</v>
      </c>
      <c r="L36">
        <v>77.900000000000006</v>
      </c>
      <c r="M36" s="32" t="s">
        <v>394</v>
      </c>
      <c r="N36" s="32" t="s">
        <v>230</v>
      </c>
      <c r="O36" s="59">
        <v>6.0000000000000001E-3</v>
      </c>
      <c r="P36" s="32" t="str">
        <f t="shared" si="6"/>
        <v>RR8</v>
      </c>
      <c r="Q36" s="31">
        <f t="shared" si="1"/>
        <v>1</v>
      </c>
      <c r="R36" s="31">
        <f t="shared" si="2"/>
        <v>4</v>
      </c>
      <c r="S36" s="31">
        <f t="shared" si="3"/>
        <v>1</v>
      </c>
      <c r="T36" s="31">
        <f t="shared" si="4"/>
        <v>1</v>
      </c>
      <c r="U36" s="53">
        <f>IF('AAA Summary'!$L$35=4, RANK(H36,H$8:H$82,1)+COUNTIF($H$8:H36,H36)-1, IF('AAA Summary'!$L$35=3, RANK(G36,G$8:G$82,1)+COUNTIF($G$8:G36,G36)-1, IF('AAA Summary'!$L$35=2, RANK(F36,F$8:F$82,1)+COUNTIF($F$8:F36,F36)-1, IF('AAA Summary'!$L$35=1, RANK(E36,E$8:E$82,1)+COUNTIF($E$8:E36,E36)-1))))</f>
        <v>6</v>
      </c>
      <c r="V36" s="40">
        <f>IF('AAA Summary'!$L$35=4, H36, IF('AAA Summary'!$L$35=3, G36, IF('AAA Summary'!$L$35=2, F36, IF('AAA Summary'!$L$35=1, E36))))</f>
        <v>0.71</v>
      </c>
      <c r="W36" s="16">
        <f t="shared" si="7"/>
        <v>21.699999999999996</v>
      </c>
      <c r="X36" s="16">
        <f t="shared" si="8"/>
        <v>19.600000000000009</v>
      </c>
      <c r="Y36" s="16">
        <v>80</v>
      </c>
      <c r="Z36" s="16">
        <v>40</v>
      </c>
      <c r="AA36" s="16">
        <v>27</v>
      </c>
      <c r="AB36" s="16">
        <v>66</v>
      </c>
      <c r="AC36" s="16">
        <f t="shared" si="10"/>
        <v>13</v>
      </c>
      <c r="AD36" s="16">
        <f t="shared" si="9"/>
        <v>26</v>
      </c>
      <c r="AE36" s="16">
        <v>56</v>
      </c>
      <c r="AF36">
        <v>4</v>
      </c>
      <c r="AG36" s="53" t="b">
        <f>IF('AAA Summary'!$L$4=2, J36, IF('AAA Summary'!$L$4=1, Z36))</f>
        <v>0</v>
      </c>
      <c r="AH36" s="53" t="b">
        <f>IF('AAA Summary'!$L$4=2, W36, IF('AAA Summary'!$L$4=1, AC36))</f>
        <v>0</v>
      </c>
      <c r="AI36" s="53" t="b">
        <f>IF('AAA Summary'!$L$4=2, X36, IF('AAA Summary'!$L$4=1, AD36))</f>
        <v>0</v>
      </c>
      <c r="AJ36" s="53" t="b">
        <f>IF('AAA Summary'!$L$4=2, Y36, IF('AAA Summary'!$L$4=1, AE36))</f>
        <v>0</v>
      </c>
      <c r="AK36" s="13">
        <v>0.58299999999999996</v>
      </c>
    </row>
    <row r="37" spans="1:37" x14ac:dyDescent="0.25">
      <c r="A37" t="s">
        <v>44</v>
      </c>
      <c r="B37" t="s">
        <v>421</v>
      </c>
      <c r="C37" s="57">
        <v>70</v>
      </c>
      <c r="D37" s="57">
        <v>33</v>
      </c>
      <c r="E37" s="58">
        <v>0.9</v>
      </c>
      <c r="F37" s="58">
        <v>0.99</v>
      </c>
      <c r="G37" s="58">
        <v>0.89</v>
      </c>
      <c r="H37" s="58">
        <v>0.77</v>
      </c>
      <c r="I37" s="32" t="s">
        <v>505</v>
      </c>
      <c r="J37">
        <v>23.799999999999997</v>
      </c>
      <c r="K37">
        <v>14.000000000000002</v>
      </c>
      <c r="L37">
        <v>36.199999999999996</v>
      </c>
      <c r="M37" s="32" t="s">
        <v>288</v>
      </c>
      <c r="N37" s="32" t="s">
        <v>284</v>
      </c>
      <c r="O37" s="59">
        <v>1.1000000000000001E-2</v>
      </c>
      <c r="P37" s="32" t="str">
        <f t="shared" si="6"/>
        <v>REM</v>
      </c>
      <c r="Q37" s="31">
        <f t="shared" si="1"/>
        <v>2</v>
      </c>
      <c r="R37" s="31">
        <f t="shared" si="2"/>
        <v>3</v>
      </c>
      <c r="S37" s="31">
        <f t="shared" si="3"/>
        <v>2</v>
      </c>
      <c r="T37" s="31">
        <f t="shared" si="4"/>
        <v>1</v>
      </c>
      <c r="U37" s="53">
        <f>IF('AAA Summary'!$L$35=4, RANK(H37,H$8:H$82,1)+COUNTIF($H$8:H37,H37)-1, IF('AAA Summary'!$L$35=3, RANK(G37,G$8:G$82,1)+COUNTIF($G$8:G37,G37)-1, IF('AAA Summary'!$L$35=2, RANK(F37,F$8:F$82,1)+COUNTIF($F$8:F37,F37)-1, IF('AAA Summary'!$L$35=1, RANK(E37,E$8:E$82,1)+COUNTIF($E$8:E37,E37)-1))))</f>
        <v>26</v>
      </c>
      <c r="V37" s="40">
        <f>IF('AAA Summary'!$L$35=4, H37, IF('AAA Summary'!$L$35=3, G37, IF('AAA Summary'!$L$35=2, F37, IF('AAA Summary'!$L$35=1, E37))))</f>
        <v>0.9</v>
      </c>
      <c r="W37" s="16">
        <f t="shared" si="7"/>
        <v>9.7999999999999954</v>
      </c>
      <c r="X37" s="16">
        <f t="shared" si="8"/>
        <v>12.399999999999999</v>
      </c>
      <c r="Y37" s="16">
        <v>80</v>
      </c>
      <c r="Z37" s="16">
        <v>128</v>
      </c>
      <c r="AA37" s="16">
        <v>57</v>
      </c>
      <c r="AB37" s="16">
        <v>186</v>
      </c>
      <c r="AC37" s="16">
        <f t="shared" si="10"/>
        <v>71</v>
      </c>
      <c r="AD37" s="16">
        <f t="shared" si="9"/>
        <v>58</v>
      </c>
      <c r="AE37" s="16">
        <v>56</v>
      </c>
      <c r="AF37">
        <v>72</v>
      </c>
      <c r="AG37" s="53" t="b">
        <f>IF('AAA Summary'!$L$4=2, J37, IF('AAA Summary'!$L$4=1, Z37))</f>
        <v>0</v>
      </c>
      <c r="AH37" s="53" t="b">
        <f>IF('AAA Summary'!$L$4=2, W37, IF('AAA Summary'!$L$4=1, AC37))</f>
        <v>0</v>
      </c>
      <c r="AI37" s="53" t="b">
        <f>IF('AAA Summary'!$L$4=2, X37, IF('AAA Summary'!$L$4=1, AD37))</f>
        <v>0</v>
      </c>
      <c r="AJ37" s="53" t="b">
        <f>IF('AAA Summary'!$L$4=2, Y37, IF('AAA Summary'!$L$4=1, AE37))</f>
        <v>0</v>
      </c>
      <c r="AK37" s="13">
        <v>0.23799999999999999</v>
      </c>
    </row>
    <row r="38" spans="1:37" x14ac:dyDescent="0.25">
      <c r="A38" t="s">
        <v>13</v>
      </c>
      <c r="B38" t="s">
        <v>422</v>
      </c>
      <c r="C38" s="57">
        <v>20</v>
      </c>
      <c r="D38" s="57">
        <v>17</v>
      </c>
      <c r="E38" s="58">
        <v>0.85</v>
      </c>
      <c r="F38" s="58">
        <v>0.9</v>
      </c>
      <c r="G38" s="58">
        <v>0.82</v>
      </c>
      <c r="H38" s="58">
        <v>0.8</v>
      </c>
      <c r="I38" s="32" t="s">
        <v>506</v>
      </c>
      <c r="J38">
        <v>58.8</v>
      </c>
      <c r="K38">
        <v>32.9</v>
      </c>
      <c r="L38">
        <v>81.599999999999994</v>
      </c>
      <c r="M38" s="32" t="s">
        <v>335</v>
      </c>
      <c r="N38" s="32" t="s">
        <v>263</v>
      </c>
      <c r="O38" s="59">
        <v>1.2E-2</v>
      </c>
      <c r="P38" s="32" t="str">
        <f t="shared" si="6"/>
        <v>R1K</v>
      </c>
      <c r="Q38" s="31">
        <f t="shared" si="1"/>
        <v>1</v>
      </c>
      <c r="R38" s="31">
        <f t="shared" si="2"/>
        <v>1</v>
      </c>
      <c r="S38" s="31">
        <f t="shared" si="3"/>
        <v>1</v>
      </c>
      <c r="T38" s="31">
        <f t="shared" si="4"/>
        <v>2</v>
      </c>
      <c r="U38" s="53">
        <f>IF('AAA Summary'!$L$35=4, RANK(H38,H$8:H$82,1)+COUNTIF($H$8:H38,H38)-1, IF('AAA Summary'!$L$35=3, RANK(G38,G$8:G$82,1)+COUNTIF($G$8:G38,G38)-1, IF('AAA Summary'!$L$35=2, RANK(F38,F$8:F$82,1)+COUNTIF($F$8:F38,F38)-1, IF('AAA Summary'!$L$35=1, RANK(E38,E$8:E$82,1)+COUNTIF($E$8:E38,E38)-1))))</f>
        <v>14</v>
      </c>
      <c r="V38" s="40">
        <f>IF('AAA Summary'!$L$35=4, H38, IF('AAA Summary'!$L$35=3, G38, IF('AAA Summary'!$L$35=2, F38, IF('AAA Summary'!$L$35=1, E38))))</f>
        <v>0.85</v>
      </c>
      <c r="W38" s="16">
        <f t="shared" si="7"/>
        <v>25.9</v>
      </c>
      <c r="X38" s="16">
        <f t="shared" si="8"/>
        <v>22.799999999999997</v>
      </c>
      <c r="Y38" s="16">
        <v>80</v>
      </c>
      <c r="Z38" s="16">
        <v>46</v>
      </c>
      <c r="AA38" s="16">
        <v>32</v>
      </c>
      <c r="AB38" s="16">
        <v>102</v>
      </c>
      <c r="AC38" s="16">
        <f t="shared" si="10"/>
        <v>14</v>
      </c>
      <c r="AD38" s="16">
        <f t="shared" si="9"/>
        <v>56</v>
      </c>
      <c r="AE38" s="16">
        <v>56</v>
      </c>
      <c r="AF38">
        <v>10</v>
      </c>
      <c r="AG38" s="53" t="b">
        <f>IF('AAA Summary'!$L$4=2, J38, IF('AAA Summary'!$L$4=1, Z38))</f>
        <v>0</v>
      </c>
      <c r="AH38" s="53" t="b">
        <f>IF('AAA Summary'!$L$4=2, W38, IF('AAA Summary'!$L$4=1, AC38))</f>
        <v>0</v>
      </c>
      <c r="AI38" s="53" t="b">
        <f>IF('AAA Summary'!$L$4=2, X38, IF('AAA Summary'!$L$4=1, AD38))</f>
        <v>0</v>
      </c>
      <c r="AJ38" s="53" t="b">
        <f>IF('AAA Summary'!$L$4=2, Y38, IF('AAA Summary'!$L$4=1, AE38))</f>
        <v>0</v>
      </c>
      <c r="AK38" s="13">
        <v>0.58799999999999997</v>
      </c>
    </row>
    <row r="39" spans="1:37" x14ac:dyDescent="0.25">
      <c r="A39" t="s">
        <v>9</v>
      </c>
      <c r="B39" t="s">
        <v>10</v>
      </c>
      <c r="C39" s="57">
        <v>79</v>
      </c>
      <c r="D39" s="57">
        <v>42</v>
      </c>
      <c r="E39" s="58">
        <v>0.96</v>
      </c>
      <c r="F39" s="58">
        <v>1</v>
      </c>
      <c r="G39" s="58">
        <v>0.97</v>
      </c>
      <c r="H39" s="58">
        <v>0.91</v>
      </c>
      <c r="I39" s="32" t="s">
        <v>507</v>
      </c>
      <c r="J39">
        <v>32.9</v>
      </c>
      <c r="K39">
        <v>22.5</v>
      </c>
      <c r="L39">
        <v>44.6</v>
      </c>
      <c r="M39" s="32" t="s">
        <v>288</v>
      </c>
      <c r="N39" s="32" t="s">
        <v>221</v>
      </c>
      <c r="O39" s="59">
        <v>6.9999999999999993E-3</v>
      </c>
      <c r="P39" s="32" t="str">
        <f t="shared" si="6"/>
        <v>R0A</v>
      </c>
      <c r="Q39" s="31">
        <f t="shared" si="1"/>
        <v>3</v>
      </c>
      <c r="R39" s="31">
        <f t="shared" si="2"/>
        <v>4</v>
      </c>
      <c r="S39" s="31">
        <f t="shared" si="3"/>
        <v>3</v>
      </c>
      <c r="T39" s="31">
        <f t="shared" si="4"/>
        <v>3</v>
      </c>
      <c r="U39" s="53">
        <f>IF('AAA Summary'!$L$35=4, RANK(H39,H$8:H$82,1)+COUNTIF($H$8:H39,H39)-1, IF('AAA Summary'!$L$35=3, RANK(G39,G$8:G$82,1)+COUNTIF($G$8:G39,G39)-1, IF('AAA Summary'!$L$35=2, RANK(F39,F$8:F$82,1)+COUNTIF($F$8:F39,F39)-1, IF('AAA Summary'!$L$35=1, RANK(E39,E$8:E$82,1)+COUNTIF($E$8:E39,E39)-1))))</f>
        <v>48</v>
      </c>
      <c r="V39" s="40">
        <f>IF('AAA Summary'!$L$35=4, H39, IF('AAA Summary'!$L$35=3, G39, IF('AAA Summary'!$L$35=2, F39, IF('AAA Summary'!$L$35=1, E39))))</f>
        <v>0.96</v>
      </c>
      <c r="W39" s="16">
        <f t="shared" si="7"/>
        <v>10.399999999999999</v>
      </c>
      <c r="X39" s="16">
        <f t="shared" si="8"/>
        <v>11.700000000000003</v>
      </c>
      <c r="Y39" s="16">
        <v>80</v>
      </c>
      <c r="Z39" s="16">
        <v>80</v>
      </c>
      <c r="AA39" s="16">
        <v>42</v>
      </c>
      <c r="AB39" s="16">
        <v>124</v>
      </c>
      <c r="AC39" s="16">
        <f t="shared" si="10"/>
        <v>38</v>
      </c>
      <c r="AD39" s="16">
        <f t="shared" si="9"/>
        <v>44</v>
      </c>
      <c r="AE39" s="16">
        <v>56</v>
      </c>
      <c r="AF39">
        <v>53</v>
      </c>
      <c r="AG39" s="53" t="b">
        <f>IF('AAA Summary'!$L$4=2, J39, IF('AAA Summary'!$L$4=1, Z39))</f>
        <v>0</v>
      </c>
      <c r="AH39" s="53" t="b">
        <f>IF('AAA Summary'!$L$4=2, W39, IF('AAA Summary'!$L$4=1, AC39))</f>
        <v>0</v>
      </c>
      <c r="AI39" s="53" t="b">
        <f>IF('AAA Summary'!$L$4=2, X39, IF('AAA Summary'!$L$4=1, AD39))</f>
        <v>0</v>
      </c>
      <c r="AJ39" s="53" t="b">
        <f>IF('AAA Summary'!$L$4=2, Y39, IF('AAA Summary'!$L$4=1, AE39))</f>
        <v>0</v>
      </c>
      <c r="AK39" s="13">
        <v>0.32900000000000001</v>
      </c>
    </row>
    <row r="40" spans="1:37" x14ac:dyDescent="0.25">
      <c r="A40" t="s">
        <v>92</v>
      </c>
      <c r="B40" t="s">
        <v>93</v>
      </c>
      <c r="C40" s="57">
        <v>21</v>
      </c>
      <c r="D40" s="57">
        <v>17</v>
      </c>
      <c r="E40" s="58">
        <v>1</v>
      </c>
      <c r="F40" s="58">
        <v>1</v>
      </c>
      <c r="G40" s="58">
        <v>1</v>
      </c>
      <c r="H40" s="58">
        <v>1</v>
      </c>
      <c r="I40" s="32" t="s">
        <v>508</v>
      </c>
      <c r="J40">
        <v>4.8</v>
      </c>
      <c r="K40">
        <v>0.1</v>
      </c>
      <c r="L40">
        <v>23.799999999999997</v>
      </c>
      <c r="M40" s="32" t="s">
        <v>335</v>
      </c>
      <c r="N40" s="32" t="s">
        <v>286</v>
      </c>
      <c r="O40" s="59">
        <v>1.6E-2</v>
      </c>
      <c r="P40" s="32" t="str">
        <f t="shared" si="6"/>
        <v>RPA</v>
      </c>
      <c r="Q40" s="31">
        <f t="shared" ref="Q40:Q71" si="11">+IF(E40&lt;E$2,1,IF(E40&lt;E$3,2,IF(E40&lt;E$4,3,4)))</f>
        <v>4</v>
      </c>
      <c r="R40" s="31">
        <f t="shared" ref="R40:R71" si="12">+IF(F40&lt;F$2,1,IF(F40&lt;F$3,2,IF(F40&lt;F$4,3,4)))</f>
        <v>4</v>
      </c>
      <c r="S40" s="31">
        <f t="shared" ref="S40:S71" si="13">+IF(G40&lt;G$2,1,IF(G40&lt;G$3,2,IF(G40&lt;G$4,3,4)))</f>
        <v>4</v>
      </c>
      <c r="T40" s="31">
        <f t="shared" si="4"/>
        <v>4</v>
      </c>
      <c r="U40" s="53">
        <f>IF('AAA Summary'!$L$35=4, RANK(H40,H$8:H$82,1)+COUNTIF($H$8:H40,H40)-1, IF('AAA Summary'!$L$35=3, RANK(G40,G$8:G$82,1)+COUNTIF($G$8:G40,G40)-1, IF('AAA Summary'!$L$35=2, RANK(F40,F$8:F$82,1)+COUNTIF($F$8:F40,F40)-1, IF('AAA Summary'!$L$35=1, RANK(E40,E$8:E$82,1)+COUNTIF($E$8:E40,E40)-1))))</f>
        <v>66</v>
      </c>
      <c r="V40" s="40">
        <f>IF('AAA Summary'!$L$35=4, H40, IF('AAA Summary'!$L$35=3, G40, IF('AAA Summary'!$L$35=2, F40, IF('AAA Summary'!$L$35=1, E40))))</f>
        <v>1</v>
      </c>
      <c r="W40" s="16">
        <f t="shared" si="7"/>
        <v>4.7</v>
      </c>
      <c r="X40" s="16">
        <f t="shared" si="8"/>
        <v>18.999999999999996</v>
      </c>
      <c r="Y40" s="16">
        <v>80</v>
      </c>
      <c r="Z40" s="16">
        <v>103</v>
      </c>
      <c r="AA40" s="16">
        <v>83</v>
      </c>
      <c r="AB40" s="16">
        <v>167</v>
      </c>
      <c r="AC40" s="16">
        <f t="shared" si="10"/>
        <v>20</v>
      </c>
      <c r="AD40" s="16">
        <f t="shared" si="9"/>
        <v>64</v>
      </c>
      <c r="AE40" s="16">
        <v>56</v>
      </c>
      <c r="AF40">
        <v>67</v>
      </c>
      <c r="AG40" s="53" t="b">
        <f>IF('AAA Summary'!$L$4=2, J40, IF('AAA Summary'!$L$4=1, Z40))</f>
        <v>0</v>
      </c>
      <c r="AH40" s="53" t="b">
        <f>IF('AAA Summary'!$L$4=2, W40, IF('AAA Summary'!$L$4=1, AC40))</f>
        <v>0</v>
      </c>
      <c r="AI40" s="53" t="b">
        <f>IF('AAA Summary'!$L$4=2, X40, IF('AAA Summary'!$L$4=1, AD40))</f>
        <v>0</v>
      </c>
      <c r="AJ40" s="53" t="b">
        <f>IF('AAA Summary'!$L$4=2, Y40, IF('AAA Summary'!$L$4=1, AE40))</f>
        <v>0</v>
      </c>
      <c r="AK40" s="13">
        <v>4.8000000000000001E-2</v>
      </c>
    </row>
    <row r="41" spans="1:37" x14ac:dyDescent="0.25">
      <c r="A41" t="s">
        <v>96</v>
      </c>
      <c r="B41" t="s">
        <v>97</v>
      </c>
      <c r="C41" s="57">
        <v>27</v>
      </c>
      <c r="D41" s="57">
        <v>19</v>
      </c>
      <c r="E41" s="58">
        <v>0.96</v>
      </c>
      <c r="F41" s="58">
        <v>0.96</v>
      </c>
      <c r="G41" s="58">
        <v>0.96</v>
      </c>
      <c r="H41" s="58">
        <v>0.96</v>
      </c>
      <c r="I41" s="32" t="s">
        <v>509</v>
      </c>
      <c r="J41">
        <v>53.800000000000004</v>
      </c>
      <c r="K41">
        <v>33.4</v>
      </c>
      <c r="L41">
        <v>73.400000000000006</v>
      </c>
      <c r="M41" s="32" t="s">
        <v>245</v>
      </c>
      <c r="N41" s="32" t="s">
        <v>304</v>
      </c>
      <c r="O41" s="59">
        <v>0.03</v>
      </c>
      <c r="P41" s="32" t="str">
        <f t="shared" si="6"/>
        <v>RQ8</v>
      </c>
      <c r="Q41" s="31">
        <f t="shared" si="11"/>
        <v>3</v>
      </c>
      <c r="R41" s="31">
        <f t="shared" si="12"/>
        <v>1</v>
      </c>
      <c r="S41" s="31">
        <f t="shared" si="13"/>
        <v>3</v>
      </c>
      <c r="T41" s="31">
        <f t="shared" si="4"/>
        <v>4</v>
      </c>
      <c r="U41" s="53">
        <f>IF('AAA Summary'!$L$35=4, RANK(H41,H$8:H$82,1)+COUNTIF($H$8:H41,H41)-1, IF('AAA Summary'!$L$35=3, RANK(G41,G$8:G$82,1)+COUNTIF($G$8:G41,G41)-1, IF('AAA Summary'!$L$35=2, RANK(F41,F$8:F$82,1)+COUNTIF($F$8:F41,F41)-1, IF('AAA Summary'!$L$35=1, RANK(E41,E$8:E$82,1)+COUNTIF($E$8:E41,E41)-1))))</f>
        <v>49</v>
      </c>
      <c r="V41" s="40">
        <f>IF('AAA Summary'!$L$35=4, H41, IF('AAA Summary'!$L$35=3, G41, IF('AAA Summary'!$L$35=2, F41, IF('AAA Summary'!$L$35=1, E41))))</f>
        <v>0.96</v>
      </c>
      <c r="W41" s="16">
        <f t="shared" si="7"/>
        <v>20.400000000000006</v>
      </c>
      <c r="X41" s="16">
        <f t="shared" si="8"/>
        <v>19.600000000000001</v>
      </c>
      <c r="Y41" s="16">
        <v>80</v>
      </c>
      <c r="Z41" s="16">
        <v>51</v>
      </c>
      <c r="AA41" s="16">
        <v>30</v>
      </c>
      <c r="AB41" s="16">
        <v>91</v>
      </c>
      <c r="AC41" s="16">
        <f t="shared" si="10"/>
        <v>21</v>
      </c>
      <c r="AD41" s="16">
        <f t="shared" si="9"/>
        <v>40</v>
      </c>
      <c r="AE41" s="16">
        <v>56</v>
      </c>
      <c r="AF41">
        <v>17</v>
      </c>
      <c r="AG41" s="53" t="b">
        <f>IF('AAA Summary'!$L$4=2, J41, IF('AAA Summary'!$L$4=1, Z41))</f>
        <v>0</v>
      </c>
      <c r="AH41" s="53" t="b">
        <f>IF('AAA Summary'!$L$4=2, W41, IF('AAA Summary'!$L$4=1, AC41))</f>
        <v>0</v>
      </c>
      <c r="AI41" s="53" t="b">
        <f>IF('AAA Summary'!$L$4=2, X41, IF('AAA Summary'!$L$4=1, AD41))</f>
        <v>0</v>
      </c>
      <c r="AJ41" s="53" t="b">
        <f>IF('AAA Summary'!$L$4=2, Y41, IF('AAA Summary'!$L$4=1, AE41))</f>
        <v>0</v>
      </c>
      <c r="AK41" s="13">
        <v>0.53800000000000003</v>
      </c>
    </row>
    <row r="42" spans="1:37" x14ac:dyDescent="0.25">
      <c r="A42" t="s">
        <v>110</v>
      </c>
      <c r="B42" t="s">
        <v>111</v>
      </c>
      <c r="C42" s="57">
        <v>81</v>
      </c>
      <c r="D42" s="57">
        <v>32</v>
      </c>
      <c r="E42" s="58">
        <v>0.85</v>
      </c>
      <c r="F42" s="58">
        <v>0.17</v>
      </c>
      <c r="G42" s="58">
        <v>0.93</v>
      </c>
      <c r="H42" s="58">
        <v>0.89</v>
      </c>
      <c r="I42" s="32" t="s">
        <v>510</v>
      </c>
      <c r="J42">
        <v>49.3</v>
      </c>
      <c r="K42">
        <v>37</v>
      </c>
      <c r="L42">
        <v>61.6</v>
      </c>
      <c r="M42" s="32" t="s">
        <v>213</v>
      </c>
      <c r="N42" s="32" t="s">
        <v>211</v>
      </c>
      <c r="O42" s="59">
        <v>3.1E-2</v>
      </c>
      <c r="P42" s="32" t="str">
        <f t="shared" si="6"/>
        <v>RTD</v>
      </c>
      <c r="Q42" s="31">
        <f t="shared" si="11"/>
        <v>1</v>
      </c>
      <c r="R42" s="31">
        <f t="shared" si="12"/>
        <v>1</v>
      </c>
      <c r="S42" s="31">
        <f t="shared" si="13"/>
        <v>2</v>
      </c>
      <c r="T42" s="31">
        <f t="shared" si="4"/>
        <v>2</v>
      </c>
      <c r="U42" s="53">
        <f>IF('AAA Summary'!$L$35=4, RANK(H42,H$8:H$82,1)+COUNTIF($H$8:H42,H42)-1, IF('AAA Summary'!$L$35=3, RANK(G42,G$8:G$82,1)+COUNTIF($G$8:G42,G42)-1, IF('AAA Summary'!$L$35=2, RANK(F42,F$8:F$82,1)+COUNTIF($F$8:F42,F42)-1, IF('AAA Summary'!$L$35=1, RANK(E42,E$8:E$82,1)+COUNTIF($E$8:E42,E42)-1))))</f>
        <v>15</v>
      </c>
      <c r="V42" s="40">
        <f>IF('AAA Summary'!$L$35=4, H42, IF('AAA Summary'!$L$35=3, G42, IF('AAA Summary'!$L$35=2, F42, IF('AAA Summary'!$L$35=1, E42))))</f>
        <v>0.85</v>
      </c>
      <c r="W42" s="16">
        <f t="shared" si="7"/>
        <v>12.299999999999997</v>
      </c>
      <c r="X42" s="16">
        <f t="shared" si="8"/>
        <v>12.300000000000004</v>
      </c>
      <c r="Y42" s="16">
        <v>80</v>
      </c>
      <c r="Z42" s="16">
        <v>60</v>
      </c>
      <c r="AA42" s="16">
        <v>32</v>
      </c>
      <c r="AB42" s="16">
        <v>91</v>
      </c>
      <c r="AC42" s="16">
        <f t="shared" si="10"/>
        <v>28</v>
      </c>
      <c r="AD42" s="16">
        <f t="shared" si="9"/>
        <v>31</v>
      </c>
      <c r="AE42" s="16">
        <v>56</v>
      </c>
      <c r="AF42">
        <v>27</v>
      </c>
      <c r="AG42" s="53" t="b">
        <f>IF('AAA Summary'!$L$4=2, J42, IF('AAA Summary'!$L$4=1, Z42))</f>
        <v>0</v>
      </c>
      <c r="AH42" s="53" t="b">
        <f>IF('AAA Summary'!$L$4=2, W42, IF('AAA Summary'!$L$4=1, AC42))</f>
        <v>0</v>
      </c>
      <c r="AI42" s="53" t="b">
        <f>IF('AAA Summary'!$L$4=2, X42, IF('AAA Summary'!$L$4=1, AD42))</f>
        <v>0</v>
      </c>
      <c r="AJ42" s="53" t="b">
        <f>IF('AAA Summary'!$L$4=2, Y42, IF('AAA Summary'!$L$4=1, AE42))</f>
        <v>0</v>
      </c>
      <c r="AK42" s="13">
        <v>0.49299999999999999</v>
      </c>
    </row>
    <row r="43" spans="1:37" x14ac:dyDescent="0.25">
      <c r="A43" t="s">
        <v>155</v>
      </c>
      <c r="B43" t="s">
        <v>156</v>
      </c>
      <c r="C43" s="57">
        <v>3</v>
      </c>
      <c r="D43" s="57">
        <v>0</v>
      </c>
      <c r="E43" s="58">
        <v>1</v>
      </c>
      <c r="F43" s="58">
        <v>0.67</v>
      </c>
      <c r="G43" s="58">
        <v>1</v>
      </c>
      <c r="H43" s="58">
        <v>0.67</v>
      </c>
      <c r="I43" s="32" t="s">
        <v>335</v>
      </c>
      <c r="J43" t="e">
        <v>#VALUE!</v>
      </c>
      <c r="K43" t="e">
        <v>#N/A</v>
      </c>
      <c r="L43" t="e">
        <v>#N/A</v>
      </c>
      <c r="M43" s="32" t="s">
        <v>335</v>
      </c>
      <c r="N43" s="32" t="s">
        <v>335</v>
      </c>
      <c r="O43" s="59">
        <v>0</v>
      </c>
      <c r="P43" s="32" t="str">
        <f t="shared" si="6"/>
        <v>SA999</v>
      </c>
      <c r="Q43" s="31">
        <f t="shared" si="11"/>
        <v>4</v>
      </c>
      <c r="R43" s="31">
        <f t="shared" si="12"/>
        <v>1</v>
      </c>
      <c r="S43" s="31">
        <f t="shared" si="13"/>
        <v>4</v>
      </c>
      <c r="T43" s="31">
        <f t="shared" si="4"/>
        <v>1</v>
      </c>
      <c r="U43" s="53">
        <f>IF('AAA Summary'!$L$35=4, RANK(H43,H$8:H$82,1)+COUNTIF($H$8:H43,H43)-1, IF('AAA Summary'!$L$35=3, RANK(G43,G$8:G$82,1)+COUNTIF($G$8:G43,G43)-1, IF('AAA Summary'!$L$35=2, RANK(F43,F$8:F$82,1)+COUNTIF($F$8:F43,F43)-1, IF('AAA Summary'!$L$35=1, RANK(E43,E$8:E$82,1)+COUNTIF($E$8:E43,E43)-1))))</f>
        <v>67</v>
      </c>
      <c r="V43" s="40">
        <f>IF('AAA Summary'!$L$35=4, H43, IF('AAA Summary'!$L$35=3, G43, IF('AAA Summary'!$L$35=2, F43, IF('AAA Summary'!$L$35=1, E43))))</f>
        <v>1</v>
      </c>
      <c r="W43" s="16" t="e">
        <f t="shared" si="7"/>
        <v>#VALUE!</v>
      </c>
      <c r="X43" s="16" t="e">
        <f t="shared" si="8"/>
        <v>#N/A</v>
      </c>
      <c r="Y43" s="16">
        <v>80</v>
      </c>
      <c r="Z43" s="16" t="s">
        <v>335</v>
      </c>
      <c r="AA43" s="16" t="e">
        <v>#VALUE!</v>
      </c>
      <c r="AB43" s="16" t="e">
        <v>#VALUE!</v>
      </c>
      <c r="AC43" s="16" t="e">
        <f t="shared" si="10"/>
        <v>#VALUE!</v>
      </c>
      <c r="AD43" s="16" t="e">
        <f t="shared" si="9"/>
        <v>#VALUE!</v>
      </c>
      <c r="AE43" s="16">
        <v>56</v>
      </c>
      <c r="AF43">
        <v>74</v>
      </c>
      <c r="AG43" s="53" t="b">
        <f>IF('AAA Summary'!$L$4=2, J43, IF('AAA Summary'!$L$4=1, Z43))</f>
        <v>0</v>
      </c>
      <c r="AH43" s="53" t="b">
        <f>IF('AAA Summary'!$L$4=2, W43, IF('AAA Summary'!$L$4=1, AC43))</f>
        <v>0</v>
      </c>
      <c r="AI43" s="53" t="b">
        <f>IF('AAA Summary'!$L$4=2, X43, IF('AAA Summary'!$L$4=1, AD43))</f>
        <v>0</v>
      </c>
      <c r="AJ43" s="53" t="b">
        <f>IF('AAA Summary'!$L$4=2, Y43, IF('AAA Summary'!$L$4=1, AE43))</f>
        <v>0</v>
      </c>
      <c r="AK43" s="13" t="s">
        <v>346</v>
      </c>
    </row>
    <row r="44" spans="1:37" x14ac:dyDescent="0.25">
      <c r="A44" t="s">
        <v>165</v>
      </c>
      <c r="B44" t="s">
        <v>166</v>
      </c>
      <c r="C44" s="57">
        <v>10</v>
      </c>
      <c r="D44" s="57">
        <v>4</v>
      </c>
      <c r="E44" s="58">
        <v>0.9</v>
      </c>
      <c r="F44" s="58">
        <v>1</v>
      </c>
      <c r="G44" s="58">
        <v>0.89</v>
      </c>
      <c r="H44" s="58">
        <v>0.6</v>
      </c>
      <c r="I44" s="32" t="s">
        <v>335</v>
      </c>
      <c r="J44" t="e">
        <v>#VALUE!</v>
      </c>
      <c r="K44" t="e">
        <v>#N/A</v>
      </c>
      <c r="L44" t="e">
        <v>#N/A</v>
      </c>
      <c r="M44" s="32" t="s">
        <v>335</v>
      </c>
      <c r="N44" s="32" t="s">
        <v>335</v>
      </c>
      <c r="O44" s="59">
        <v>0</v>
      </c>
      <c r="P44" s="32" t="str">
        <f t="shared" si="6"/>
        <v>SN999</v>
      </c>
      <c r="Q44" s="31">
        <f t="shared" si="11"/>
        <v>2</v>
      </c>
      <c r="R44" s="31">
        <f t="shared" si="12"/>
        <v>4</v>
      </c>
      <c r="S44" s="31">
        <f t="shared" si="13"/>
        <v>2</v>
      </c>
      <c r="T44" s="31">
        <f t="shared" si="4"/>
        <v>1</v>
      </c>
      <c r="U44" s="53">
        <f>IF('AAA Summary'!$L$35=4, RANK(H44,H$8:H$82,1)+COUNTIF($H$8:H44,H44)-1, IF('AAA Summary'!$L$35=3, RANK(G44,G$8:G$82,1)+COUNTIF($G$8:G44,G44)-1, IF('AAA Summary'!$L$35=2, RANK(F44,F$8:F$82,1)+COUNTIF($F$8:F44,F44)-1, IF('AAA Summary'!$L$35=1, RANK(E44,E$8:E$82,1)+COUNTIF($E$8:E44,E44)-1))))</f>
        <v>27</v>
      </c>
      <c r="V44" s="40">
        <f>IF('AAA Summary'!$L$35=4, H44, IF('AAA Summary'!$L$35=3, G44, IF('AAA Summary'!$L$35=2, F44, IF('AAA Summary'!$L$35=1, E44))))</f>
        <v>0.9</v>
      </c>
      <c r="W44" s="16" t="e">
        <f t="shared" si="7"/>
        <v>#VALUE!</v>
      </c>
      <c r="X44" s="16" t="e">
        <f t="shared" si="8"/>
        <v>#N/A</v>
      </c>
      <c r="Y44" s="16">
        <v>80</v>
      </c>
      <c r="Z44" s="16" t="s">
        <v>335</v>
      </c>
      <c r="AA44" s="16" t="e">
        <v>#VALUE!</v>
      </c>
      <c r="AB44" s="16" t="e">
        <v>#VALUE!</v>
      </c>
      <c r="AC44" s="16" t="e">
        <f t="shared" si="10"/>
        <v>#VALUE!</v>
      </c>
      <c r="AD44" s="16" t="e">
        <f t="shared" si="9"/>
        <v>#VALUE!</v>
      </c>
      <c r="AE44" s="16">
        <v>56</v>
      </c>
      <c r="AF44">
        <v>75</v>
      </c>
      <c r="AG44" s="53" t="b">
        <f>IF('AAA Summary'!$L$4=2, J44, IF('AAA Summary'!$L$4=1, Z44))</f>
        <v>0</v>
      </c>
      <c r="AH44" s="53" t="b">
        <f>IF('AAA Summary'!$L$4=2, W44, IF('AAA Summary'!$L$4=1, AC44))</f>
        <v>0</v>
      </c>
      <c r="AI44" s="53" t="b">
        <f>IF('AAA Summary'!$L$4=2, X44, IF('AAA Summary'!$L$4=1, AD44))</f>
        <v>0</v>
      </c>
      <c r="AJ44" s="53" t="b">
        <f>IF('AAA Summary'!$L$4=2, Y44, IF('AAA Summary'!$L$4=1, AE44))</f>
        <v>0</v>
      </c>
      <c r="AK44" s="13" t="s">
        <v>346</v>
      </c>
    </row>
    <row r="45" spans="1:37" x14ac:dyDescent="0.25">
      <c r="A45" t="s">
        <v>159</v>
      </c>
      <c r="B45" t="s">
        <v>160</v>
      </c>
      <c r="C45" s="57">
        <v>65</v>
      </c>
      <c r="D45" s="57">
        <v>34</v>
      </c>
      <c r="E45" s="58">
        <v>0.98</v>
      </c>
      <c r="F45" s="58">
        <v>0.95</v>
      </c>
      <c r="G45" s="58">
        <v>0.98</v>
      </c>
      <c r="H45" s="58">
        <v>0.89</v>
      </c>
      <c r="I45" s="32" t="s">
        <v>511</v>
      </c>
      <c r="J45">
        <v>57.8</v>
      </c>
      <c r="K45">
        <v>44.800000000000004</v>
      </c>
      <c r="L45">
        <v>70.099999999999994</v>
      </c>
      <c r="M45" s="32" t="s">
        <v>396</v>
      </c>
      <c r="N45" s="32" t="s">
        <v>284</v>
      </c>
      <c r="O45" s="59">
        <v>0.03</v>
      </c>
      <c r="P45" s="32" t="str">
        <f t="shared" si="6"/>
        <v>SG999</v>
      </c>
      <c r="Q45" s="31">
        <f t="shared" si="11"/>
        <v>4</v>
      </c>
      <c r="R45" s="31">
        <f t="shared" si="12"/>
        <v>1</v>
      </c>
      <c r="S45" s="31">
        <f t="shared" si="13"/>
        <v>3</v>
      </c>
      <c r="T45" s="31">
        <f t="shared" si="4"/>
        <v>2</v>
      </c>
      <c r="U45" s="53">
        <f>IF('AAA Summary'!$L$35=4, RANK(H45,H$8:H$82,1)+COUNTIF($H$8:H45,H45)-1, IF('AAA Summary'!$L$35=3, RANK(G45,G$8:G$82,1)+COUNTIF($G$8:G45,G45)-1, IF('AAA Summary'!$L$35=2, RANK(F45,F$8:F$82,1)+COUNTIF($F$8:F45,F45)-1, IF('AAA Summary'!$L$35=1, RANK(E45,E$8:E$82,1)+COUNTIF($E$8:E45,E45)-1))))</f>
        <v>57</v>
      </c>
      <c r="V45" s="40">
        <f>IF('AAA Summary'!$L$35=4, H45, IF('AAA Summary'!$L$35=3, G45, IF('AAA Summary'!$L$35=2, F45, IF('AAA Summary'!$L$35=1, E45))))</f>
        <v>0.98</v>
      </c>
      <c r="W45" s="16">
        <f t="shared" si="7"/>
        <v>12.999999999999993</v>
      </c>
      <c r="X45" s="16">
        <f t="shared" si="8"/>
        <v>12.299999999999997</v>
      </c>
      <c r="Y45" s="16">
        <v>80</v>
      </c>
      <c r="Z45" s="16">
        <v>51</v>
      </c>
      <c r="AA45" s="16">
        <v>27</v>
      </c>
      <c r="AB45" s="16">
        <v>76</v>
      </c>
      <c r="AC45" s="16">
        <f t="shared" si="10"/>
        <v>24</v>
      </c>
      <c r="AD45" s="16">
        <f t="shared" si="9"/>
        <v>25</v>
      </c>
      <c r="AE45" s="16">
        <v>56</v>
      </c>
      <c r="AF45">
        <v>16</v>
      </c>
      <c r="AG45" s="53" t="b">
        <f>IF('AAA Summary'!$L$4=2, J45, IF('AAA Summary'!$L$4=1, Z45))</f>
        <v>0</v>
      </c>
      <c r="AH45" s="53" t="b">
        <f>IF('AAA Summary'!$L$4=2, W45, IF('AAA Summary'!$L$4=1, AC45))</f>
        <v>0</v>
      </c>
      <c r="AI45" s="53" t="b">
        <f>IF('AAA Summary'!$L$4=2, X45, IF('AAA Summary'!$L$4=1, AD45))</f>
        <v>0</v>
      </c>
      <c r="AJ45" s="53" t="b">
        <f>IF('AAA Summary'!$L$4=2, Y45, IF('AAA Summary'!$L$4=1, AE45))</f>
        <v>0</v>
      </c>
      <c r="AK45" s="13">
        <v>0.57799999999999996</v>
      </c>
    </row>
    <row r="46" spans="1:37" x14ac:dyDescent="0.25">
      <c r="A46" t="s">
        <v>161</v>
      </c>
      <c r="B46" t="s">
        <v>162</v>
      </c>
      <c r="C46" s="57">
        <v>18</v>
      </c>
      <c r="D46" s="57">
        <v>9</v>
      </c>
      <c r="E46" s="58">
        <v>0.94</v>
      </c>
      <c r="F46" s="58">
        <v>1</v>
      </c>
      <c r="G46" s="58">
        <v>0.93</v>
      </c>
      <c r="H46" s="58">
        <v>1</v>
      </c>
      <c r="I46" s="32" t="s">
        <v>512</v>
      </c>
      <c r="J46">
        <v>35.299999999999997</v>
      </c>
      <c r="K46">
        <v>14.2</v>
      </c>
      <c r="L46">
        <v>61.7</v>
      </c>
      <c r="M46" s="32" t="s">
        <v>403</v>
      </c>
      <c r="N46" s="32" t="s">
        <v>291</v>
      </c>
      <c r="O46" s="59">
        <v>0</v>
      </c>
      <c r="P46" s="32" t="str">
        <f t="shared" si="6"/>
        <v>SH999</v>
      </c>
      <c r="Q46" s="31">
        <f t="shared" si="11"/>
        <v>3</v>
      </c>
      <c r="R46" s="31">
        <f t="shared" si="12"/>
        <v>4</v>
      </c>
      <c r="S46" s="31">
        <f t="shared" si="13"/>
        <v>2</v>
      </c>
      <c r="T46" s="31">
        <f t="shared" si="4"/>
        <v>4</v>
      </c>
      <c r="U46" s="53">
        <f>IF('AAA Summary'!$L$35=4, RANK(H46,H$8:H$82,1)+COUNTIF($H$8:H46,H46)-1, IF('AAA Summary'!$L$35=3, RANK(G46,G$8:G$82,1)+COUNTIF($G$8:G46,G46)-1, IF('AAA Summary'!$L$35=2, RANK(F46,F$8:F$82,1)+COUNTIF($F$8:F46,F46)-1, IF('AAA Summary'!$L$35=1, RANK(E46,E$8:E$82,1)+COUNTIF($E$8:E46,E46)-1))))</f>
        <v>36</v>
      </c>
      <c r="V46" s="40">
        <f>IF('AAA Summary'!$L$35=4, H46, IF('AAA Summary'!$L$35=3, G46, IF('AAA Summary'!$L$35=2, F46, IF('AAA Summary'!$L$35=1, E46))))</f>
        <v>0.94</v>
      </c>
      <c r="W46" s="16">
        <f t="shared" si="7"/>
        <v>21.099999999999998</v>
      </c>
      <c r="X46" s="16">
        <f t="shared" si="8"/>
        <v>26.400000000000006</v>
      </c>
      <c r="Y46" s="16">
        <v>80</v>
      </c>
      <c r="Z46" s="16">
        <v>64</v>
      </c>
      <c r="AA46" s="16">
        <v>44</v>
      </c>
      <c r="AB46" s="16">
        <v>96</v>
      </c>
      <c r="AC46" s="16">
        <f t="shared" si="10"/>
        <v>20</v>
      </c>
      <c r="AD46" s="16">
        <f t="shared" si="9"/>
        <v>32</v>
      </c>
      <c r="AE46" s="16">
        <v>56</v>
      </c>
      <c r="AF46">
        <v>35</v>
      </c>
      <c r="AG46" s="53" t="b">
        <f>IF('AAA Summary'!$L$4=2, J46, IF('AAA Summary'!$L$4=1, Z46))</f>
        <v>0</v>
      </c>
      <c r="AH46" s="53" t="b">
        <f>IF('AAA Summary'!$L$4=2, W46, IF('AAA Summary'!$L$4=1, AC46))</f>
        <v>0</v>
      </c>
      <c r="AI46" s="53" t="b">
        <f>IF('AAA Summary'!$L$4=2, X46, IF('AAA Summary'!$L$4=1, AD46))</f>
        <v>0</v>
      </c>
      <c r="AJ46" s="53" t="b">
        <f>IF('AAA Summary'!$L$4=2, Y46, IF('AAA Summary'!$L$4=1, AE46))</f>
        <v>0</v>
      </c>
      <c r="AK46" s="13">
        <v>0.35299999999999998</v>
      </c>
    </row>
    <row r="47" spans="1:37" x14ac:dyDescent="0.25">
      <c r="A47" t="s">
        <v>163</v>
      </c>
      <c r="B47" t="s">
        <v>164</v>
      </c>
      <c r="C47" s="57">
        <v>46</v>
      </c>
      <c r="D47" s="57">
        <v>36</v>
      </c>
      <c r="E47" s="58">
        <v>0.87</v>
      </c>
      <c r="F47" s="58">
        <v>1</v>
      </c>
      <c r="G47" s="58">
        <v>0.88</v>
      </c>
      <c r="H47" s="58">
        <v>0.85</v>
      </c>
      <c r="I47" s="32" t="s">
        <v>513</v>
      </c>
      <c r="J47">
        <v>52.5</v>
      </c>
      <c r="K47">
        <v>36.1</v>
      </c>
      <c r="L47">
        <v>68.5</v>
      </c>
      <c r="M47" s="32" t="s">
        <v>394</v>
      </c>
      <c r="N47" s="32" t="s">
        <v>221</v>
      </c>
      <c r="O47" s="59">
        <v>1.3999999999999999E-2</v>
      </c>
      <c r="P47" s="32" t="str">
        <f t="shared" si="6"/>
        <v>SL999</v>
      </c>
      <c r="Q47" s="31">
        <f t="shared" si="11"/>
        <v>1</v>
      </c>
      <c r="R47" s="31">
        <f t="shared" si="12"/>
        <v>4</v>
      </c>
      <c r="S47" s="31">
        <f t="shared" si="13"/>
        <v>1</v>
      </c>
      <c r="T47" s="31">
        <f t="shared" si="4"/>
        <v>2</v>
      </c>
      <c r="U47" s="53">
        <f>IF('AAA Summary'!$L$35=4, RANK(H47,H$8:H$82,1)+COUNTIF($H$8:H47,H47)-1, IF('AAA Summary'!$L$35=3, RANK(G47,G$8:G$82,1)+COUNTIF($G$8:G47,G47)-1, IF('AAA Summary'!$L$35=2, RANK(F47,F$8:F$82,1)+COUNTIF($F$8:F47,F47)-1, IF('AAA Summary'!$L$35=1, RANK(E47,E$8:E$82,1)+COUNTIF($E$8:E47,E47)-1))))</f>
        <v>18</v>
      </c>
      <c r="V47" s="40">
        <f>IF('AAA Summary'!$L$35=4, H47, IF('AAA Summary'!$L$35=3, G47, IF('AAA Summary'!$L$35=2, F47, IF('AAA Summary'!$L$35=1, E47))))</f>
        <v>0.87</v>
      </c>
      <c r="W47" s="16">
        <f t="shared" si="7"/>
        <v>16.399999999999999</v>
      </c>
      <c r="X47" s="16">
        <f t="shared" si="8"/>
        <v>16</v>
      </c>
      <c r="Y47" s="16">
        <v>80</v>
      </c>
      <c r="Z47" s="16">
        <v>55</v>
      </c>
      <c r="AA47" s="16">
        <v>33</v>
      </c>
      <c r="AB47" s="16">
        <v>102</v>
      </c>
      <c r="AC47" s="16">
        <f t="shared" si="10"/>
        <v>22</v>
      </c>
      <c r="AD47" s="16">
        <f t="shared" si="9"/>
        <v>47</v>
      </c>
      <c r="AE47" s="16">
        <v>56</v>
      </c>
      <c r="AF47">
        <v>21</v>
      </c>
      <c r="AG47" s="53" t="b">
        <f>IF('AAA Summary'!$L$4=2, J47, IF('AAA Summary'!$L$4=1, Z47))</f>
        <v>0</v>
      </c>
      <c r="AH47" s="53" t="b">
        <f>IF('AAA Summary'!$L$4=2, W47, IF('AAA Summary'!$L$4=1, AC47))</f>
        <v>0</v>
      </c>
      <c r="AI47" s="53" t="b">
        <f>IF('AAA Summary'!$L$4=2, X47, IF('AAA Summary'!$L$4=1, AD47))</f>
        <v>0</v>
      </c>
      <c r="AJ47" s="53" t="b">
        <f>IF('AAA Summary'!$L$4=2, Y47, IF('AAA Summary'!$L$4=1, AE47))</f>
        <v>0</v>
      </c>
      <c r="AK47" s="13">
        <v>0.52500000000000002</v>
      </c>
    </row>
    <row r="48" spans="1:37" x14ac:dyDescent="0.25">
      <c r="A48" t="s">
        <v>167</v>
      </c>
      <c r="B48" t="s">
        <v>168</v>
      </c>
      <c r="C48" s="57">
        <v>41</v>
      </c>
      <c r="D48" s="57">
        <v>11</v>
      </c>
      <c r="E48" s="58">
        <v>1</v>
      </c>
      <c r="F48" s="58">
        <v>1</v>
      </c>
      <c r="G48" s="58">
        <v>1</v>
      </c>
      <c r="H48" s="58">
        <v>1</v>
      </c>
      <c r="I48" s="32" t="s">
        <v>514</v>
      </c>
      <c r="J48">
        <v>51.2</v>
      </c>
      <c r="K48">
        <v>35.099999999999994</v>
      </c>
      <c r="L48">
        <v>67.100000000000009</v>
      </c>
      <c r="M48" s="32" t="s">
        <v>315</v>
      </c>
      <c r="N48" s="32" t="s">
        <v>228</v>
      </c>
      <c r="O48" s="59">
        <v>6.9999999999999993E-3</v>
      </c>
      <c r="P48" s="32" t="str">
        <f t="shared" si="6"/>
        <v>SS999</v>
      </c>
      <c r="Q48" s="31">
        <f t="shared" si="11"/>
        <v>4</v>
      </c>
      <c r="R48" s="31">
        <f t="shared" si="12"/>
        <v>4</v>
      </c>
      <c r="S48" s="31">
        <f t="shared" si="13"/>
        <v>4</v>
      </c>
      <c r="T48" s="31">
        <f t="shared" si="4"/>
        <v>4</v>
      </c>
      <c r="U48" s="53">
        <f>IF('AAA Summary'!$L$35=4, RANK(H48,H$8:H$82,1)+COUNTIF($H$8:H48,H48)-1, IF('AAA Summary'!$L$35=3, RANK(G48,G$8:G$82,1)+COUNTIF($G$8:G48,G48)-1, IF('AAA Summary'!$L$35=2, RANK(F48,F$8:F$82,1)+COUNTIF($F$8:F48,F48)-1, IF('AAA Summary'!$L$35=1, RANK(E48,E$8:E$82,1)+COUNTIF($E$8:E48,E48)-1))))</f>
        <v>68</v>
      </c>
      <c r="V48" s="40">
        <f>IF('AAA Summary'!$L$35=4, H48, IF('AAA Summary'!$L$35=3, G48, IF('AAA Summary'!$L$35=2, F48, IF('AAA Summary'!$L$35=1, E48))))</f>
        <v>1</v>
      </c>
      <c r="W48" s="16">
        <f t="shared" si="7"/>
        <v>16.100000000000009</v>
      </c>
      <c r="X48" s="16">
        <f t="shared" si="8"/>
        <v>15.900000000000006</v>
      </c>
      <c r="Y48" s="16">
        <v>80</v>
      </c>
      <c r="Z48" s="16">
        <v>56</v>
      </c>
      <c r="AA48" s="16">
        <v>28</v>
      </c>
      <c r="AB48" s="16">
        <v>76</v>
      </c>
      <c r="AC48" s="16">
        <f t="shared" si="10"/>
        <v>28</v>
      </c>
      <c r="AD48" s="16">
        <f t="shared" si="9"/>
        <v>20</v>
      </c>
      <c r="AE48" s="16">
        <v>56</v>
      </c>
      <c r="AF48">
        <v>22</v>
      </c>
      <c r="AG48" s="53" t="b">
        <f>IF('AAA Summary'!$L$4=2, J48, IF('AAA Summary'!$L$4=1, Z48))</f>
        <v>0</v>
      </c>
      <c r="AH48" s="53" t="b">
        <f>IF('AAA Summary'!$L$4=2, W48, IF('AAA Summary'!$L$4=1, AC48))</f>
        <v>0</v>
      </c>
      <c r="AI48" s="53" t="b">
        <f>IF('AAA Summary'!$L$4=2, X48, IF('AAA Summary'!$L$4=1, AD48))</f>
        <v>0</v>
      </c>
      <c r="AJ48" s="53" t="b">
        <f>IF('AAA Summary'!$L$4=2, Y48, IF('AAA Summary'!$L$4=1, AE48))</f>
        <v>0</v>
      </c>
      <c r="AK48" s="13">
        <v>0.51200000000000001</v>
      </c>
    </row>
    <row r="49" spans="1:37" x14ac:dyDescent="0.25">
      <c r="A49" t="s">
        <v>169</v>
      </c>
      <c r="B49" t="s">
        <v>170</v>
      </c>
      <c r="C49" s="57">
        <v>14</v>
      </c>
      <c r="D49" s="57">
        <v>6</v>
      </c>
      <c r="E49" s="58">
        <v>0.43</v>
      </c>
      <c r="F49" s="58">
        <v>1</v>
      </c>
      <c r="G49" s="58">
        <v>0.38</v>
      </c>
      <c r="H49" s="58">
        <v>0.43</v>
      </c>
      <c r="I49" s="32" t="s">
        <v>515</v>
      </c>
      <c r="J49" t="e">
        <v>#VALUE!</v>
      </c>
      <c r="K49" t="e">
        <v>#N/A</v>
      </c>
      <c r="L49" t="e">
        <v>#N/A</v>
      </c>
      <c r="M49" s="32" t="s">
        <v>516</v>
      </c>
      <c r="N49" s="32" t="s">
        <v>285</v>
      </c>
      <c r="O49" s="59">
        <v>0</v>
      </c>
      <c r="P49" s="32" t="str">
        <f t="shared" si="6"/>
        <v>ST999</v>
      </c>
      <c r="Q49" s="31">
        <f t="shared" si="11"/>
        <v>1</v>
      </c>
      <c r="R49" s="31">
        <f t="shared" si="12"/>
        <v>4</v>
      </c>
      <c r="S49" s="31">
        <f t="shared" si="13"/>
        <v>1</v>
      </c>
      <c r="T49" s="31">
        <f t="shared" si="4"/>
        <v>1</v>
      </c>
      <c r="U49" s="53">
        <f>IF('AAA Summary'!$L$35=4, RANK(H49,H$8:H$82,1)+COUNTIF($H$8:H49,H49)-1, IF('AAA Summary'!$L$35=3, RANK(G49,G$8:G$82,1)+COUNTIF($G$8:G49,G49)-1, IF('AAA Summary'!$L$35=2, RANK(F49,F$8:F$82,1)+COUNTIF($F$8:F49,F49)-1, IF('AAA Summary'!$L$35=1, RANK(E49,E$8:E$82,1)+COUNTIF($E$8:E49,E49)-1))))</f>
        <v>3</v>
      </c>
      <c r="V49" s="40">
        <f>IF('AAA Summary'!$L$35=4, H49, IF('AAA Summary'!$L$35=3, G49, IF('AAA Summary'!$L$35=2, F49, IF('AAA Summary'!$L$35=1, E49))))</f>
        <v>0.43</v>
      </c>
      <c r="W49" s="16" t="e">
        <f t="shared" si="7"/>
        <v>#VALUE!</v>
      </c>
      <c r="X49" s="16" t="e">
        <f t="shared" si="8"/>
        <v>#N/A</v>
      </c>
      <c r="Y49" s="16">
        <v>80</v>
      </c>
      <c r="Z49" s="16">
        <v>65</v>
      </c>
      <c r="AA49" s="16">
        <v>52</v>
      </c>
      <c r="AB49" s="16">
        <v>141</v>
      </c>
      <c r="AC49" s="16">
        <f t="shared" si="10"/>
        <v>13</v>
      </c>
      <c r="AD49" s="16">
        <f t="shared" si="9"/>
        <v>76</v>
      </c>
      <c r="AE49" s="16">
        <v>56</v>
      </c>
      <c r="AF49">
        <v>36</v>
      </c>
      <c r="AG49" s="53" t="b">
        <f>IF('AAA Summary'!$L$4=2, J49, IF('AAA Summary'!$L$4=1, Z49))</f>
        <v>0</v>
      </c>
      <c r="AH49" s="53" t="b">
        <f>IF('AAA Summary'!$L$4=2, W49, IF('AAA Summary'!$L$4=1, AC49))</f>
        <v>0</v>
      </c>
      <c r="AI49" s="53" t="b">
        <f>IF('AAA Summary'!$L$4=2, X49, IF('AAA Summary'!$L$4=1, AD49))</f>
        <v>0</v>
      </c>
      <c r="AJ49" s="53" t="b">
        <f>IF('AAA Summary'!$L$4=2, Y49, IF('AAA Summary'!$L$4=1, AE49))</f>
        <v>0</v>
      </c>
      <c r="AK49" s="13" t="s">
        <v>346</v>
      </c>
    </row>
    <row r="50" spans="1:37" x14ac:dyDescent="0.25">
      <c r="A50" t="s">
        <v>80</v>
      </c>
      <c r="B50" t="s">
        <v>81</v>
      </c>
      <c r="C50" s="57">
        <v>76</v>
      </c>
      <c r="D50" s="57">
        <v>34</v>
      </c>
      <c r="E50" s="58">
        <v>0.95</v>
      </c>
      <c r="F50" s="58">
        <v>0.97</v>
      </c>
      <c r="G50" s="58">
        <v>0.95</v>
      </c>
      <c r="H50" s="58">
        <v>0.88</v>
      </c>
      <c r="I50" s="32" t="s">
        <v>517</v>
      </c>
      <c r="J50">
        <v>51.4</v>
      </c>
      <c r="K50">
        <v>39.300000000000004</v>
      </c>
      <c r="L50">
        <v>63.3</v>
      </c>
      <c r="M50" s="32" t="s">
        <v>398</v>
      </c>
      <c r="N50" s="32" t="s">
        <v>284</v>
      </c>
      <c r="O50" s="59">
        <v>2.5000000000000001E-2</v>
      </c>
      <c r="P50" s="32" t="str">
        <f t="shared" si="6"/>
        <v>RM1</v>
      </c>
      <c r="Q50" s="31">
        <f t="shared" si="11"/>
        <v>3</v>
      </c>
      <c r="R50" s="31">
        <f t="shared" si="12"/>
        <v>2</v>
      </c>
      <c r="S50" s="31">
        <f t="shared" si="13"/>
        <v>3</v>
      </c>
      <c r="T50" s="31">
        <f t="shared" si="4"/>
        <v>2</v>
      </c>
      <c r="U50" s="53">
        <f>IF('AAA Summary'!$L$35=4, RANK(H50,H$8:H$82,1)+COUNTIF($H$8:H50,H50)-1, IF('AAA Summary'!$L$35=3, RANK(G50,G$8:G$82,1)+COUNTIF($G$8:G50,G50)-1, IF('AAA Summary'!$L$35=2, RANK(F50,F$8:F$82,1)+COUNTIF($F$8:F50,F50)-1, IF('AAA Summary'!$L$35=1, RANK(E50,E$8:E$82,1)+COUNTIF($E$8:E50,E50)-1))))</f>
        <v>41</v>
      </c>
      <c r="V50" s="40">
        <f>IF('AAA Summary'!$L$35=4, H50, IF('AAA Summary'!$L$35=3, G50, IF('AAA Summary'!$L$35=2, F50, IF('AAA Summary'!$L$35=1, E50))))</f>
        <v>0.95</v>
      </c>
      <c r="W50" s="16">
        <f t="shared" si="7"/>
        <v>12.099999999999994</v>
      </c>
      <c r="X50" s="16">
        <f t="shared" si="8"/>
        <v>11.899999999999999</v>
      </c>
      <c r="Y50" s="16">
        <v>80</v>
      </c>
      <c r="Z50" s="16">
        <v>52</v>
      </c>
      <c r="AA50" s="16">
        <v>30</v>
      </c>
      <c r="AB50" s="16">
        <v>91</v>
      </c>
      <c r="AC50" s="16">
        <f t="shared" si="10"/>
        <v>22</v>
      </c>
      <c r="AD50" s="16">
        <f t="shared" si="9"/>
        <v>39</v>
      </c>
      <c r="AE50" s="16">
        <v>56</v>
      </c>
      <c r="AF50">
        <v>18</v>
      </c>
      <c r="AG50" s="53" t="b">
        <f>IF('AAA Summary'!$L$4=2, J50, IF('AAA Summary'!$L$4=1, Z50))</f>
        <v>0</v>
      </c>
      <c r="AH50" s="53" t="b">
        <f>IF('AAA Summary'!$L$4=2, W50, IF('AAA Summary'!$L$4=1, AC50))</f>
        <v>0</v>
      </c>
      <c r="AI50" s="53" t="b">
        <f>IF('AAA Summary'!$L$4=2, X50, IF('AAA Summary'!$L$4=1, AD50))</f>
        <v>0</v>
      </c>
      <c r="AJ50" s="53" t="b">
        <f>IF('AAA Summary'!$L$4=2, Y50, IF('AAA Summary'!$L$4=1, AE50))</f>
        <v>0</v>
      </c>
      <c r="AK50" s="13">
        <v>0.51400000000000001</v>
      </c>
    </row>
    <row r="51" spans="1:37" x14ac:dyDescent="0.25">
      <c r="A51" t="s">
        <v>121</v>
      </c>
      <c r="B51" t="s">
        <v>122</v>
      </c>
      <c r="C51" s="57">
        <v>48</v>
      </c>
      <c r="D51" s="57">
        <v>26</v>
      </c>
      <c r="E51" s="58">
        <v>0.9</v>
      </c>
      <c r="F51" s="58">
        <v>0.98</v>
      </c>
      <c r="G51" s="58">
        <v>0.93</v>
      </c>
      <c r="H51" s="58">
        <v>0.9</v>
      </c>
      <c r="I51" s="32" t="s">
        <v>518</v>
      </c>
      <c r="J51">
        <v>69.8</v>
      </c>
      <c r="K51">
        <v>53.900000000000006</v>
      </c>
      <c r="L51">
        <v>82.8</v>
      </c>
      <c r="M51" s="32" t="s">
        <v>245</v>
      </c>
      <c r="N51" s="32" t="s">
        <v>286</v>
      </c>
      <c r="O51" s="59">
        <v>3.5000000000000003E-2</v>
      </c>
      <c r="P51" s="32" t="str">
        <f t="shared" si="6"/>
        <v>RVJ</v>
      </c>
      <c r="Q51" s="31">
        <f t="shared" si="11"/>
        <v>2</v>
      </c>
      <c r="R51" s="31">
        <f t="shared" si="12"/>
        <v>2</v>
      </c>
      <c r="S51" s="31">
        <f t="shared" si="13"/>
        <v>2</v>
      </c>
      <c r="T51" s="31">
        <f t="shared" si="4"/>
        <v>3</v>
      </c>
      <c r="U51" s="53">
        <f>IF('AAA Summary'!$L$35=4, RANK(H51,H$8:H$82,1)+COUNTIF($H$8:H51,H51)-1, IF('AAA Summary'!$L$35=3, RANK(G51,G$8:G$82,1)+COUNTIF($G$8:G51,G51)-1, IF('AAA Summary'!$L$35=2, RANK(F51,F$8:F$82,1)+COUNTIF($F$8:F51,F51)-1, IF('AAA Summary'!$L$35=1, RANK(E51,E$8:E$82,1)+COUNTIF($E$8:E51,E51)-1))))</f>
        <v>28</v>
      </c>
      <c r="V51" s="40">
        <f>IF('AAA Summary'!$L$35=4, H51, IF('AAA Summary'!$L$35=3, G51, IF('AAA Summary'!$L$35=2, F51, IF('AAA Summary'!$L$35=1, E51))))</f>
        <v>0.9</v>
      </c>
      <c r="W51" s="16">
        <f t="shared" si="7"/>
        <v>15.899999999999991</v>
      </c>
      <c r="X51" s="16">
        <f t="shared" si="8"/>
        <v>13</v>
      </c>
      <c r="Y51" s="16">
        <v>80</v>
      </c>
      <c r="Z51" s="16">
        <v>39</v>
      </c>
      <c r="AA51" s="16">
        <v>24</v>
      </c>
      <c r="AB51" s="16">
        <v>61</v>
      </c>
      <c r="AC51" s="16">
        <f t="shared" si="10"/>
        <v>15</v>
      </c>
      <c r="AD51" s="16">
        <f t="shared" si="9"/>
        <v>22</v>
      </c>
      <c r="AE51" s="16">
        <v>56</v>
      </c>
      <c r="AF51">
        <v>3</v>
      </c>
      <c r="AG51" s="53" t="b">
        <f>IF('AAA Summary'!$L$4=2, J51, IF('AAA Summary'!$L$4=1, Z51))</f>
        <v>0</v>
      </c>
      <c r="AH51" s="53" t="b">
        <f>IF('AAA Summary'!$L$4=2, W51, IF('AAA Summary'!$L$4=1, AC51))</f>
        <v>0</v>
      </c>
      <c r="AI51" s="53" t="b">
        <f>IF('AAA Summary'!$L$4=2, X51, IF('AAA Summary'!$L$4=1, AD51))</f>
        <v>0</v>
      </c>
      <c r="AJ51" s="53" t="b">
        <f>IF('AAA Summary'!$L$4=2, Y51, IF('AAA Summary'!$L$4=1, AE51))</f>
        <v>0</v>
      </c>
      <c r="AK51" s="13">
        <v>0.69799999999999995</v>
      </c>
    </row>
    <row r="52" spans="1:37" x14ac:dyDescent="0.25">
      <c r="A52" t="s">
        <v>86</v>
      </c>
      <c r="B52" t="s">
        <v>87</v>
      </c>
      <c r="C52" s="57">
        <v>25</v>
      </c>
      <c r="D52" s="57">
        <v>17</v>
      </c>
      <c r="E52" s="58">
        <v>0.92</v>
      </c>
      <c r="F52" s="58">
        <v>1</v>
      </c>
      <c r="G52" s="58">
        <v>0.95</v>
      </c>
      <c r="H52" s="58">
        <v>0.92</v>
      </c>
      <c r="I52" s="32" t="s">
        <v>519</v>
      </c>
      <c r="J52">
        <v>43.5</v>
      </c>
      <c r="K52">
        <v>23.200000000000003</v>
      </c>
      <c r="L52">
        <v>65.5</v>
      </c>
      <c r="M52" s="32" t="s">
        <v>520</v>
      </c>
      <c r="N52" s="32" t="s">
        <v>214</v>
      </c>
      <c r="O52" s="59">
        <v>3.6000000000000004E-2</v>
      </c>
      <c r="P52" s="32" t="str">
        <f t="shared" si="6"/>
        <v>RNL</v>
      </c>
      <c r="Q52" s="31">
        <f t="shared" si="11"/>
        <v>2</v>
      </c>
      <c r="R52" s="31">
        <f t="shared" si="12"/>
        <v>4</v>
      </c>
      <c r="S52" s="31">
        <f t="shared" si="13"/>
        <v>3</v>
      </c>
      <c r="T52" s="31">
        <f t="shared" si="4"/>
        <v>3</v>
      </c>
      <c r="U52" s="53">
        <f>IF('AAA Summary'!$L$35=4, RANK(H52,H$8:H$82,1)+COUNTIF($H$8:H52,H52)-1, IF('AAA Summary'!$L$35=3, RANK(G52,G$8:G$82,1)+COUNTIF($G$8:G52,G52)-1, IF('AAA Summary'!$L$35=2, RANK(F52,F$8:F$82,1)+COUNTIF($F$8:F52,F52)-1, IF('AAA Summary'!$L$35=1, RANK(E52,E$8:E$82,1)+COUNTIF($E$8:E52,E52)-1))))</f>
        <v>29</v>
      </c>
      <c r="V52" s="40">
        <f>IF('AAA Summary'!$L$35=4, H52, IF('AAA Summary'!$L$35=3, G52, IF('AAA Summary'!$L$35=2, F52, IF('AAA Summary'!$L$35=1, E52))))</f>
        <v>0.92</v>
      </c>
      <c r="W52" s="16">
        <f t="shared" si="7"/>
        <v>20.299999999999997</v>
      </c>
      <c r="X52" s="16">
        <f t="shared" si="8"/>
        <v>22</v>
      </c>
      <c r="Y52" s="16">
        <v>80</v>
      </c>
      <c r="Z52" s="16">
        <v>74</v>
      </c>
      <c r="AA52" s="16">
        <v>28</v>
      </c>
      <c r="AB52" s="16">
        <v>99</v>
      </c>
      <c r="AC52" s="16">
        <f t="shared" si="10"/>
        <v>46</v>
      </c>
      <c r="AD52" s="16">
        <f t="shared" si="9"/>
        <v>25</v>
      </c>
      <c r="AE52" s="16">
        <v>56</v>
      </c>
      <c r="AF52">
        <v>44</v>
      </c>
      <c r="AG52" s="53" t="b">
        <f>IF('AAA Summary'!$L$4=2, J52, IF('AAA Summary'!$L$4=1, Z52))</f>
        <v>0</v>
      </c>
      <c r="AH52" s="53" t="b">
        <f>IF('AAA Summary'!$L$4=2, W52, IF('AAA Summary'!$L$4=1, AC52))</f>
        <v>0</v>
      </c>
      <c r="AI52" s="53" t="b">
        <f>IF('AAA Summary'!$L$4=2, X52, IF('AAA Summary'!$L$4=1, AD52))</f>
        <v>0</v>
      </c>
      <c r="AJ52" s="53" t="b">
        <f>IF('AAA Summary'!$L$4=2, Y52, IF('AAA Summary'!$L$4=1, AE52))</f>
        <v>0</v>
      </c>
      <c r="AK52" s="13">
        <v>0.435</v>
      </c>
    </row>
    <row r="53" spans="1:37" x14ac:dyDescent="0.25">
      <c r="A53" t="s">
        <v>88</v>
      </c>
      <c r="B53" t="s">
        <v>89</v>
      </c>
      <c r="C53" s="57">
        <v>37</v>
      </c>
      <c r="D53" s="57">
        <v>26</v>
      </c>
      <c r="E53" s="58">
        <v>0.97</v>
      </c>
      <c r="F53" s="58">
        <v>1</v>
      </c>
      <c r="G53" s="58">
        <v>0.97</v>
      </c>
      <c r="H53" s="58">
        <v>0.97</v>
      </c>
      <c r="I53" s="32" t="s">
        <v>521</v>
      </c>
      <c r="J53">
        <v>38.9</v>
      </c>
      <c r="K53">
        <v>23.1</v>
      </c>
      <c r="L53">
        <v>56.499999999999993</v>
      </c>
      <c r="M53" s="32" t="s">
        <v>522</v>
      </c>
      <c r="N53" s="32" t="s">
        <v>263</v>
      </c>
      <c r="O53" s="59">
        <v>2.5000000000000001E-2</v>
      </c>
      <c r="P53" s="32" t="str">
        <f t="shared" si="6"/>
        <v>RNS</v>
      </c>
      <c r="Q53" s="31">
        <f t="shared" si="11"/>
        <v>3</v>
      </c>
      <c r="R53" s="31">
        <f t="shared" si="12"/>
        <v>4</v>
      </c>
      <c r="S53" s="31">
        <f t="shared" si="13"/>
        <v>3</v>
      </c>
      <c r="T53" s="31">
        <f t="shared" si="4"/>
        <v>4</v>
      </c>
      <c r="U53" s="53">
        <f>IF('AAA Summary'!$L$35=4, RANK(H53,H$8:H$82,1)+COUNTIF($H$8:H53,H53)-1, IF('AAA Summary'!$L$35=3, RANK(G53,G$8:G$82,1)+COUNTIF($G$8:G53,G53)-1, IF('AAA Summary'!$L$35=2, RANK(F53,F$8:F$82,1)+COUNTIF($F$8:F53,F53)-1, IF('AAA Summary'!$L$35=1, RANK(E53,E$8:E$82,1)+COUNTIF($E$8:E53,E53)-1))))</f>
        <v>52</v>
      </c>
      <c r="V53" s="40">
        <f>IF('AAA Summary'!$L$35=4, H53, IF('AAA Summary'!$L$35=3, G53, IF('AAA Summary'!$L$35=2, F53, IF('AAA Summary'!$L$35=1, E53))))</f>
        <v>0.97</v>
      </c>
      <c r="W53" s="16">
        <f t="shared" si="7"/>
        <v>15.799999999999997</v>
      </c>
      <c r="X53" s="16">
        <f t="shared" si="8"/>
        <v>17.599999999999994</v>
      </c>
      <c r="Y53" s="16">
        <v>80</v>
      </c>
      <c r="Z53" s="16">
        <v>80</v>
      </c>
      <c r="AA53" s="16">
        <v>39</v>
      </c>
      <c r="AB53" s="16">
        <v>119</v>
      </c>
      <c r="AC53" s="16">
        <f t="shared" si="10"/>
        <v>41</v>
      </c>
      <c r="AD53" s="16">
        <f t="shared" si="9"/>
        <v>39</v>
      </c>
      <c r="AE53" s="16">
        <v>56</v>
      </c>
      <c r="AF53">
        <v>52</v>
      </c>
      <c r="AG53" s="53" t="b">
        <f>IF('AAA Summary'!$L$4=2, J53, IF('AAA Summary'!$L$4=1, Z53))</f>
        <v>0</v>
      </c>
      <c r="AH53" s="53" t="b">
        <f>IF('AAA Summary'!$L$4=2, W53, IF('AAA Summary'!$L$4=1, AC53))</f>
        <v>0</v>
      </c>
      <c r="AI53" s="53" t="b">
        <f>IF('AAA Summary'!$L$4=2, X53, IF('AAA Summary'!$L$4=1, AD53))</f>
        <v>0</v>
      </c>
      <c r="AJ53" s="53" t="b">
        <f>IF('AAA Summary'!$L$4=2, Y53, IF('AAA Summary'!$L$4=1, AE53))</f>
        <v>0</v>
      </c>
      <c r="AK53" s="13">
        <v>0.38900000000000001</v>
      </c>
    </row>
    <row r="54" spans="1:37" x14ac:dyDescent="0.25">
      <c r="A54" t="s">
        <v>141</v>
      </c>
      <c r="B54" t="s">
        <v>142</v>
      </c>
      <c r="C54" s="57">
        <v>56</v>
      </c>
      <c r="D54" s="57">
        <v>38</v>
      </c>
      <c r="E54" s="58">
        <v>0.79</v>
      </c>
      <c r="F54" s="58">
        <v>0.98</v>
      </c>
      <c r="G54" s="58">
        <v>0.88</v>
      </c>
      <c r="H54" s="58">
        <v>0.75</v>
      </c>
      <c r="I54" s="32" t="s">
        <v>523</v>
      </c>
      <c r="J54">
        <v>27.3</v>
      </c>
      <c r="K54">
        <v>15</v>
      </c>
      <c r="L54">
        <v>42.8</v>
      </c>
      <c r="M54" s="32" t="s">
        <v>303</v>
      </c>
      <c r="N54" s="32" t="s">
        <v>221</v>
      </c>
      <c r="O54" s="59">
        <v>1.2E-2</v>
      </c>
      <c r="P54" s="32" t="str">
        <f t="shared" si="6"/>
        <v>RX1</v>
      </c>
      <c r="Q54" s="31">
        <f t="shared" si="11"/>
        <v>1</v>
      </c>
      <c r="R54" s="31">
        <f t="shared" si="12"/>
        <v>2</v>
      </c>
      <c r="S54" s="31">
        <f t="shared" si="13"/>
        <v>1</v>
      </c>
      <c r="T54" s="31">
        <f t="shared" si="4"/>
        <v>1</v>
      </c>
      <c r="U54" s="53">
        <f>IF('AAA Summary'!$L$35=4, RANK(H54,H$8:H$82,1)+COUNTIF($H$8:H54,H54)-1, IF('AAA Summary'!$L$35=3, RANK(G54,G$8:G$82,1)+COUNTIF($G$8:G54,G54)-1, IF('AAA Summary'!$L$35=2, RANK(F54,F$8:F$82,1)+COUNTIF($F$8:F54,F54)-1, IF('AAA Summary'!$L$35=1, RANK(E54,E$8:E$82,1)+COUNTIF($E$8:E54,E54)-1))))</f>
        <v>12</v>
      </c>
      <c r="V54" s="40">
        <f>IF('AAA Summary'!$L$35=4, H54, IF('AAA Summary'!$L$35=3, G54, IF('AAA Summary'!$L$35=2, F54, IF('AAA Summary'!$L$35=1, E54))))</f>
        <v>0.79</v>
      </c>
      <c r="W54" s="16">
        <f t="shared" si="7"/>
        <v>12.3</v>
      </c>
      <c r="X54" s="16">
        <f t="shared" si="8"/>
        <v>15.499999999999996</v>
      </c>
      <c r="Y54" s="16">
        <v>80</v>
      </c>
      <c r="Z54" s="16">
        <v>85</v>
      </c>
      <c r="AA54" s="16">
        <v>53</v>
      </c>
      <c r="AB54" s="16">
        <v>132</v>
      </c>
      <c r="AC54" s="16">
        <f t="shared" si="10"/>
        <v>32</v>
      </c>
      <c r="AD54" s="16">
        <f t="shared" si="9"/>
        <v>47</v>
      </c>
      <c r="AE54" s="16">
        <v>56</v>
      </c>
      <c r="AF54">
        <v>59</v>
      </c>
      <c r="AG54" s="53" t="b">
        <f>IF('AAA Summary'!$L$4=2, J54, IF('AAA Summary'!$L$4=1, Z54))</f>
        <v>0</v>
      </c>
      <c r="AH54" s="53" t="b">
        <f>IF('AAA Summary'!$L$4=2, W54, IF('AAA Summary'!$L$4=1, AC54))</f>
        <v>0</v>
      </c>
      <c r="AI54" s="53" t="b">
        <f>IF('AAA Summary'!$L$4=2, X54, IF('AAA Summary'!$L$4=1, AD54))</f>
        <v>0</v>
      </c>
      <c r="AJ54" s="53" t="b">
        <f>IF('AAA Summary'!$L$4=2, Y54, IF('AAA Summary'!$L$4=1, AE54))</f>
        <v>0</v>
      </c>
      <c r="AK54" s="13">
        <v>0.27300000000000002</v>
      </c>
    </row>
    <row r="55" spans="1:37" x14ac:dyDescent="0.25">
      <c r="A55" t="s">
        <v>115</v>
      </c>
      <c r="B55" t="s">
        <v>424</v>
      </c>
      <c r="C55" s="57">
        <v>85</v>
      </c>
      <c r="D55" s="57">
        <v>41</v>
      </c>
      <c r="E55" s="58">
        <v>0.93</v>
      </c>
      <c r="F55" s="58">
        <v>0.99</v>
      </c>
      <c r="G55" s="58">
        <v>0.93</v>
      </c>
      <c r="H55" s="58">
        <v>0.91</v>
      </c>
      <c r="I55" s="32" t="s">
        <v>524</v>
      </c>
      <c r="J55">
        <v>29.099999999999998</v>
      </c>
      <c r="K55">
        <v>19.400000000000002</v>
      </c>
      <c r="L55">
        <v>40.400000000000006</v>
      </c>
      <c r="M55" s="32" t="s">
        <v>314</v>
      </c>
      <c r="N55" s="32" t="s">
        <v>286</v>
      </c>
      <c r="O55" s="59">
        <v>0</v>
      </c>
      <c r="P55" s="32" t="str">
        <f t="shared" si="6"/>
        <v>RTH</v>
      </c>
      <c r="Q55" s="31">
        <f t="shared" si="11"/>
        <v>2</v>
      </c>
      <c r="R55" s="31">
        <f t="shared" si="12"/>
        <v>3</v>
      </c>
      <c r="S55" s="31">
        <f t="shared" si="13"/>
        <v>2</v>
      </c>
      <c r="T55" s="31">
        <f t="shared" si="4"/>
        <v>3</v>
      </c>
      <c r="U55" s="53">
        <f>IF('AAA Summary'!$L$35=4, RANK(H55,H$8:H$82,1)+COUNTIF($H$8:H55,H55)-1, IF('AAA Summary'!$L$35=3, RANK(G55,G$8:G$82,1)+COUNTIF($G$8:G55,G55)-1, IF('AAA Summary'!$L$35=2, RANK(F55,F$8:F$82,1)+COUNTIF($F$8:F55,F55)-1, IF('AAA Summary'!$L$35=1, RANK(E55,E$8:E$82,1)+COUNTIF($E$8:E55,E55)-1))))</f>
        <v>32</v>
      </c>
      <c r="V55" s="40">
        <f>IF('AAA Summary'!$L$35=4, H55, IF('AAA Summary'!$L$35=3, G55, IF('AAA Summary'!$L$35=2, F55, IF('AAA Summary'!$L$35=1, E55))))</f>
        <v>0.93</v>
      </c>
      <c r="W55" s="16">
        <f t="shared" si="7"/>
        <v>9.6999999999999957</v>
      </c>
      <c r="X55" s="16">
        <f t="shared" si="8"/>
        <v>11.300000000000008</v>
      </c>
      <c r="Y55" s="16">
        <v>80</v>
      </c>
      <c r="Z55" s="16">
        <v>87</v>
      </c>
      <c r="AA55" s="16">
        <v>49</v>
      </c>
      <c r="AB55" s="16">
        <v>133</v>
      </c>
      <c r="AC55" s="16">
        <f t="shared" si="10"/>
        <v>38</v>
      </c>
      <c r="AD55" s="16">
        <f t="shared" si="9"/>
        <v>46</v>
      </c>
      <c r="AE55" s="16">
        <v>56</v>
      </c>
      <c r="AF55">
        <v>60</v>
      </c>
      <c r="AG55" s="53" t="b">
        <f>IF('AAA Summary'!$L$4=2, J55, IF('AAA Summary'!$L$4=1, Z55))</f>
        <v>0</v>
      </c>
      <c r="AH55" s="53" t="b">
        <f>IF('AAA Summary'!$L$4=2, W55, IF('AAA Summary'!$L$4=1, AC55))</f>
        <v>0</v>
      </c>
      <c r="AI55" s="53" t="b">
        <f>IF('AAA Summary'!$L$4=2, X55, IF('AAA Summary'!$L$4=1, AD55))</f>
        <v>0</v>
      </c>
      <c r="AJ55" s="53" t="b">
        <f>IF('AAA Summary'!$L$4=2, Y55, IF('AAA Summary'!$L$4=1, AE55))</f>
        <v>0</v>
      </c>
      <c r="AK55" s="13">
        <v>0.29099999999999998</v>
      </c>
    </row>
    <row r="56" spans="1:37" x14ac:dyDescent="0.25">
      <c r="A56" t="s">
        <v>125</v>
      </c>
      <c r="B56" t="s">
        <v>126</v>
      </c>
      <c r="C56" s="57">
        <v>53</v>
      </c>
      <c r="D56" s="57">
        <v>42</v>
      </c>
      <c r="E56" s="58">
        <v>0.98</v>
      </c>
      <c r="F56" s="58">
        <v>1</v>
      </c>
      <c r="G56" s="58">
        <v>0.98</v>
      </c>
      <c r="H56" s="58">
        <v>1</v>
      </c>
      <c r="I56" s="32" t="s">
        <v>525</v>
      </c>
      <c r="J56">
        <v>38.5</v>
      </c>
      <c r="K56">
        <v>25.3</v>
      </c>
      <c r="L56">
        <v>53</v>
      </c>
      <c r="M56" s="32" t="s">
        <v>338</v>
      </c>
      <c r="N56" s="32" t="s">
        <v>214</v>
      </c>
      <c r="O56" s="59">
        <v>1.2E-2</v>
      </c>
      <c r="P56" s="32" t="str">
        <f t="shared" si="6"/>
        <v>RW6</v>
      </c>
      <c r="Q56" s="31">
        <f t="shared" si="11"/>
        <v>4</v>
      </c>
      <c r="R56" s="31">
        <f t="shared" si="12"/>
        <v>4</v>
      </c>
      <c r="S56" s="31">
        <f t="shared" si="13"/>
        <v>3</v>
      </c>
      <c r="T56" s="31">
        <f t="shared" si="4"/>
        <v>4</v>
      </c>
      <c r="U56" s="53">
        <f>IF('AAA Summary'!$L$35=4, RANK(H56,H$8:H$82,1)+COUNTIF($H$8:H56,H56)-1, IF('AAA Summary'!$L$35=3, RANK(G56,G$8:G$82,1)+COUNTIF($G$8:G56,G56)-1, IF('AAA Summary'!$L$35=2, RANK(F56,F$8:F$82,1)+COUNTIF($F$8:F56,F56)-1, IF('AAA Summary'!$L$35=1, RANK(E56,E$8:E$82,1)+COUNTIF($E$8:E56,E56)-1))))</f>
        <v>58</v>
      </c>
      <c r="V56" s="40">
        <f>IF('AAA Summary'!$L$35=4, H56, IF('AAA Summary'!$L$35=3, G56, IF('AAA Summary'!$L$35=2, F56, IF('AAA Summary'!$L$35=1, E56))))</f>
        <v>0.98</v>
      </c>
      <c r="W56" s="16">
        <f t="shared" si="7"/>
        <v>13.2</v>
      </c>
      <c r="X56" s="16">
        <f t="shared" si="8"/>
        <v>14.5</v>
      </c>
      <c r="Y56" s="16">
        <v>80</v>
      </c>
      <c r="Z56" s="16">
        <v>75</v>
      </c>
      <c r="AA56" s="16">
        <v>42</v>
      </c>
      <c r="AB56" s="16">
        <v>126</v>
      </c>
      <c r="AC56" s="16">
        <f t="shared" si="10"/>
        <v>33</v>
      </c>
      <c r="AD56" s="16">
        <f t="shared" si="9"/>
        <v>51</v>
      </c>
      <c r="AE56" s="16">
        <v>56</v>
      </c>
      <c r="AF56">
        <v>46</v>
      </c>
      <c r="AG56" s="53" t="b">
        <f>IF('AAA Summary'!$L$4=2, J56, IF('AAA Summary'!$L$4=1, Z56))</f>
        <v>0</v>
      </c>
      <c r="AH56" s="53" t="b">
        <f>IF('AAA Summary'!$L$4=2, W56, IF('AAA Summary'!$L$4=1, AC56))</f>
        <v>0</v>
      </c>
      <c r="AI56" s="53" t="b">
        <f>IF('AAA Summary'!$L$4=2, X56, IF('AAA Summary'!$L$4=1, AD56))</f>
        <v>0</v>
      </c>
      <c r="AJ56" s="53" t="b">
        <f>IF('AAA Summary'!$L$4=2, Y56, IF('AAA Summary'!$L$4=1, AE56))</f>
        <v>0</v>
      </c>
      <c r="AK56" s="13">
        <v>0.38500000000000001</v>
      </c>
    </row>
    <row r="57" spans="1:37" x14ac:dyDescent="0.25">
      <c r="A57" t="s">
        <v>98</v>
      </c>
      <c r="B57" t="s">
        <v>99</v>
      </c>
      <c r="C57" s="57">
        <v>16</v>
      </c>
      <c r="D57" s="57">
        <v>11</v>
      </c>
      <c r="E57" s="58">
        <v>0.94</v>
      </c>
      <c r="F57" s="58">
        <v>1</v>
      </c>
      <c r="G57" s="58">
        <v>1</v>
      </c>
      <c r="H57" s="58">
        <v>0.81</v>
      </c>
      <c r="I57" s="32" t="s">
        <v>526</v>
      </c>
      <c r="J57">
        <v>33.300000000000004</v>
      </c>
      <c r="K57">
        <v>11.799999999999999</v>
      </c>
      <c r="L57">
        <v>61.6</v>
      </c>
      <c r="M57" s="32" t="s">
        <v>391</v>
      </c>
      <c r="N57" s="32" t="s">
        <v>263</v>
      </c>
      <c r="O57" s="59">
        <v>1.7000000000000001E-2</v>
      </c>
      <c r="P57" s="32" t="str">
        <f t="shared" si="6"/>
        <v>RQW</v>
      </c>
      <c r="Q57" s="31">
        <f t="shared" si="11"/>
        <v>3</v>
      </c>
      <c r="R57" s="31">
        <f t="shared" si="12"/>
        <v>4</v>
      </c>
      <c r="S57" s="31">
        <f t="shared" si="13"/>
        <v>4</v>
      </c>
      <c r="T57" s="31">
        <f t="shared" si="4"/>
        <v>2</v>
      </c>
      <c r="U57" s="53">
        <f>IF('AAA Summary'!$L$35=4, RANK(H57,H$8:H$82,1)+COUNTIF($H$8:H57,H57)-1, IF('AAA Summary'!$L$35=3, RANK(G57,G$8:G$82,1)+COUNTIF($G$8:G57,G57)-1, IF('AAA Summary'!$L$35=2, RANK(F57,F$8:F$82,1)+COUNTIF($F$8:F57,F57)-1, IF('AAA Summary'!$L$35=1, RANK(E57,E$8:E$82,1)+COUNTIF($E$8:E57,E57)-1))))</f>
        <v>37</v>
      </c>
      <c r="V57" s="40">
        <f>IF('AAA Summary'!$L$35=4, H57, IF('AAA Summary'!$L$35=3, G57, IF('AAA Summary'!$L$35=2, F57, IF('AAA Summary'!$L$35=1, E57))))</f>
        <v>0.94</v>
      </c>
      <c r="W57" s="16">
        <f t="shared" si="7"/>
        <v>21.500000000000007</v>
      </c>
      <c r="X57" s="16">
        <f t="shared" si="8"/>
        <v>28.299999999999997</v>
      </c>
      <c r="Y57" s="16">
        <v>80</v>
      </c>
      <c r="Z57" s="16">
        <v>91</v>
      </c>
      <c r="AA57" s="16">
        <v>51</v>
      </c>
      <c r="AB57" s="16">
        <v>121</v>
      </c>
      <c r="AC57" s="16">
        <f t="shared" si="10"/>
        <v>40</v>
      </c>
      <c r="AD57" s="16">
        <f t="shared" si="9"/>
        <v>30</v>
      </c>
      <c r="AE57" s="16">
        <v>56</v>
      </c>
      <c r="AF57">
        <v>64</v>
      </c>
      <c r="AG57" s="53" t="b">
        <f>IF('AAA Summary'!$L$4=2, J57, IF('AAA Summary'!$L$4=1, Z57))</f>
        <v>0</v>
      </c>
      <c r="AH57" s="53" t="b">
        <f>IF('AAA Summary'!$L$4=2, W57, IF('AAA Summary'!$L$4=1, AC57))</f>
        <v>0</v>
      </c>
      <c r="AI57" s="53" t="b">
        <f>IF('AAA Summary'!$L$4=2, X57, IF('AAA Summary'!$L$4=1, AD57))</f>
        <v>0</v>
      </c>
      <c r="AJ57" s="53" t="b">
        <f>IF('AAA Summary'!$L$4=2, Y57, IF('AAA Summary'!$L$4=1, AE57))</f>
        <v>0</v>
      </c>
      <c r="AK57" s="13">
        <v>0.33300000000000002</v>
      </c>
    </row>
    <row r="58" spans="1:37" x14ac:dyDescent="0.25">
      <c r="A58" t="s">
        <v>40</v>
      </c>
      <c r="B58" t="s">
        <v>41</v>
      </c>
      <c r="C58" s="57">
        <v>59</v>
      </c>
      <c r="D58" s="57">
        <v>29</v>
      </c>
      <c r="E58" s="58">
        <v>0.95</v>
      </c>
      <c r="F58" s="58">
        <v>0.98</v>
      </c>
      <c r="G58" s="58">
        <v>0.95</v>
      </c>
      <c r="H58" s="58">
        <v>0.95</v>
      </c>
      <c r="I58" s="32" t="s">
        <v>527</v>
      </c>
      <c r="J58">
        <v>26.8</v>
      </c>
      <c r="K58">
        <v>15.8</v>
      </c>
      <c r="L58">
        <v>40.300000000000004</v>
      </c>
      <c r="M58" s="32" t="s">
        <v>312</v>
      </c>
      <c r="N58" s="32" t="s">
        <v>286</v>
      </c>
      <c r="O58" s="59">
        <v>2.7999999999999997E-2</v>
      </c>
      <c r="P58" s="32" t="str">
        <f t="shared" si="6"/>
        <v>RDZ</v>
      </c>
      <c r="Q58" s="31">
        <f t="shared" si="11"/>
        <v>3</v>
      </c>
      <c r="R58" s="31">
        <f t="shared" si="12"/>
        <v>2</v>
      </c>
      <c r="S58" s="31">
        <f t="shared" si="13"/>
        <v>3</v>
      </c>
      <c r="T58" s="31">
        <f t="shared" si="4"/>
        <v>3</v>
      </c>
      <c r="U58" s="53">
        <f>IF('AAA Summary'!$L$35=4, RANK(H58,H$8:H$82,1)+COUNTIF($H$8:H58,H58)-1, IF('AAA Summary'!$L$35=3, RANK(G58,G$8:G$82,1)+COUNTIF($G$8:G58,G58)-1, IF('AAA Summary'!$L$35=2, RANK(F58,F$8:F$82,1)+COUNTIF($F$8:F58,F58)-1, IF('AAA Summary'!$L$35=1, RANK(E58,E$8:E$82,1)+COUNTIF($E$8:E58,E58)-1))))</f>
        <v>42</v>
      </c>
      <c r="V58" s="40">
        <f>IF('AAA Summary'!$L$35=4, H58, IF('AAA Summary'!$L$35=3, G58, IF('AAA Summary'!$L$35=2, F58, IF('AAA Summary'!$L$35=1, E58))))</f>
        <v>0.95</v>
      </c>
      <c r="W58" s="16">
        <f t="shared" si="7"/>
        <v>11</v>
      </c>
      <c r="X58" s="16">
        <f t="shared" si="8"/>
        <v>13.500000000000004</v>
      </c>
      <c r="Y58" s="16">
        <v>80</v>
      </c>
      <c r="Z58" s="16">
        <v>80</v>
      </c>
      <c r="AA58" s="16">
        <v>52</v>
      </c>
      <c r="AB58" s="16">
        <v>113</v>
      </c>
      <c r="AC58" s="16">
        <f t="shared" si="10"/>
        <v>28</v>
      </c>
      <c r="AD58" s="16">
        <f t="shared" si="9"/>
        <v>33</v>
      </c>
      <c r="AE58" s="16">
        <v>56</v>
      </c>
      <c r="AF58">
        <v>55</v>
      </c>
      <c r="AG58" s="53" t="b">
        <f>IF('AAA Summary'!$L$4=2, J58, IF('AAA Summary'!$L$4=1, Z58))</f>
        <v>0</v>
      </c>
      <c r="AH58" s="53" t="b">
        <f>IF('AAA Summary'!$L$4=2, W58, IF('AAA Summary'!$L$4=1, AC58))</f>
        <v>0</v>
      </c>
      <c r="AI58" s="53" t="b">
        <f>IF('AAA Summary'!$L$4=2, X58, IF('AAA Summary'!$L$4=1, AD58))</f>
        <v>0</v>
      </c>
      <c r="AJ58" s="53" t="b">
        <f>IF('AAA Summary'!$L$4=2, Y58, IF('AAA Summary'!$L$4=1, AE58))</f>
        <v>0</v>
      </c>
      <c r="AK58" s="13">
        <v>0.26800000000000002</v>
      </c>
    </row>
    <row r="59" spans="1:37" x14ac:dyDescent="0.25">
      <c r="A59" t="s">
        <v>108</v>
      </c>
      <c r="B59" t="s">
        <v>109</v>
      </c>
      <c r="C59" s="57">
        <v>9</v>
      </c>
      <c r="D59" s="57">
        <v>4</v>
      </c>
      <c r="E59" s="58">
        <v>0.89</v>
      </c>
      <c r="F59" s="58">
        <v>1</v>
      </c>
      <c r="G59" s="58">
        <v>0.75</v>
      </c>
      <c r="H59" s="58">
        <v>1</v>
      </c>
      <c r="I59" s="32" t="s">
        <v>528</v>
      </c>
      <c r="J59" t="e">
        <v>#VALUE!</v>
      </c>
      <c r="K59" t="e">
        <v>#N/A</v>
      </c>
      <c r="L59" t="e">
        <v>#N/A</v>
      </c>
      <c r="M59" s="32" t="s">
        <v>324</v>
      </c>
      <c r="N59" s="32" t="s">
        <v>335</v>
      </c>
      <c r="O59" s="59">
        <v>0</v>
      </c>
      <c r="P59" s="32" t="str">
        <f t="shared" si="6"/>
        <v>RT3</v>
      </c>
      <c r="Q59" s="31">
        <f t="shared" si="11"/>
        <v>2</v>
      </c>
      <c r="R59" s="31">
        <f t="shared" si="12"/>
        <v>4</v>
      </c>
      <c r="S59" s="31">
        <f t="shared" si="13"/>
        <v>1</v>
      </c>
      <c r="T59" s="31">
        <f t="shared" si="4"/>
        <v>4</v>
      </c>
      <c r="U59" s="53">
        <f>IF('AAA Summary'!$L$35=4, RANK(H59,H$8:H$82,1)+COUNTIF($H$8:H59,H59)-1, IF('AAA Summary'!$L$35=3, RANK(G59,G$8:G$82,1)+COUNTIF($G$8:G59,G59)-1, IF('AAA Summary'!$L$35=2, RANK(F59,F$8:F$82,1)+COUNTIF($F$8:F59,F59)-1, IF('AAA Summary'!$L$35=1, RANK(E59,E$8:E$82,1)+COUNTIF($E$8:E59,E59)-1))))</f>
        <v>24</v>
      </c>
      <c r="V59" s="40">
        <f>IF('AAA Summary'!$L$35=4, H59, IF('AAA Summary'!$L$35=3, G59, IF('AAA Summary'!$L$35=2, F59, IF('AAA Summary'!$L$35=1, E59))))</f>
        <v>0.89</v>
      </c>
      <c r="W59" s="16" t="e">
        <f t="shared" si="7"/>
        <v>#VALUE!</v>
      </c>
      <c r="X59" s="16" t="e">
        <f t="shared" si="8"/>
        <v>#N/A</v>
      </c>
      <c r="Y59" s="16">
        <v>80</v>
      </c>
      <c r="Z59" s="16">
        <v>75</v>
      </c>
      <c r="AA59" s="16">
        <v>39</v>
      </c>
      <c r="AB59" s="16">
        <v>228</v>
      </c>
      <c r="AC59" s="16">
        <f t="shared" si="10"/>
        <v>36</v>
      </c>
      <c r="AD59" s="16">
        <f t="shared" si="9"/>
        <v>153</v>
      </c>
      <c r="AE59" s="16">
        <v>56</v>
      </c>
      <c r="AF59">
        <v>45</v>
      </c>
      <c r="AG59" s="53" t="b">
        <f>IF('AAA Summary'!$L$4=2, J59, IF('AAA Summary'!$L$4=1, Z59))</f>
        <v>0</v>
      </c>
      <c r="AH59" s="53" t="b">
        <f>IF('AAA Summary'!$L$4=2, W59, IF('AAA Summary'!$L$4=1, AC59))</f>
        <v>0</v>
      </c>
      <c r="AI59" s="53" t="b">
        <f>IF('AAA Summary'!$L$4=2, X59, IF('AAA Summary'!$L$4=1, AD59))</f>
        <v>0</v>
      </c>
      <c r="AJ59" s="53" t="b">
        <f>IF('AAA Summary'!$L$4=2, Y59, IF('AAA Summary'!$L$4=1, AE59))</f>
        <v>0</v>
      </c>
      <c r="AK59" s="13" t="s">
        <v>346</v>
      </c>
    </row>
    <row r="60" spans="1:37" x14ac:dyDescent="0.25">
      <c r="A60" t="s">
        <v>42</v>
      </c>
      <c r="B60" t="s">
        <v>43</v>
      </c>
      <c r="C60" s="57">
        <v>21</v>
      </c>
      <c r="D60" s="57">
        <v>11</v>
      </c>
      <c r="E60" s="58">
        <v>1</v>
      </c>
      <c r="F60" s="58">
        <v>1</v>
      </c>
      <c r="G60" s="58">
        <v>1</v>
      </c>
      <c r="H60" s="58">
        <v>0.95</v>
      </c>
      <c r="I60" s="32" t="s">
        <v>529</v>
      </c>
      <c r="J60">
        <v>61.9</v>
      </c>
      <c r="K60">
        <v>38.4</v>
      </c>
      <c r="L60">
        <v>81.899999999999991</v>
      </c>
      <c r="M60" s="32" t="s">
        <v>530</v>
      </c>
      <c r="N60" s="32" t="s">
        <v>284</v>
      </c>
      <c r="O60" s="59">
        <v>1.2E-2</v>
      </c>
      <c r="P60" s="32" t="str">
        <f t="shared" si="6"/>
        <v>REF</v>
      </c>
      <c r="Q60" s="31">
        <f t="shared" si="11"/>
        <v>4</v>
      </c>
      <c r="R60" s="31">
        <f t="shared" si="12"/>
        <v>4</v>
      </c>
      <c r="S60" s="31">
        <f t="shared" si="13"/>
        <v>4</v>
      </c>
      <c r="T60" s="31">
        <f t="shared" si="4"/>
        <v>3</v>
      </c>
      <c r="U60" s="53">
        <f>IF('AAA Summary'!$L$35=4, RANK(H60,H$8:H$82,1)+COUNTIF($H$8:H60,H60)-1, IF('AAA Summary'!$L$35=3, RANK(G60,G$8:G$82,1)+COUNTIF($G$8:G60,G60)-1, IF('AAA Summary'!$L$35=2, RANK(F60,F$8:F$82,1)+COUNTIF($F$8:F60,F60)-1, IF('AAA Summary'!$L$35=1, RANK(E60,E$8:E$82,1)+COUNTIF($E$8:E60,E60)-1))))</f>
        <v>69</v>
      </c>
      <c r="V60" s="40">
        <f>IF('AAA Summary'!$L$35=4, H60, IF('AAA Summary'!$L$35=3, G60, IF('AAA Summary'!$L$35=2, F60, IF('AAA Summary'!$L$35=1, E60))))</f>
        <v>1</v>
      </c>
      <c r="W60" s="16">
        <f t="shared" si="7"/>
        <v>23.5</v>
      </c>
      <c r="X60" s="16">
        <f t="shared" si="8"/>
        <v>19.999999999999993</v>
      </c>
      <c r="Y60" s="16">
        <v>80</v>
      </c>
      <c r="Z60" s="16">
        <v>46</v>
      </c>
      <c r="AA60" s="16">
        <v>27</v>
      </c>
      <c r="AB60" s="16">
        <v>100</v>
      </c>
      <c r="AC60" s="16">
        <f t="shared" si="10"/>
        <v>19</v>
      </c>
      <c r="AD60" s="16">
        <f t="shared" si="9"/>
        <v>54</v>
      </c>
      <c r="AE60" s="16">
        <v>56</v>
      </c>
      <c r="AF60">
        <v>9</v>
      </c>
      <c r="AG60" s="53" t="b">
        <f>IF('AAA Summary'!$L$4=2, J60, IF('AAA Summary'!$L$4=1, Z60))</f>
        <v>0</v>
      </c>
      <c r="AH60" s="53" t="b">
        <f>IF('AAA Summary'!$L$4=2, W60, IF('AAA Summary'!$L$4=1, AC60))</f>
        <v>0</v>
      </c>
      <c r="AI60" s="53" t="b">
        <f>IF('AAA Summary'!$L$4=2, X60, IF('AAA Summary'!$L$4=1, AD60))</f>
        <v>0</v>
      </c>
      <c r="AJ60" s="53" t="b">
        <f>IF('AAA Summary'!$L$4=2, Y60, IF('AAA Summary'!$L$4=1, AE60))</f>
        <v>0</v>
      </c>
      <c r="AK60" s="13">
        <v>0.61899999999999999</v>
      </c>
    </row>
    <row r="61" spans="1:37" x14ac:dyDescent="0.25">
      <c r="A61" t="s">
        <v>53</v>
      </c>
      <c r="B61" t="s">
        <v>54</v>
      </c>
      <c r="C61" s="57">
        <v>32</v>
      </c>
      <c r="D61" s="57">
        <v>11</v>
      </c>
      <c r="E61" s="58">
        <v>1</v>
      </c>
      <c r="F61" s="58">
        <v>1</v>
      </c>
      <c r="G61" s="58">
        <v>1</v>
      </c>
      <c r="H61" s="58">
        <v>0.97</v>
      </c>
      <c r="I61" s="32" t="s">
        <v>531</v>
      </c>
      <c r="J61">
        <v>37.5</v>
      </c>
      <c r="K61">
        <v>21.099999999999998</v>
      </c>
      <c r="L61">
        <v>56.3</v>
      </c>
      <c r="M61" s="32" t="s">
        <v>532</v>
      </c>
      <c r="N61" s="32" t="s">
        <v>286</v>
      </c>
      <c r="O61" s="59">
        <v>1.3999999999999999E-2</v>
      </c>
      <c r="P61" s="32" t="str">
        <f t="shared" si="6"/>
        <v>RH8</v>
      </c>
      <c r="Q61" s="31">
        <f t="shared" si="11"/>
        <v>4</v>
      </c>
      <c r="R61" s="31">
        <f t="shared" si="12"/>
        <v>4</v>
      </c>
      <c r="S61" s="31">
        <f t="shared" si="13"/>
        <v>4</v>
      </c>
      <c r="T61" s="31">
        <f t="shared" si="4"/>
        <v>4</v>
      </c>
      <c r="U61" s="53">
        <f>IF('AAA Summary'!$L$35=4, RANK(H61,H$8:H$82,1)+COUNTIF($H$8:H61,H61)-1, IF('AAA Summary'!$L$35=3, RANK(G61,G$8:G$82,1)+COUNTIF($G$8:G61,G61)-1, IF('AAA Summary'!$L$35=2, RANK(F61,F$8:F$82,1)+COUNTIF($F$8:F61,F61)-1, IF('AAA Summary'!$L$35=1, RANK(E61,E$8:E$82,1)+COUNTIF($E$8:E61,E61)-1))))</f>
        <v>70</v>
      </c>
      <c r="V61" s="40">
        <f>IF('AAA Summary'!$L$35=4, H61, IF('AAA Summary'!$L$35=3, G61, IF('AAA Summary'!$L$35=2, F61, IF('AAA Summary'!$L$35=1, E61))))</f>
        <v>1</v>
      </c>
      <c r="W61" s="16">
        <f t="shared" si="7"/>
        <v>16.400000000000002</v>
      </c>
      <c r="X61" s="16">
        <f t="shared" si="8"/>
        <v>18.799999999999997</v>
      </c>
      <c r="Y61" s="16">
        <v>80</v>
      </c>
      <c r="Z61" s="16">
        <v>75</v>
      </c>
      <c r="AA61" s="16">
        <v>47</v>
      </c>
      <c r="AB61" s="16">
        <v>142</v>
      </c>
      <c r="AC61" s="16">
        <f t="shared" si="10"/>
        <v>28</v>
      </c>
      <c r="AD61" s="16">
        <f t="shared" si="9"/>
        <v>67</v>
      </c>
      <c r="AE61" s="16">
        <v>56</v>
      </c>
      <c r="AF61">
        <v>47</v>
      </c>
      <c r="AG61" s="53" t="b">
        <f>IF('AAA Summary'!$L$4=2, J61, IF('AAA Summary'!$L$4=1, Z61))</f>
        <v>0</v>
      </c>
      <c r="AH61" s="53" t="b">
        <f>IF('AAA Summary'!$L$4=2, W61, IF('AAA Summary'!$L$4=1, AC61))</f>
        <v>0</v>
      </c>
      <c r="AI61" s="53" t="b">
        <f>IF('AAA Summary'!$L$4=2, X61, IF('AAA Summary'!$L$4=1, AD61))</f>
        <v>0</v>
      </c>
      <c r="AJ61" s="53" t="b">
        <f>IF('AAA Summary'!$L$4=2, Y61, IF('AAA Summary'!$L$4=1, AE61))</f>
        <v>0</v>
      </c>
      <c r="AK61" s="13">
        <v>0.375</v>
      </c>
    </row>
    <row r="62" spans="1:37" x14ac:dyDescent="0.25">
      <c r="A62" t="s">
        <v>21</v>
      </c>
      <c r="B62" t="s">
        <v>22</v>
      </c>
      <c r="C62" s="57">
        <v>37</v>
      </c>
      <c r="D62" s="57">
        <v>27</v>
      </c>
      <c r="E62" s="58">
        <v>0.78</v>
      </c>
      <c r="F62" s="58">
        <v>0.97</v>
      </c>
      <c r="G62" s="58">
        <v>0.8</v>
      </c>
      <c r="H62" s="58">
        <v>0.78</v>
      </c>
      <c r="I62" s="32" t="s">
        <v>533</v>
      </c>
      <c r="J62">
        <v>20.7</v>
      </c>
      <c r="K62">
        <v>8</v>
      </c>
      <c r="L62">
        <v>39.700000000000003</v>
      </c>
      <c r="M62" s="32" t="s">
        <v>534</v>
      </c>
      <c r="N62" s="32" t="s">
        <v>286</v>
      </c>
      <c r="O62" s="59">
        <v>0</v>
      </c>
      <c r="P62" s="32" t="str">
        <f t="shared" si="6"/>
        <v>RAL</v>
      </c>
      <c r="Q62" s="31">
        <f t="shared" si="11"/>
        <v>1</v>
      </c>
      <c r="R62" s="31">
        <f t="shared" si="12"/>
        <v>2</v>
      </c>
      <c r="S62" s="31">
        <f t="shared" si="13"/>
        <v>1</v>
      </c>
      <c r="T62" s="31">
        <f t="shared" si="4"/>
        <v>1</v>
      </c>
      <c r="U62" s="53">
        <f>IF('AAA Summary'!$L$35=4, RANK(H62,H$8:H$82,1)+COUNTIF($H$8:H62,H62)-1, IF('AAA Summary'!$L$35=3, RANK(G62,G$8:G$82,1)+COUNTIF($G$8:G62,G62)-1, IF('AAA Summary'!$L$35=2, RANK(F62,F$8:F$82,1)+COUNTIF($F$8:F62,F62)-1, IF('AAA Summary'!$L$35=1, RANK(E62,E$8:E$82,1)+COUNTIF($E$8:E62,E62)-1))))</f>
        <v>11</v>
      </c>
      <c r="V62" s="40">
        <f>IF('AAA Summary'!$L$35=4, H62, IF('AAA Summary'!$L$35=3, G62, IF('AAA Summary'!$L$35=2, F62, IF('AAA Summary'!$L$35=1, E62))))</f>
        <v>0.78</v>
      </c>
      <c r="W62" s="16">
        <f t="shared" si="7"/>
        <v>12.7</v>
      </c>
      <c r="X62" s="16">
        <f t="shared" si="8"/>
        <v>19.000000000000004</v>
      </c>
      <c r="Y62" s="16">
        <v>80</v>
      </c>
      <c r="Z62" s="16">
        <v>88</v>
      </c>
      <c r="AA62" s="16">
        <v>66</v>
      </c>
      <c r="AB62" s="16">
        <v>136</v>
      </c>
      <c r="AC62" s="16">
        <f t="shared" si="10"/>
        <v>22</v>
      </c>
      <c r="AD62" s="16">
        <f t="shared" si="9"/>
        <v>48</v>
      </c>
      <c r="AE62" s="16">
        <v>56</v>
      </c>
      <c r="AF62">
        <v>61</v>
      </c>
      <c r="AG62" s="53" t="b">
        <f>IF('AAA Summary'!$L$4=2, J62, IF('AAA Summary'!$L$4=1, Z62))</f>
        <v>0</v>
      </c>
      <c r="AH62" s="53" t="b">
        <f>IF('AAA Summary'!$L$4=2, W62, IF('AAA Summary'!$L$4=1, AC62))</f>
        <v>0</v>
      </c>
      <c r="AI62" s="53" t="b">
        <f>IF('AAA Summary'!$L$4=2, X62, IF('AAA Summary'!$L$4=1, AD62))</f>
        <v>0</v>
      </c>
      <c r="AJ62" s="53" t="b">
        <f>IF('AAA Summary'!$L$4=2, Y62, IF('AAA Summary'!$L$4=1, AE62))</f>
        <v>0</v>
      </c>
      <c r="AK62" s="13">
        <v>0.20699999999999999</v>
      </c>
    </row>
    <row r="63" spans="1:37" x14ac:dyDescent="0.25">
      <c r="A63" t="s">
        <v>57</v>
      </c>
      <c r="B63" t="s">
        <v>58</v>
      </c>
      <c r="C63" s="57">
        <v>37</v>
      </c>
      <c r="D63" s="57">
        <v>16</v>
      </c>
      <c r="E63" s="58">
        <v>0.73</v>
      </c>
      <c r="F63" s="58">
        <v>0.95</v>
      </c>
      <c r="G63" s="58">
        <v>0.71</v>
      </c>
      <c r="H63" s="58">
        <v>0.76</v>
      </c>
      <c r="I63" s="32" t="s">
        <v>535</v>
      </c>
      <c r="J63">
        <v>25.900000000000002</v>
      </c>
      <c r="K63">
        <v>11.1</v>
      </c>
      <c r="L63">
        <v>46.300000000000004</v>
      </c>
      <c r="M63" s="32" t="s">
        <v>322</v>
      </c>
      <c r="N63" s="32" t="s">
        <v>284</v>
      </c>
      <c r="O63" s="59">
        <v>2.5000000000000001E-2</v>
      </c>
      <c r="P63" s="32" t="str">
        <f t="shared" si="6"/>
        <v>RHQ</v>
      </c>
      <c r="Q63" s="31">
        <f t="shared" si="11"/>
        <v>1</v>
      </c>
      <c r="R63" s="31">
        <f t="shared" si="12"/>
        <v>1</v>
      </c>
      <c r="S63" s="31">
        <f t="shared" si="13"/>
        <v>1</v>
      </c>
      <c r="T63" s="31">
        <f t="shared" si="4"/>
        <v>1</v>
      </c>
      <c r="U63" s="53">
        <f>IF('AAA Summary'!$L$35=4, RANK(H63,H$8:H$82,1)+COUNTIF($H$8:H63,H63)-1, IF('AAA Summary'!$L$35=3, RANK(G63,G$8:G$82,1)+COUNTIF($G$8:G63,G63)-1, IF('AAA Summary'!$L$35=2, RANK(F63,F$8:F$82,1)+COUNTIF($F$8:F63,F63)-1, IF('AAA Summary'!$L$35=1, RANK(E63,E$8:E$82,1)+COUNTIF($E$8:E63,E63)-1))))</f>
        <v>7</v>
      </c>
      <c r="V63" s="40">
        <f>IF('AAA Summary'!$L$35=4, H63, IF('AAA Summary'!$L$35=3, G63, IF('AAA Summary'!$L$35=2, F63, IF('AAA Summary'!$L$35=1, E63))))</f>
        <v>0.73</v>
      </c>
      <c r="W63" s="16">
        <f t="shared" si="7"/>
        <v>14.800000000000002</v>
      </c>
      <c r="X63" s="16">
        <f t="shared" si="8"/>
        <v>20.400000000000002</v>
      </c>
      <c r="Y63" s="16">
        <v>80</v>
      </c>
      <c r="Z63" s="16">
        <v>80</v>
      </c>
      <c r="AA63" s="16">
        <v>55</v>
      </c>
      <c r="AB63" s="16">
        <v>116</v>
      </c>
      <c r="AC63" s="16">
        <f t="shared" si="10"/>
        <v>25</v>
      </c>
      <c r="AD63" s="16">
        <f t="shared" si="9"/>
        <v>36</v>
      </c>
      <c r="AE63" s="16">
        <v>56</v>
      </c>
      <c r="AF63">
        <v>57</v>
      </c>
      <c r="AG63" s="53" t="b">
        <f>IF('AAA Summary'!$L$4=2, J63, IF('AAA Summary'!$L$4=1, Z63))</f>
        <v>0</v>
      </c>
      <c r="AH63" s="53" t="b">
        <f>IF('AAA Summary'!$L$4=2, W63, IF('AAA Summary'!$L$4=1, AC63))</f>
        <v>0</v>
      </c>
      <c r="AI63" s="53" t="b">
        <f>IF('AAA Summary'!$L$4=2, X63, IF('AAA Summary'!$L$4=1, AD63))</f>
        <v>0</v>
      </c>
      <c r="AJ63" s="53" t="b">
        <f>IF('AAA Summary'!$L$4=2, Y63, IF('AAA Summary'!$L$4=1, AE63))</f>
        <v>0</v>
      </c>
      <c r="AK63" s="13">
        <v>0.25900000000000001</v>
      </c>
    </row>
    <row r="64" spans="1:37" x14ac:dyDescent="0.25">
      <c r="A64" t="s">
        <v>151</v>
      </c>
      <c r="B64" t="s">
        <v>152</v>
      </c>
      <c r="C64" s="57">
        <v>37</v>
      </c>
      <c r="D64" s="57">
        <v>27</v>
      </c>
      <c r="E64" s="58">
        <v>0.92</v>
      </c>
      <c r="F64" s="58">
        <v>0.95</v>
      </c>
      <c r="G64" s="58">
        <v>0.91</v>
      </c>
      <c r="H64" s="58">
        <v>0.84</v>
      </c>
      <c r="I64" s="32" t="s">
        <v>536</v>
      </c>
      <c r="J64">
        <v>61.8</v>
      </c>
      <c r="K64">
        <v>43.6</v>
      </c>
      <c r="L64">
        <v>77.8</v>
      </c>
      <c r="M64" s="32" t="s">
        <v>311</v>
      </c>
      <c r="N64" s="32" t="s">
        <v>304</v>
      </c>
      <c r="O64" s="59">
        <v>0</v>
      </c>
      <c r="P64" s="32" t="str">
        <f t="shared" si="6"/>
        <v>RXW</v>
      </c>
      <c r="Q64" s="31">
        <f t="shared" si="11"/>
        <v>2</v>
      </c>
      <c r="R64" s="31">
        <f t="shared" si="12"/>
        <v>1</v>
      </c>
      <c r="S64" s="31">
        <f t="shared" si="13"/>
        <v>2</v>
      </c>
      <c r="T64" s="31">
        <f t="shared" si="4"/>
        <v>2</v>
      </c>
      <c r="U64" s="53">
        <f>IF('AAA Summary'!$L$35=4, RANK(H64,H$8:H$82,1)+COUNTIF($H$8:H64,H64)-1, IF('AAA Summary'!$L$35=3, RANK(G64,G$8:G$82,1)+COUNTIF($G$8:G64,G64)-1, IF('AAA Summary'!$L$35=2, RANK(F64,F$8:F$82,1)+COUNTIF($F$8:F64,F64)-1, IF('AAA Summary'!$L$35=1, RANK(E64,E$8:E$82,1)+COUNTIF($E$8:E64,E64)-1))))</f>
        <v>30</v>
      </c>
      <c r="V64" s="40">
        <f>IF('AAA Summary'!$L$35=4, H64, IF('AAA Summary'!$L$35=3, G64, IF('AAA Summary'!$L$35=2, F64, IF('AAA Summary'!$L$35=1, E64))))</f>
        <v>0.92</v>
      </c>
      <c r="W64" s="16">
        <f t="shared" si="7"/>
        <v>18.199999999999996</v>
      </c>
      <c r="X64" s="16">
        <f t="shared" si="8"/>
        <v>16</v>
      </c>
      <c r="Y64" s="16">
        <v>80</v>
      </c>
      <c r="Z64" s="16">
        <v>45</v>
      </c>
      <c r="AA64" s="16">
        <v>31</v>
      </c>
      <c r="AB64" s="16">
        <v>73</v>
      </c>
      <c r="AC64" s="16">
        <f t="shared" si="10"/>
        <v>14</v>
      </c>
      <c r="AD64" s="16">
        <f t="shared" si="9"/>
        <v>28</v>
      </c>
      <c r="AE64" s="16">
        <v>56</v>
      </c>
      <c r="AF64">
        <v>8</v>
      </c>
      <c r="AG64" s="53" t="b">
        <f>IF('AAA Summary'!$L$4=2, J64, IF('AAA Summary'!$L$4=1, Z64))</f>
        <v>0</v>
      </c>
      <c r="AH64" s="53" t="b">
        <f>IF('AAA Summary'!$L$4=2, W64, IF('AAA Summary'!$L$4=1, AC64))</f>
        <v>0</v>
      </c>
      <c r="AI64" s="53" t="b">
        <f>IF('AAA Summary'!$L$4=2, X64, IF('AAA Summary'!$L$4=1, AD64))</f>
        <v>0</v>
      </c>
      <c r="AJ64" s="53" t="b">
        <f>IF('AAA Summary'!$L$4=2, Y64, IF('AAA Summary'!$L$4=1, AE64))</f>
        <v>0</v>
      </c>
      <c r="AK64" s="13">
        <v>0.61799999999999999</v>
      </c>
    </row>
    <row r="65" spans="1:37" x14ac:dyDescent="0.25">
      <c r="A65" t="s">
        <v>119</v>
      </c>
      <c r="B65" t="s">
        <v>120</v>
      </c>
      <c r="C65" s="57">
        <v>45</v>
      </c>
      <c r="D65" s="57">
        <v>27</v>
      </c>
      <c r="E65" s="58">
        <v>0.93</v>
      </c>
      <c r="F65" s="58">
        <v>0.91</v>
      </c>
      <c r="G65" s="58">
        <v>0.93</v>
      </c>
      <c r="H65" s="58">
        <v>0.96</v>
      </c>
      <c r="I65" s="32" t="s">
        <v>537</v>
      </c>
      <c r="J65">
        <v>38.1</v>
      </c>
      <c r="K65">
        <v>23.599999999999998</v>
      </c>
      <c r="L65">
        <v>54.400000000000006</v>
      </c>
      <c r="M65" s="32" t="s">
        <v>333</v>
      </c>
      <c r="N65" s="32" t="s">
        <v>284</v>
      </c>
      <c r="O65" s="59">
        <v>0</v>
      </c>
      <c r="P65" s="32" t="str">
        <f t="shared" si="6"/>
        <v>RTR</v>
      </c>
      <c r="Q65" s="31">
        <f t="shared" si="11"/>
        <v>2</v>
      </c>
      <c r="R65" s="31">
        <f t="shared" si="12"/>
        <v>1</v>
      </c>
      <c r="S65" s="31">
        <f t="shared" si="13"/>
        <v>2</v>
      </c>
      <c r="T65" s="31">
        <f t="shared" si="4"/>
        <v>4</v>
      </c>
      <c r="U65" s="53">
        <f>IF('AAA Summary'!$L$35=4, RANK(H65,H$8:H$82,1)+COUNTIF($H$8:H65,H65)-1, IF('AAA Summary'!$L$35=3, RANK(G65,G$8:G$82,1)+COUNTIF($G$8:G65,G65)-1, IF('AAA Summary'!$L$35=2, RANK(F65,F$8:F$82,1)+COUNTIF($F$8:F65,F65)-1, IF('AAA Summary'!$L$35=1, RANK(E65,E$8:E$82,1)+COUNTIF($E$8:E65,E65)-1))))</f>
        <v>33</v>
      </c>
      <c r="V65" s="40">
        <f>IF('AAA Summary'!$L$35=4, H65, IF('AAA Summary'!$L$35=3, G65, IF('AAA Summary'!$L$35=2, F65, IF('AAA Summary'!$L$35=1, E65))))</f>
        <v>0.93</v>
      </c>
      <c r="W65" s="16">
        <f t="shared" si="7"/>
        <v>14.500000000000004</v>
      </c>
      <c r="X65" s="16">
        <f t="shared" si="8"/>
        <v>16.300000000000004</v>
      </c>
      <c r="Y65" s="16">
        <v>80</v>
      </c>
      <c r="Z65" s="16">
        <v>83</v>
      </c>
      <c r="AA65" s="16">
        <v>47</v>
      </c>
      <c r="AB65" s="16">
        <v>127</v>
      </c>
      <c r="AC65" s="16">
        <f t="shared" si="10"/>
        <v>36</v>
      </c>
      <c r="AD65" s="16">
        <f t="shared" si="9"/>
        <v>44</v>
      </c>
      <c r="AE65" s="16">
        <v>56</v>
      </c>
      <c r="AF65">
        <v>58</v>
      </c>
      <c r="AG65" s="53" t="b">
        <f>IF('AAA Summary'!$L$4=2, J65, IF('AAA Summary'!$L$4=1, Z65))</f>
        <v>0</v>
      </c>
      <c r="AH65" s="53" t="b">
        <f>IF('AAA Summary'!$L$4=2, W65, IF('AAA Summary'!$L$4=1, AC65))</f>
        <v>0</v>
      </c>
      <c r="AI65" s="53" t="b">
        <f>IF('AAA Summary'!$L$4=2, X65, IF('AAA Summary'!$L$4=1, AD65))</f>
        <v>0</v>
      </c>
      <c r="AJ65" s="53" t="b">
        <f>IF('AAA Summary'!$L$4=2, Y65, IF('AAA Summary'!$L$4=1, AE65))</f>
        <v>0</v>
      </c>
      <c r="AK65" s="13">
        <v>0.38100000000000001</v>
      </c>
    </row>
    <row r="66" spans="1:37" x14ac:dyDescent="0.25">
      <c r="A66" t="s">
        <v>19</v>
      </c>
      <c r="B66" t="s">
        <v>20</v>
      </c>
      <c r="C66" s="57">
        <v>41</v>
      </c>
      <c r="D66" s="57">
        <v>32</v>
      </c>
      <c r="E66" s="58">
        <v>0.88</v>
      </c>
      <c r="F66" s="58">
        <v>1</v>
      </c>
      <c r="G66" s="58">
        <v>0.89</v>
      </c>
      <c r="H66" s="58">
        <v>0.71</v>
      </c>
      <c r="I66" s="32" t="s">
        <v>538</v>
      </c>
      <c r="J66">
        <v>30.599999999999998</v>
      </c>
      <c r="K66">
        <v>16.3</v>
      </c>
      <c r="L66">
        <v>48.1</v>
      </c>
      <c r="M66" s="32" t="s">
        <v>539</v>
      </c>
      <c r="N66" s="32" t="s">
        <v>284</v>
      </c>
      <c r="O66" s="59">
        <v>2.2000000000000002E-2</v>
      </c>
      <c r="P66" s="32" t="str">
        <f t="shared" si="6"/>
        <v>RAJ</v>
      </c>
      <c r="Q66" s="31">
        <f t="shared" si="11"/>
        <v>2</v>
      </c>
      <c r="R66" s="31">
        <f t="shared" si="12"/>
        <v>4</v>
      </c>
      <c r="S66" s="31">
        <f t="shared" si="13"/>
        <v>2</v>
      </c>
      <c r="T66" s="31">
        <f t="shared" si="4"/>
        <v>1</v>
      </c>
      <c r="U66" s="53">
        <f>IF('AAA Summary'!$L$35=4, RANK(H66,H$8:H$82,1)+COUNTIF($H$8:H66,H66)-1, IF('AAA Summary'!$L$35=3, RANK(G66,G$8:G$82,1)+COUNTIF($G$8:G66,G66)-1, IF('AAA Summary'!$L$35=2, RANK(F66,F$8:F$82,1)+COUNTIF($F$8:F66,F66)-1, IF('AAA Summary'!$L$35=1, RANK(E66,E$8:E$82,1)+COUNTIF($E$8:E66,E66)-1))))</f>
        <v>20</v>
      </c>
      <c r="V66" s="40">
        <f>IF('AAA Summary'!$L$35=4, H66, IF('AAA Summary'!$L$35=3, G66, IF('AAA Summary'!$L$35=2, F66, IF('AAA Summary'!$L$35=1, E66))))</f>
        <v>0.88</v>
      </c>
      <c r="W66" s="16">
        <f t="shared" si="7"/>
        <v>14.299999999999997</v>
      </c>
      <c r="X66" s="16">
        <f t="shared" si="8"/>
        <v>17.500000000000004</v>
      </c>
      <c r="Y66" s="16">
        <v>80</v>
      </c>
      <c r="Z66" s="16">
        <v>80</v>
      </c>
      <c r="AA66" s="16">
        <v>52</v>
      </c>
      <c r="AB66" s="16">
        <v>130</v>
      </c>
      <c r="AC66" s="16">
        <f t="shared" si="10"/>
        <v>28</v>
      </c>
      <c r="AD66" s="16">
        <f t="shared" si="9"/>
        <v>50</v>
      </c>
      <c r="AE66" s="16">
        <v>56</v>
      </c>
      <c r="AF66">
        <v>56</v>
      </c>
      <c r="AG66" s="53" t="b">
        <f>IF('AAA Summary'!$L$4=2, J66, IF('AAA Summary'!$L$4=1, Z66))</f>
        <v>0</v>
      </c>
      <c r="AH66" s="53" t="b">
        <f>IF('AAA Summary'!$L$4=2, W66, IF('AAA Summary'!$L$4=1, AC66))</f>
        <v>0</v>
      </c>
      <c r="AI66" s="53" t="b">
        <f>IF('AAA Summary'!$L$4=2, X66, IF('AAA Summary'!$L$4=1, AD66))</f>
        <v>0</v>
      </c>
      <c r="AJ66" s="53" t="b">
        <f>IF('AAA Summary'!$L$4=2, Y66, IF('AAA Summary'!$L$4=1, AE66))</f>
        <v>0</v>
      </c>
      <c r="AK66" s="13">
        <v>0.30599999999999999</v>
      </c>
    </row>
    <row r="67" spans="1:37" x14ac:dyDescent="0.25">
      <c r="A67" t="s">
        <v>65</v>
      </c>
      <c r="B67" t="s">
        <v>66</v>
      </c>
      <c r="C67" s="57">
        <v>61</v>
      </c>
      <c r="D67" s="57">
        <v>56</v>
      </c>
      <c r="E67" s="58">
        <v>0.84</v>
      </c>
      <c r="F67" s="58">
        <v>0.98</v>
      </c>
      <c r="G67" s="58">
        <v>0.82</v>
      </c>
      <c r="H67" s="58">
        <v>0.87</v>
      </c>
      <c r="I67" s="32" t="s">
        <v>540</v>
      </c>
      <c r="J67">
        <v>45.1</v>
      </c>
      <c r="K67">
        <v>31.1</v>
      </c>
      <c r="L67">
        <v>59.699999999999996</v>
      </c>
      <c r="M67" s="32" t="s">
        <v>541</v>
      </c>
      <c r="N67" s="32" t="s">
        <v>284</v>
      </c>
      <c r="O67" s="59">
        <v>0</v>
      </c>
      <c r="P67" s="32" t="str">
        <f t="shared" si="6"/>
        <v>RJ7</v>
      </c>
      <c r="Q67" s="31">
        <f t="shared" si="11"/>
        <v>1</v>
      </c>
      <c r="R67" s="31">
        <f t="shared" si="12"/>
        <v>2</v>
      </c>
      <c r="S67" s="31">
        <f t="shared" si="13"/>
        <v>1</v>
      </c>
      <c r="T67" s="31">
        <f t="shared" si="4"/>
        <v>2</v>
      </c>
      <c r="U67" s="53">
        <f>IF('AAA Summary'!$L$35=4, RANK(H67,H$8:H$82,1)+COUNTIF($H$8:H67,H67)-1, IF('AAA Summary'!$L$35=3, RANK(G67,G$8:G$82,1)+COUNTIF($G$8:G67,G67)-1, IF('AAA Summary'!$L$35=2, RANK(F67,F$8:F$82,1)+COUNTIF($F$8:F67,F67)-1, IF('AAA Summary'!$L$35=1, RANK(E67,E$8:E$82,1)+COUNTIF($E$8:E67,E67)-1))))</f>
        <v>13</v>
      </c>
      <c r="V67" s="40">
        <f>IF('AAA Summary'!$L$35=4, H67, IF('AAA Summary'!$L$35=3, G67, IF('AAA Summary'!$L$35=2, F67, IF('AAA Summary'!$L$35=1, E67))))</f>
        <v>0.84</v>
      </c>
      <c r="W67" s="16">
        <f t="shared" si="7"/>
        <v>14</v>
      </c>
      <c r="X67" s="16">
        <f t="shared" si="8"/>
        <v>14.599999999999994</v>
      </c>
      <c r="Y67" s="16">
        <v>80</v>
      </c>
      <c r="Z67" s="16">
        <v>69</v>
      </c>
      <c r="AA67" s="16">
        <v>30</v>
      </c>
      <c r="AB67" s="16">
        <v>124</v>
      </c>
      <c r="AC67" s="16">
        <f t="shared" si="10"/>
        <v>39</v>
      </c>
      <c r="AD67" s="16">
        <f t="shared" si="9"/>
        <v>55</v>
      </c>
      <c r="AE67" s="16">
        <v>56</v>
      </c>
      <c r="AF67">
        <v>40</v>
      </c>
      <c r="AG67" s="53" t="b">
        <f>IF('AAA Summary'!$L$4=2, J67, IF('AAA Summary'!$L$4=1, Z67))</f>
        <v>0</v>
      </c>
      <c r="AH67" s="53" t="b">
        <f>IF('AAA Summary'!$L$4=2, W67, IF('AAA Summary'!$L$4=1, AC67))</f>
        <v>0</v>
      </c>
      <c r="AI67" s="53" t="b">
        <f>IF('AAA Summary'!$L$4=2, X67, IF('AAA Summary'!$L$4=1, AD67))</f>
        <v>0</v>
      </c>
      <c r="AJ67" s="53" t="b">
        <f>IF('AAA Summary'!$L$4=2, Y67, IF('AAA Summary'!$L$4=1, AE67))</f>
        <v>0</v>
      </c>
      <c r="AK67" s="13">
        <v>0.45100000000000001</v>
      </c>
    </row>
    <row r="68" spans="1:37" x14ac:dyDescent="0.25">
      <c r="A68" t="s">
        <v>2</v>
      </c>
      <c r="B68" t="s">
        <v>196</v>
      </c>
      <c r="C68" s="57">
        <v>61</v>
      </c>
      <c r="D68" s="57">
        <v>20</v>
      </c>
      <c r="E68" s="58">
        <v>0.97</v>
      </c>
      <c r="F68" s="58">
        <v>1</v>
      </c>
      <c r="G68" s="58">
        <v>0.98</v>
      </c>
      <c r="H68" s="58">
        <v>0.92</v>
      </c>
      <c r="I68" s="32" t="s">
        <v>542</v>
      </c>
      <c r="J68">
        <v>33.900000000000006</v>
      </c>
      <c r="K68">
        <v>22.1</v>
      </c>
      <c r="L68">
        <v>47.4</v>
      </c>
      <c r="M68" s="32" t="s">
        <v>321</v>
      </c>
      <c r="N68" s="32" t="s">
        <v>214</v>
      </c>
      <c r="O68" s="59">
        <v>3.7999999999999999E-2</v>
      </c>
      <c r="P68" s="32" t="str">
        <f t="shared" si="6"/>
        <v>7A3</v>
      </c>
      <c r="Q68" s="31">
        <f t="shared" si="11"/>
        <v>3</v>
      </c>
      <c r="R68" s="31">
        <f t="shared" si="12"/>
        <v>4</v>
      </c>
      <c r="S68" s="31">
        <f t="shared" si="13"/>
        <v>3</v>
      </c>
      <c r="T68" s="31">
        <f t="shared" si="4"/>
        <v>3</v>
      </c>
      <c r="U68" s="53">
        <f>IF('AAA Summary'!$L$35=4, RANK(H68,H$8:H$82,1)+COUNTIF($H$8:H68,H68)-1, IF('AAA Summary'!$L$35=3, RANK(G68,G$8:G$82,1)+COUNTIF($G$8:G68,G68)-1, IF('AAA Summary'!$L$35=2, RANK(F68,F$8:F$82,1)+COUNTIF($F$8:F68,F68)-1, IF('AAA Summary'!$L$35=1, RANK(E68,E$8:E$82,1)+COUNTIF($E$8:E68,E68)-1))))</f>
        <v>53</v>
      </c>
      <c r="V68" s="40">
        <f>IF('AAA Summary'!$L$35=4, H68, IF('AAA Summary'!$L$35=3, G68, IF('AAA Summary'!$L$35=2, F68, IF('AAA Summary'!$L$35=1, E68))))</f>
        <v>0.97</v>
      </c>
      <c r="W68" s="16">
        <f t="shared" si="7"/>
        <v>11.800000000000004</v>
      </c>
      <c r="X68" s="16">
        <f t="shared" si="8"/>
        <v>13.499999999999993</v>
      </c>
      <c r="Y68" s="16">
        <v>80</v>
      </c>
      <c r="Z68" s="16">
        <v>79</v>
      </c>
      <c r="AA68" s="16">
        <v>43</v>
      </c>
      <c r="AB68" s="16">
        <v>123</v>
      </c>
      <c r="AC68" s="16">
        <f t="shared" si="10"/>
        <v>36</v>
      </c>
      <c r="AD68" s="16">
        <f t="shared" si="9"/>
        <v>44</v>
      </c>
      <c r="AE68" s="16">
        <v>56</v>
      </c>
      <c r="AF68">
        <v>51</v>
      </c>
      <c r="AG68" s="53" t="b">
        <f>IF('AAA Summary'!$L$4=2, J68, IF('AAA Summary'!$L$4=1, Z68))</f>
        <v>0</v>
      </c>
      <c r="AH68" s="53" t="b">
        <f>IF('AAA Summary'!$L$4=2, W68, IF('AAA Summary'!$L$4=1, AC68))</f>
        <v>0</v>
      </c>
      <c r="AI68" s="53" t="b">
        <f>IF('AAA Summary'!$L$4=2, X68, IF('AAA Summary'!$L$4=1, AD68))</f>
        <v>0</v>
      </c>
      <c r="AJ68" s="53" t="b">
        <f>IF('AAA Summary'!$L$4=2, Y68, IF('AAA Summary'!$L$4=1, AE68))</f>
        <v>0</v>
      </c>
      <c r="AK68" s="13">
        <v>0.33900000000000002</v>
      </c>
    </row>
    <row r="69" spans="1:37" x14ac:dyDescent="0.25">
      <c r="A69" t="s">
        <v>23</v>
      </c>
      <c r="B69" t="s">
        <v>24</v>
      </c>
      <c r="C69" s="57">
        <v>62</v>
      </c>
      <c r="D69" s="57">
        <v>37</v>
      </c>
      <c r="E69" s="58">
        <v>0.98</v>
      </c>
      <c r="F69" s="58">
        <v>0.97</v>
      </c>
      <c r="G69" s="58">
        <v>1</v>
      </c>
      <c r="H69" s="58">
        <v>0.98</v>
      </c>
      <c r="I69" s="32" t="s">
        <v>543</v>
      </c>
      <c r="J69">
        <v>44.3</v>
      </c>
      <c r="K69">
        <v>31.5</v>
      </c>
      <c r="L69">
        <v>57.599999999999994</v>
      </c>
      <c r="M69" s="32" t="s">
        <v>314</v>
      </c>
      <c r="N69" s="32" t="s">
        <v>286</v>
      </c>
      <c r="O69" s="59">
        <v>1.6E-2</v>
      </c>
      <c r="P69" s="32" t="str">
        <f t="shared" si="6"/>
        <v>RBA</v>
      </c>
      <c r="Q69" s="31">
        <f t="shared" si="11"/>
        <v>4</v>
      </c>
      <c r="R69" s="31">
        <f t="shared" si="12"/>
        <v>2</v>
      </c>
      <c r="S69" s="31">
        <f t="shared" si="13"/>
        <v>4</v>
      </c>
      <c r="T69" s="31">
        <f t="shared" si="4"/>
        <v>4</v>
      </c>
      <c r="U69" s="53">
        <f>IF('AAA Summary'!$L$35=4, RANK(H69,H$8:H$82,1)+COUNTIF($H$8:H69,H69)-1, IF('AAA Summary'!$L$35=3, RANK(G69,G$8:G$82,1)+COUNTIF($G$8:G69,G69)-1, IF('AAA Summary'!$L$35=2, RANK(F69,F$8:F$82,1)+COUNTIF($F$8:F69,F69)-1, IF('AAA Summary'!$L$35=1, RANK(E69,E$8:E$82,1)+COUNTIF($E$8:E69,E69)-1))))</f>
        <v>59</v>
      </c>
      <c r="V69" s="40">
        <f>IF('AAA Summary'!$L$35=4, H69, IF('AAA Summary'!$L$35=3, G69, IF('AAA Summary'!$L$35=2, F69, IF('AAA Summary'!$L$35=1, E69))))</f>
        <v>0.98</v>
      </c>
      <c r="W69" s="16">
        <f t="shared" si="7"/>
        <v>12.799999999999997</v>
      </c>
      <c r="X69" s="16">
        <f t="shared" si="8"/>
        <v>13.299999999999997</v>
      </c>
      <c r="Y69" s="16">
        <v>80</v>
      </c>
      <c r="Z69" s="16">
        <v>63</v>
      </c>
      <c r="AA69" s="16">
        <v>42</v>
      </c>
      <c r="AB69" s="16">
        <v>90</v>
      </c>
      <c r="AC69" s="16">
        <f t="shared" si="10"/>
        <v>21</v>
      </c>
      <c r="AD69" s="16">
        <f t="shared" si="9"/>
        <v>27</v>
      </c>
      <c r="AE69" s="16">
        <v>56</v>
      </c>
      <c r="AF69">
        <v>34</v>
      </c>
      <c r="AG69" s="53" t="b">
        <f>IF('AAA Summary'!$L$4=2, J69, IF('AAA Summary'!$L$4=1, Z69))</f>
        <v>0</v>
      </c>
      <c r="AH69" s="53" t="b">
        <f>IF('AAA Summary'!$L$4=2, W69, IF('AAA Summary'!$L$4=1, AC69))</f>
        <v>0</v>
      </c>
      <c r="AI69" s="53" t="b">
        <f>IF('AAA Summary'!$L$4=2, X69, IF('AAA Summary'!$L$4=1, AD69))</f>
        <v>0</v>
      </c>
      <c r="AJ69" s="53" t="b">
        <f>IF('AAA Summary'!$L$4=2, Y69, IF('AAA Summary'!$L$4=1, AE69))</f>
        <v>0</v>
      </c>
      <c r="AK69" s="13">
        <v>0.443</v>
      </c>
    </row>
    <row r="70" spans="1:37" x14ac:dyDescent="0.25">
      <c r="A70" t="s">
        <v>84</v>
      </c>
      <c r="B70" t="s">
        <v>85</v>
      </c>
      <c r="C70" s="57">
        <v>58</v>
      </c>
      <c r="D70" s="57">
        <v>31</v>
      </c>
      <c r="E70" s="58">
        <v>0.88</v>
      </c>
      <c r="F70" s="58">
        <v>0.98</v>
      </c>
      <c r="G70" s="58">
        <v>0.9</v>
      </c>
      <c r="H70" s="58">
        <v>0.81</v>
      </c>
      <c r="I70" s="32" t="s">
        <v>544</v>
      </c>
      <c r="J70">
        <v>51</v>
      </c>
      <c r="K70">
        <v>36.6</v>
      </c>
      <c r="L70">
        <v>65.2</v>
      </c>
      <c r="M70" s="32" t="s">
        <v>213</v>
      </c>
      <c r="N70" s="32" t="s">
        <v>263</v>
      </c>
      <c r="O70" s="59">
        <v>0</v>
      </c>
      <c r="P70" s="32" t="str">
        <f t="shared" si="6"/>
        <v>RNA</v>
      </c>
      <c r="Q70" s="31">
        <f t="shared" si="11"/>
        <v>2</v>
      </c>
      <c r="R70" s="31">
        <f t="shared" si="12"/>
        <v>2</v>
      </c>
      <c r="S70" s="31">
        <f t="shared" si="13"/>
        <v>2</v>
      </c>
      <c r="T70" s="31">
        <f t="shared" si="4"/>
        <v>2</v>
      </c>
      <c r="U70" s="53">
        <f>IF('AAA Summary'!$L$35=4, RANK(H70,H$8:H$82,1)+COUNTIF($H$8:H70,H70)-1, IF('AAA Summary'!$L$35=3, RANK(G70,G$8:G$82,1)+COUNTIF($G$8:G70,G70)-1, IF('AAA Summary'!$L$35=2, RANK(F70,F$8:F$82,1)+COUNTIF($F$8:F70,F70)-1, IF('AAA Summary'!$L$35=1, RANK(E70,E$8:E$82,1)+COUNTIF($E$8:E70,E70)-1))))</f>
        <v>21</v>
      </c>
      <c r="V70" s="40">
        <f>IF('AAA Summary'!$L$35=4, H70, IF('AAA Summary'!$L$35=3, G70, IF('AAA Summary'!$L$35=2, F70, IF('AAA Summary'!$L$35=1, E70))))</f>
        <v>0.88</v>
      </c>
      <c r="W70" s="16">
        <f t="shared" si="7"/>
        <v>14.399999999999999</v>
      </c>
      <c r="X70" s="16">
        <f t="shared" si="8"/>
        <v>14.200000000000003</v>
      </c>
      <c r="Y70" s="16">
        <v>80</v>
      </c>
      <c r="Z70" s="16">
        <v>56</v>
      </c>
      <c r="AA70" s="16">
        <v>33</v>
      </c>
      <c r="AB70" s="16">
        <v>98</v>
      </c>
      <c r="AC70" s="16">
        <f t="shared" si="10"/>
        <v>23</v>
      </c>
      <c r="AD70" s="16">
        <f t="shared" si="9"/>
        <v>42</v>
      </c>
      <c r="AE70" s="16">
        <v>56</v>
      </c>
      <c r="AF70">
        <v>23</v>
      </c>
      <c r="AG70" s="53" t="b">
        <f>IF('AAA Summary'!$L$4=2, J70, IF('AAA Summary'!$L$4=1, Z70))</f>
        <v>0</v>
      </c>
      <c r="AH70" s="53" t="b">
        <f>IF('AAA Summary'!$L$4=2, W70, IF('AAA Summary'!$L$4=1, AC70))</f>
        <v>0</v>
      </c>
      <c r="AI70" s="53" t="b">
        <f>IF('AAA Summary'!$L$4=2, X70, IF('AAA Summary'!$L$4=1, AD70))</f>
        <v>0</v>
      </c>
      <c r="AJ70" s="53" t="b">
        <f>IF('AAA Summary'!$L$4=2, Y70, IF('AAA Summary'!$L$4=1, AE70))</f>
        <v>0</v>
      </c>
      <c r="AK70" s="13">
        <v>0.51</v>
      </c>
    </row>
    <row r="71" spans="1:37" x14ac:dyDescent="0.25">
      <c r="A71" t="s">
        <v>15</v>
      </c>
      <c r="B71" t="s">
        <v>16</v>
      </c>
      <c r="C71" s="57">
        <v>15</v>
      </c>
      <c r="D71" s="57">
        <v>10</v>
      </c>
      <c r="E71" s="58">
        <v>1</v>
      </c>
      <c r="F71" s="58">
        <v>1</v>
      </c>
      <c r="G71" s="58">
        <v>1</v>
      </c>
      <c r="H71" s="58">
        <v>1</v>
      </c>
      <c r="I71" s="32" t="s">
        <v>545</v>
      </c>
      <c r="J71">
        <v>53.300000000000004</v>
      </c>
      <c r="K71">
        <v>26.6</v>
      </c>
      <c r="L71">
        <v>78.7</v>
      </c>
      <c r="M71" s="32" t="s">
        <v>546</v>
      </c>
      <c r="N71" s="32" t="s">
        <v>286</v>
      </c>
      <c r="O71" s="59">
        <v>0</v>
      </c>
      <c r="P71" s="32" t="str">
        <f t="shared" si="6"/>
        <v>RA9</v>
      </c>
      <c r="Q71" s="31">
        <f t="shared" si="11"/>
        <v>4</v>
      </c>
      <c r="R71" s="31">
        <f t="shared" si="12"/>
        <v>4</v>
      </c>
      <c r="S71" s="31">
        <f t="shared" si="13"/>
        <v>4</v>
      </c>
      <c r="T71" s="31">
        <f t="shared" si="4"/>
        <v>4</v>
      </c>
      <c r="U71" s="53">
        <f>IF('AAA Summary'!$L$35=4, RANK(H71,H$8:H$82,1)+COUNTIF($H$8:H71,H71)-1, IF('AAA Summary'!$L$35=3, RANK(G71,G$8:G$82,1)+COUNTIF($G$8:G71,G71)-1, IF('AAA Summary'!$L$35=2, RANK(F71,F$8:F$82,1)+COUNTIF($F$8:F71,F71)-1, IF('AAA Summary'!$L$35=1, RANK(E71,E$8:E$82,1)+COUNTIF($E$8:E71,E71)-1))))</f>
        <v>71</v>
      </c>
      <c r="V71" s="40">
        <f>IF('AAA Summary'!$L$35=4, H71, IF('AAA Summary'!$L$35=3, G71, IF('AAA Summary'!$L$35=2, F71, IF('AAA Summary'!$L$35=1, E71))))</f>
        <v>1</v>
      </c>
      <c r="W71" s="16">
        <f t="shared" si="7"/>
        <v>26.700000000000003</v>
      </c>
      <c r="X71" s="16">
        <f t="shared" si="8"/>
        <v>25.4</v>
      </c>
      <c r="Y71" s="16">
        <v>80</v>
      </c>
      <c r="Z71" s="16">
        <v>54</v>
      </c>
      <c r="AA71" s="16">
        <v>28</v>
      </c>
      <c r="AB71" s="16">
        <v>65</v>
      </c>
      <c r="AC71" s="16">
        <f t="shared" si="10"/>
        <v>26</v>
      </c>
      <c r="AD71" s="16">
        <f t="shared" si="9"/>
        <v>11</v>
      </c>
      <c r="AE71" s="16">
        <v>56</v>
      </c>
      <c r="AF71">
        <v>20</v>
      </c>
      <c r="AG71" s="53" t="b">
        <f>IF('AAA Summary'!$L$4=2, J71, IF('AAA Summary'!$L$4=1, Z71))</f>
        <v>0</v>
      </c>
      <c r="AH71" s="53" t="b">
        <f>IF('AAA Summary'!$L$4=2, W71, IF('AAA Summary'!$L$4=1, AC71))</f>
        <v>0</v>
      </c>
      <c r="AI71" s="53" t="b">
        <f>IF('AAA Summary'!$L$4=2, X71, IF('AAA Summary'!$L$4=1, AD71))</f>
        <v>0</v>
      </c>
      <c r="AJ71" s="53" t="b">
        <f>IF('AAA Summary'!$L$4=2, Y71, IF('AAA Summary'!$L$4=1, AE71))</f>
        <v>0</v>
      </c>
      <c r="AK71" s="13">
        <v>0.53300000000000003</v>
      </c>
    </row>
    <row r="72" spans="1:37" x14ac:dyDescent="0.25">
      <c r="A72" t="s">
        <v>129</v>
      </c>
      <c r="B72" t="s">
        <v>130</v>
      </c>
      <c r="C72" s="57">
        <v>43</v>
      </c>
      <c r="D72" s="57">
        <v>16</v>
      </c>
      <c r="E72" s="58">
        <v>0.98</v>
      </c>
      <c r="F72" s="58">
        <v>0.98</v>
      </c>
      <c r="G72" s="58">
        <v>0.98</v>
      </c>
      <c r="H72" s="58">
        <v>1</v>
      </c>
      <c r="I72" s="32" t="s">
        <v>547</v>
      </c>
      <c r="J72">
        <v>42.9</v>
      </c>
      <c r="K72">
        <v>27.700000000000003</v>
      </c>
      <c r="L72">
        <v>59</v>
      </c>
      <c r="M72" s="32" t="s">
        <v>340</v>
      </c>
      <c r="N72" s="32" t="s">
        <v>291</v>
      </c>
      <c r="O72" s="59">
        <v>3.2000000000000001E-2</v>
      </c>
      <c r="P72" s="32" t="str">
        <f t="shared" si="6"/>
        <v>RWD</v>
      </c>
      <c r="Q72" s="31">
        <f t="shared" ref="Q72:Q82" si="14">+IF(E72&lt;E$2,1,IF(E72&lt;E$3,2,IF(E72&lt;E$4,3,4)))</f>
        <v>4</v>
      </c>
      <c r="R72" s="31">
        <f t="shared" ref="R72:R82" si="15">+IF(F72&lt;F$2,1,IF(F72&lt;F$3,2,IF(F72&lt;F$4,3,4)))</f>
        <v>2</v>
      </c>
      <c r="S72" s="31">
        <f t="shared" ref="S72:S82" si="16">+IF(G72&lt;G$2,1,IF(G72&lt;G$3,2,IF(G72&lt;G$4,3,4)))</f>
        <v>3</v>
      </c>
      <c r="T72" s="31">
        <f t="shared" ref="T72:T82" si="17">+IF(H72&lt;H$2,1,IF(H72&lt;H$3,2,IF(H72&lt;H$4,3,4)))</f>
        <v>4</v>
      </c>
      <c r="U72" s="53">
        <f>IF('AAA Summary'!$L$35=4, RANK(H72,H$8:H$82,1)+COUNTIF($H$8:H72,H72)-1, IF('AAA Summary'!$L$35=3, RANK(G72,G$8:G$82,1)+COUNTIF($G$8:G72,G72)-1, IF('AAA Summary'!$L$35=2, RANK(F72,F$8:F$82,1)+COUNTIF($F$8:F72,F72)-1, IF('AAA Summary'!$L$35=1, RANK(E72,E$8:E$82,1)+COUNTIF($E$8:E72,E72)-1))))</f>
        <v>60</v>
      </c>
      <c r="V72" s="40">
        <f>IF('AAA Summary'!$L$35=4, H72, IF('AAA Summary'!$L$35=3, G72, IF('AAA Summary'!$L$35=2, F72, IF('AAA Summary'!$L$35=1, E72))))</f>
        <v>0.98</v>
      </c>
      <c r="W72" s="16">
        <f t="shared" si="7"/>
        <v>15.199999999999996</v>
      </c>
      <c r="X72" s="16">
        <f t="shared" si="8"/>
        <v>16.100000000000001</v>
      </c>
      <c r="Y72" s="16">
        <v>80</v>
      </c>
      <c r="Z72" s="16">
        <v>62</v>
      </c>
      <c r="AA72" s="16">
        <v>36</v>
      </c>
      <c r="AB72" s="16">
        <v>89</v>
      </c>
      <c r="AC72" s="16">
        <f t="shared" si="10"/>
        <v>26</v>
      </c>
      <c r="AD72" s="16">
        <f t="shared" si="9"/>
        <v>27</v>
      </c>
      <c r="AE72" s="16">
        <v>56</v>
      </c>
      <c r="AF72">
        <v>31</v>
      </c>
      <c r="AG72" s="53" t="b">
        <f>IF('AAA Summary'!$L$4=2, J72, IF('AAA Summary'!$L$4=1, Z72))</f>
        <v>0</v>
      </c>
      <c r="AH72" s="53" t="b">
        <f>IF('AAA Summary'!$L$4=2, W72, IF('AAA Summary'!$L$4=1, AC72))</f>
        <v>0</v>
      </c>
      <c r="AI72" s="53" t="b">
        <f>IF('AAA Summary'!$L$4=2, X72, IF('AAA Summary'!$L$4=1, AD72))</f>
        <v>0</v>
      </c>
      <c r="AJ72" s="53" t="b">
        <f>IF('AAA Summary'!$L$4=2, Y72, IF('AAA Summary'!$L$4=1, AE72))</f>
        <v>0</v>
      </c>
      <c r="AK72" s="13">
        <v>0.42899999999999999</v>
      </c>
    </row>
    <row r="73" spans="1:37" x14ac:dyDescent="0.25">
      <c r="A73" t="s">
        <v>67</v>
      </c>
      <c r="B73" t="s">
        <v>68</v>
      </c>
      <c r="C73" s="57">
        <v>102</v>
      </c>
      <c r="D73" s="57">
        <v>49</v>
      </c>
      <c r="E73" s="58">
        <v>0.94</v>
      </c>
      <c r="F73" s="58">
        <v>1</v>
      </c>
      <c r="G73" s="58">
        <v>0.95</v>
      </c>
      <c r="H73" s="58">
        <v>0.95</v>
      </c>
      <c r="I73" s="32" t="s">
        <v>548</v>
      </c>
      <c r="J73">
        <v>38.5</v>
      </c>
      <c r="K73">
        <v>28.799999999999997</v>
      </c>
      <c r="L73">
        <v>49</v>
      </c>
      <c r="M73" s="32" t="s">
        <v>396</v>
      </c>
      <c r="N73" s="32" t="s">
        <v>284</v>
      </c>
      <c r="O73" s="59">
        <v>1.8000000000000002E-2</v>
      </c>
      <c r="P73" s="32" t="str">
        <f t="shared" ref="P73:P82" si="18">A73</f>
        <v>RJE</v>
      </c>
      <c r="Q73" s="31">
        <f t="shared" si="14"/>
        <v>3</v>
      </c>
      <c r="R73" s="31">
        <f t="shared" si="15"/>
        <v>4</v>
      </c>
      <c r="S73" s="31">
        <f t="shared" si="16"/>
        <v>3</v>
      </c>
      <c r="T73" s="31">
        <f t="shared" si="17"/>
        <v>3</v>
      </c>
      <c r="U73" s="53">
        <f>IF('AAA Summary'!$L$35=4, RANK(H73,H$8:H$82,1)+COUNTIF($H$8:H73,H73)-1, IF('AAA Summary'!$L$35=3, RANK(G73,G$8:G$82,1)+COUNTIF($G$8:G73,G73)-1, IF('AAA Summary'!$L$35=2, RANK(F73,F$8:F$82,1)+COUNTIF($F$8:F73,F73)-1, IF('AAA Summary'!$L$35=1, RANK(E73,E$8:E$82,1)+COUNTIF($E$8:E73,E73)-1))))</f>
        <v>38</v>
      </c>
      <c r="V73" s="40">
        <f>IF('AAA Summary'!$L$35=4, H73, IF('AAA Summary'!$L$35=3, G73, IF('AAA Summary'!$L$35=2, F73, IF('AAA Summary'!$L$35=1, E73))))</f>
        <v>0.94</v>
      </c>
      <c r="W73" s="16">
        <f t="shared" ref="W73:W82" si="19">J73-K73</f>
        <v>9.7000000000000028</v>
      </c>
      <c r="X73" s="16">
        <f t="shared" ref="X73:X82" si="20">L73-J73</f>
        <v>10.5</v>
      </c>
      <c r="Y73" s="16">
        <v>80</v>
      </c>
      <c r="Z73" s="16">
        <v>73</v>
      </c>
      <c r="AA73" s="16">
        <v>37</v>
      </c>
      <c r="AB73" s="16">
        <v>115</v>
      </c>
      <c r="AC73" s="16">
        <f t="shared" si="10"/>
        <v>36</v>
      </c>
      <c r="AD73" s="16">
        <f t="shared" ref="AD73:AD82" si="21">AB73-Z73</f>
        <v>42</v>
      </c>
      <c r="AE73" s="16">
        <v>56</v>
      </c>
      <c r="AF73">
        <v>42</v>
      </c>
      <c r="AG73" s="53" t="b">
        <f>IF('AAA Summary'!$L$4=2, J73, IF('AAA Summary'!$L$4=1, Z73))</f>
        <v>0</v>
      </c>
      <c r="AH73" s="53" t="b">
        <f>IF('AAA Summary'!$L$4=2, W73, IF('AAA Summary'!$L$4=1, AC73))</f>
        <v>0</v>
      </c>
      <c r="AI73" s="53" t="b">
        <f>IF('AAA Summary'!$L$4=2, X73, IF('AAA Summary'!$L$4=1, AD73))</f>
        <v>0</v>
      </c>
      <c r="AJ73" s="53" t="b">
        <f>IF('AAA Summary'!$L$4=2, Y73, IF('AAA Summary'!$L$4=1, AE73))</f>
        <v>0</v>
      </c>
      <c r="AK73" s="13">
        <v>0.38500000000000001</v>
      </c>
    </row>
    <row r="74" spans="1:37" x14ac:dyDescent="0.25">
      <c r="A74" t="s">
        <v>55</v>
      </c>
      <c r="B74" t="s">
        <v>56</v>
      </c>
      <c r="C74" s="57">
        <v>77</v>
      </c>
      <c r="D74" s="57">
        <v>33</v>
      </c>
      <c r="E74" s="58">
        <v>0.86</v>
      </c>
      <c r="F74" s="58">
        <v>0.99</v>
      </c>
      <c r="G74" s="58">
        <v>0.85</v>
      </c>
      <c r="H74" s="58">
        <v>0.87</v>
      </c>
      <c r="I74" s="32" t="s">
        <v>549</v>
      </c>
      <c r="J74">
        <v>48.5</v>
      </c>
      <c r="K74">
        <v>36</v>
      </c>
      <c r="L74">
        <v>61.1</v>
      </c>
      <c r="M74" s="32" t="s">
        <v>550</v>
      </c>
      <c r="N74" s="32" t="s">
        <v>230</v>
      </c>
      <c r="O74" s="59">
        <v>1.1000000000000001E-2</v>
      </c>
      <c r="P74" s="32" t="str">
        <f t="shared" si="18"/>
        <v>RHM</v>
      </c>
      <c r="Q74" s="31">
        <f t="shared" si="14"/>
        <v>1</v>
      </c>
      <c r="R74" s="31">
        <f t="shared" si="15"/>
        <v>3</v>
      </c>
      <c r="S74" s="31">
        <f t="shared" si="16"/>
        <v>1</v>
      </c>
      <c r="T74" s="31">
        <f t="shared" si="17"/>
        <v>2</v>
      </c>
      <c r="U74" s="53">
        <f>IF('AAA Summary'!$L$35=4, RANK(H74,H$8:H$82,1)+COUNTIF($H$8:H74,H74)-1, IF('AAA Summary'!$L$35=3, RANK(G74,G$8:G$82,1)+COUNTIF($G$8:G74,G74)-1, IF('AAA Summary'!$L$35=2, RANK(F74,F$8:F$82,1)+COUNTIF($F$8:F74,F74)-1, IF('AAA Summary'!$L$35=1, RANK(E74,E$8:E$82,1)+COUNTIF($E$8:E74,E74)-1))))</f>
        <v>16</v>
      </c>
      <c r="V74" s="40">
        <f>IF('AAA Summary'!$L$35=4, H74, IF('AAA Summary'!$L$35=3, G74, IF('AAA Summary'!$L$35=2, F74, IF('AAA Summary'!$L$35=1, E74))))</f>
        <v>0.86</v>
      </c>
      <c r="W74" s="16">
        <f t="shared" si="19"/>
        <v>12.5</v>
      </c>
      <c r="X74" s="16">
        <f t="shared" si="20"/>
        <v>12.600000000000001</v>
      </c>
      <c r="Y74" s="16">
        <v>80</v>
      </c>
      <c r="Z74" s="16">
        <v>60</v>
      </c>
      <c r="AA74" s="16">
        <v>35</v>
      </c>
      <c r="AB74" s="16">
        <v>103</v>
      </c>
      <c r="AC74" s="16">
        <f t="shared" si="10"/>
        <v>25</v>
      </c>
      <c r="AD74" s="16">
        <f t="shared" si="21"/>
        <v>43</v>
      </c>
      <c r="AE74" s="16">
        <v>56</v>
      </c>
      <c r="AF74">
        <v>28</v>
      </c>
      <c r="AG74" s="53" t="b">
        <f>IF('AAA Summary'!$L$4=2, J74, IF('AAA Summary'!$L$4=1, Z74))</f>
        <v>0</v>
      </c>
      <c r="AH74" s="53" t="b">
        <f>IF('AAA Summary'!$L$4=2, W74, IF('AAA Summary'!$L$4=1, AC74))</f>
        <v>0</v>
      </c>
      <c r="AI74" s="53" t="b">
        <f>IF('AAA Summary'!$L$4=2, X74, IF('AAA Summary'!$L$4=1, AD74))</f>
        <v>0</v>
      </c>
      <c r="AJ74" s="53" t="b">
        <f>IF('AAA Summary'!$L$4=2, Y74, IF('AAA Summary'!$L$4=1, AE74))</f>
        <v>0</v>
      </c>
      <c r="AK74" s="13">
        <v>0.48499999999999999</v>
      </c>
    </row>
    <row r="75" spans="1:37" x14ac:dyDescent="0.25">
      <c r="A75" t="s">
        <v>104</v>
      </c>
      <c r="B75" t="s">
        <v>105</v>
      </c>
      <c r="C75" s="57">
        <v>75</v>
      </c>
      <c r="D75" s="57">
        <v>66</v>
      </c>
      <c r="E75" s="58">
        <v>0.93</v>
      </c>
      <c r="F75" s="58">
        <v>0.99</v>
      </c>
      <c r="G75" s="58">
        <v>0.94</v>
      </c>
      <c r="H75" s="58">
        <v>0.93</v>
      </c>
      <c r="I75" s="32" t="s">
        <v>551</v>
      </c>
      <c r="J75">
        <v>45.7</v>
      </c>
      <c r="K75">
        <v>33.700000000000003</v>
      </c>
      <c r="L75">
        <v>58.099999999999994</v>
      </c>
      <c r="M75" s="32" t="s">
        <v>310</v>
      </c>
      <c r="N75" s="32" t="s">
        <v>286</v>
      </c>
      <c r="O75" s="59">
        <v>2.3E-2</v>
      </c>
      <c r="P75" s="32" t="str">
        <f t="shared" si="18"/>
        <v>RRK</v>
      </c>
      <c r="Q75" s="31">
        <f t="shared" si="14"/>
        <v>2</v>
      </c>
      <c r="R75" s="31">
        <f t="shared" si="15"/>
        <v>3</v>
      </c>
      <c r="S75" s="31">
        <f t="shared" si="16"/>
        <v>2</v>
      </c>
      <c r="T75" s="31">
        <f t="shared" si="17"/>
        <v>3</v>
      </c>
      <c r="U75" s="53">
        <f>IF('AAA Summary'!$L$35=4, RANK(H75,H$8:H$82,1)+COUNTIF($H$8:H75,H75)-1, IF('AAA Summary'!$L$35=3, RANK(G75,G$8:G$82,1)+COUNTIF($G$8:G75,G75)-1, IF('AAA Summary'!$L$35=2, RANK(F75,F$8:F$82,1)+COUNTIF($F$8:F75,F75)-1, IF('AAA Summary'!$L$35=1, RANK(E75,E$8:E$82,1)+COUNTIF($E$8:E75,E75)-1))))</f>
        <v>34</v>
      </c>
      <c r="V75" s="40">
        <f>IF('AAA Summary'!$L$35=4, H75, IF('AAA Summary'!$L$35=3, G75, IF('AAA Summary'!$L$35=2, F75, IF('AAA Summary'!$L$35=1, E75))))</f>
        <v>0.93</v>
      </c>
      <c r="W75" s="16">
        <f t="shared" si="19"/>
        <v>12</v>
      </c>
      <c r="X75" s="16">
        <f t="shared" si="20"/>
        <v>12.399999999999991</v>
      </c>
      <c r="Y75" s="16">
        <v>80</v>
      </c>
      <c r="Z75" s="16">
        <v>62</v>
      </c>
      <c r="AA75" s="16">
        <v>34</v>
      </c>
      <c r="AB75" s="16">
        <v>120</v>
      </c>
      <c r="AC75" s="16">
        <f t="shared" si="10"/>
        <v>28</v>
      </c>
      <c r="AD75" s="16">
        <f t="shared" si="21"/>
        <v>58</v>
      </c>
      <c r="AE75" s="16">
        <v>56</v>
      </c>
      <c r="AF75">
        <v>30</v>
      </c>
      <c r="AG75" s="53" t="b">
        <f>IF('AAA Summary'!$L$4=2, J75, IF('AAA Summary'!$L$4=1, Z75))</f>
        <v>0</v>
      </c>
      <c r="AH75" s="53" t="b">
        <f>IF('AAA Summary'!$L$4=2, W75, IF('AAA Summary'!$L$4=1, AC75))</f>
        <v>0</v>
      </c>
      <c r="AI75" s="53" t="b">
        <f>IF('AAA Summary'!$L$4=2, X75, IF('AAA Summary'!$L$4=1, AD75))</f>
        <v>0</v>
      </c>
      <c r="AJ75" s="53" t="b">
        <f>IF('AAA Summary'!$L$4=2, Y75, IF('AAA Summary'!$L$4=1, AE75))</f>
        <v>0</v>
      </c>
      <c r="AK75" s="13">
        <v>0.45700000000000002</v>
      </c>
    </row>
    <row r="76" spans="1:37" x14ac:dyDescent="0.25">
      <c r="A76" t="s">
        <v>74</v>
      </c>
      <c r="B76" t="s">
        <v>75</v>
      </c>
      <c r="C76" s="57">
        <v>40</v>
      </c>
      <c r="D76" s="57">
        <v>27</v>
      </c>
      <c r="E76" s="58">
        <v>0.88</v>
      </c>
      <c r="F76" s="58">
        <v>0.98</v>
      </c>
      <c r="G76" s="58">
        <v>0.87</v>
      </c>
      <c r="H76" s="58">
        <v>0.93</v>
      </c>
      <c r="I76" s="32" t="s">
        <v>552</v>
      </c>
      <c r="J76">
        <v>34.300000000000004</v>
      </c>
      <c r="K76">
        <v>19.100000000000001</v>
      </c>
      <c r="L76">
        <v>52.2</v>
      </c>
      <c r="M76" s="32" t="s">
        <v>396</v>
      </c>
      <c r="N76" s="32" t="s">
        <v>214</v>
      </c>
      <c r="O76" s="59">
        <v>2.7999999999999997E-2</v>
      </c>
      <c r="P76" s="32" t="str">
        <f t="shared" si="18"/>
        <v>RKB</v>
      </c>
      <c r="Q76" s="31">
        <f t="shared" si="14"/>
        <v>2</v>
      </c>
      <c r="R76" s="31">
        <f t="shared" si="15"/>
        <v>2</v>
      </c>
      <c r="S76" s="31">
        <f t="shared" si="16"/>
        <v>1</v>
      </c>
      <c r="T76" s="31">
        <f t="shared" si="17"/>
        <v>3</v>
      </c>
      <c r="U76" s="53">
        <f>IF('AAA Summary'!$L$35=4, RANK(H76,H$8:H$82,1)+COUNTIF($H$8:H76,H76)-1, IF('AAA Summary'!$L$35=3, RANK(G76,G$8:G$82,1)+COUNTIF($G$8:G76,G76)-1, IF('AAA Summary'!$L$35=2, RANK(F76,F$8:F$82,1)+COUNTIF($F$8:F76,F76)-1, IF('AAA Summary'!$L$35=1, RANK(E76,E$8:E$82,1)+COUNTIF($E$8:E76,E76)-1))))</f>
        <v>22</v>
      </c>
      <c r="V76" s="40">
        <f>IF('AAA Summary'!$L$35=4, H76, IF('AAA Summary'!$L$35=3, G76, IF('AAA Summary'!$L$35=2, F76, IF('AAA Summary'!$L$35=1, E76))))</f>
        <v>0.88</v>
      </c>
      <c r="W76" s="16">
        <f t="shared" si="19"/>
        <v>15.200000000000003</v>
      </c>
      <c r="X76" s="16">
        <f t="shared" si="20"/>
        <v>17.899999999999999</v>
      </c>
      <c r="Y76" s="16">
        <v>80</v>
      </c>
      <c r="Z76" s="16">
        <v>75</v>
      </c>
      <c r="AA76" s="16">
        <v>48</v>
      </c>
      <c r="AB76" s="16">
        <v>99</v>
      </c>
      <c r="AC76" s="16">
        <f t="shared" si="10"/>
        <v>27</v>
      </c>
      <c r="AD76" s="16">
        <f t="shared" si="21"/>
        <v>24</v>
      </c>
      <c r="AE76" s="16">
        <v>56</v>
      </c>
      <c r="AF76">
        <v>48</v>
      </c>
      <c r="AG76" s="53" t="b">
        <f>IF('AAA Summary'!$L$4=2, J76, IF('AAA Summary'!$L$4=1, Z76))</f>
        <v>0</v>
      </c>
      <c r="AH76" s="53" t="b">
        <f>IF('AAA Summary'!$L$4=2, W76, IF('AAA Summary'!$L$4=1, AC76))</f>
        <v>0</v>
      </c>
      <c r="AI76" s="53" t="b">
        <f>IF('AAA Summary'!$L$4=2, X76, IF('AAA Summary'!$L$4=1, AD76))</f>
        <v>0</v>
      </c>
      <c r="AJ76" s="53" t="b">
        <f>IF('AAA Summary'!$L$4=2, Y76, IF('AAA Summary'!$L$4=1, AE76))</f>
        <v>0</v>
      </c>
      <c r="AK76" s="13">
        <v>0.34300000000000003</v>
      </c>
    </row>
    <row r="77" spans="1:37" x14ac:dyDescent="0.25">
      <c r="A77" t="s">
        <v>114</v>
      </c>
      <c r="B77" t="s">
        <v>347</v>
      </c>
      <c r="C77" s="57">
        <v>49</v>
      </c>
      <c r="D77" s="57">
        <v>36</v>
      </c>
      <c r="E77" s="58">
        <v>1</v>
      </c>
      <c r="F77" s="58">
        <v>1</v>
      </c>
      <c r="G77" s="58">
        <v>1</v>
      </c>
      <c r="H77" s="58">
        <v>1</v>
      </c>
      <c r="I77" s="32" t="s">
        <v>553</v>
      </c>
      <c r="J77">
        <v>46.9</v>
      </c>
      <c r="K77">
        <v>32.5</v>
      </c>
      <c r="L77">
        <v>61.7</v>
      </c>
      <c r="M77" s="32" t="s">
        <v>202</v>
      </c>
      <c r="N77" s="32" t="s">
        <v>220</v>
      </c>
      <c r="O77" s="59">
        <v>1.9E-2</v>
      </c>
      <c r="P77" s="32" t="str">
        <f t="shared" si="18"/>
        <v>RTG</v>
      </c>
      <c r="Q77" s="31">
        <f t="shared" si="14"/>
        <v>4</v>
      </c>
      <c r="R77" s="31">
        <f t="shared" si="15"/>
        <v>4</v>
      </c>
      <c r="S77" s="31">
        <f t="shared" si="16"/>
        <v>4</v>
      </c>
      <c r="T77" s="31">
        <f t="shared" si="17"/>
        <v>4</v>
      </c>
      <c r="U77" s="53">
        <f>IF('AAA Summary'!$L$35=4, RANK(H77,H$8:H$82,1)+COUNTIF($H$8:H77,H77)-1, IF('AAA Summary'!$L$35=3, RANK(G77,G$8:G$82,1)+COUNTIF($G$8:G77,G77)-1, IF('AAA Summary'!$L$35=2, RANK(F77,F$8:F$82,1)+COUNTIF($F$8:F77,F77)-1, IF('AAA Summary'!$L$35=1, RANK(E77,E$8:E$82,1)+COUNTIF($E$8:E77,E77)-1))))</f>
        <v>72</v>
      </c>
      <c r="V77" s="40">
        <f>IF('AAA Summary'!$L$35=4, H77, IF('AAA Summary'!$L$35=3, G77, IF('AAA Summary'!$L$35=2, F77, IF('AAA Summary'!$L$35=1, E77))))</f>
        <v>1</v>
      </c>
      <c r="W77" s="16">
        <f t="shared" si="19"/>
        <v>14.399999999999999</v>
      </c>
      <c r="X77" s="16">
        <f t="shared" si="20"/>
        <v>14.800000000000004</v>
      </c>
      <c r="Y77" s="16">
        <v>80</v>
      </c>
      <c r="Z77" s="16">
        <v>62</v>
      </c>
      <c r="AA77" s="16">
        <v>30</v>
      </c>
      <c r="AB77" s="16">
        <v>85</v>
      </c>
      <c r="AC77" s="16">
        <f t="shared" si="10"/>
        <v>32</v>
      </c>
      <c r="AD77" s="16">
        <f t="shared" si="21"/>
        <v>23</v>
      </c>
      <c r="AE77" s="16">
        <v>56</v>
      </c>
      <c r="AF77">
        <v>29</v>
      </c>
      <c r="AG77" s="53" t="b">
        <f>IF('AAA Summary'!$L$4=2, J77, IF('AAA Summary'!$L$4=1, Z77))</f>
        <v>0</v>
      </c>
      <c r="AH77" s="53" t="b">
        <f>IF('AAA Summary'!$L$4=2, W77, IF('AAA Summary'!$L$4=1, AC77))</f>
        <v>0</v>
      </c>
      <c r="AI77" s="53" t="b">
        <f>IF('AAA Summary'!$L$4=2, X77, IF('AAA Summary'!$L$4=1, AD77))</f>
        <v>0</v>
      </c>
      <c r="AJ77" s="53" t="b">
        <f>IF('AAA Summary'!$L$4=2, Y77, IF('AAA Summary'!$L$4=1, AE77))</f>
        <v>0</v>
      </c>
      <c r="AK77" s="13">
        <v>0.46899999999999997</v>
      </c>
    </row>
    <row r="78" spans="1:37" x14ac:dyDescent="0.25">
      <c r="A78" t="s">
        <v>131</v>
      </c>
      <c r="B78" t="s">
        <v>132</v>
      </c>
      <c r="C78" s="57">
        <v>51</v>
      </c>
      <c r="D78" s="57">
        <v>26</v>
      </c>
      <c r="E78" s="58">
        <v>0.75</v>
      </c>
      <c r="F78" s="58">
        <v>1</v>
      </c>
      <c r="G78" s="58">
        <v>0.82</v>
      </c>
      <c r="H78" s="58">
        <v>0.24</v>
      </c>
      <c r="I78" s="32" t="s">
        <v>554</v>
      </c>
      <c r="J78">
        <v>73.7</v>
      </c>
      <c r="K78">
        <v>56.899999999999991</v>
      </c>
      <c r="L78">
        <v>86.6</v>
      </c>
      <c r="M78" s="32" t="s">
        <v>313</v>
      </c>
      <c r="N78" s="32" t="s">
        <v>221</v>
      </c>
      <c r="O78" s="59">
        <v>6.0000000000000001E-3</v>
      </c>
      <c r="P78" s="32" t="str">
        <f t="shared" si="18"/>
        <v>RWE</v>
      </c>
      <c r="Q78" s="31">
        <f t="shared" si="14"/>
        <v>1</v>
      </c>
      <c r="R78" s="31">
        <f t="shared" si="15"/>
        <v>4</v>
      </c>
      <c r="S78" s="31">
        <f t="shared" si="16"/>
        <v>1</v>
      </c>
      <c r="T78" s="31">
        <f t="shared" si="17"/>
        <v>1</v>
      </c>
      <c r="U78" s="53">
        <f>IF('AAA Summary'!$L$35=4, RANK(H78,H$8:H$82,1)+COUNTIF($H$8:H78,H78)-1, IF('AAA Summary'!$L$35=3, RANK(G78,G$8:G$82,1)+COUNTIF($G$8:G78,G78)-1, IF('AAA Summary'!$L$35=2, RANK(F78,F$8:F$82,1)+COUNTIF($F$8:F78,F78)-1, IF('AAA Summary'!$L$35=1, RANK(E78,E$8:E$82,1)+COUNTIF($E$8:E78,E78)-1))))</f>
        <v>8</v>
      </c>
      <c r="V78" s="40">
        <f>IF('AAA Summary'!$L$35=4, H78, IF('AAA Summary'!$L$35=3, G78, IF('AAA Summary'!$L$35=2, F78, IF('AAA Summary'!$L$35=1, E78))))</f>
        <v>0.75</v>
      </c>
      <c r="W78" s="16">
        <f t="shared" si="19"/>
        <v>16.800000000000011</v>
      </c>
      <c r="X78" s="16">
        <f t="shared" si="20"/>
        <v>12.899999999999991</v>
      </c>
      <c r="Y78" s="16">
        <v>80</v>
      </c>
      <c r="Z78" s="16">
        <v>42</v>
      </c>
      <c r="AA78" s="16">
        <v>27</v>
      </c>
      <c r="AB78" s="16">
        <v>60</v>
      </c>
      <c r="AC78" s="16">
        <f t="shared" si="10"/>
        <v>15</v>
      </c>
      <c r="AD78" s="16">
        <f t="shared" si="21"/>
        <v>18</v>
      </c>
      <c r="AE78" s="16">
        <v>56</v>
      </c>
      <c r="AF78">
        <v>5</v>
      </c>
      <c r="AG78" s="53" t="b">
        <f>IF('AAA Summary'!$L$4=2, J78, IF('AAA Summary'!$L$4=1, Z78))</f>
        <v>0</v>
      </c>
      <c r="AH78" s="53" t="b">
        <f>IF('AAA Summary'!$L$4=2, W78, IF('AAA Summary'!$L$4=1, AC78))</f>
        <v>0</v>
      </c>
      <c r="AI78" s="53" t="b">
        <f>IF('AAA Summary'!$L$4=2, X78, IF('AAA Summary'!$L$4=1, AD78))</f>
        <v>0</v>
      </c>
      <c r="AJ78" s="53" t="b">
        <f>IF('AAA Summary'!$L$4=2, Y78, IF('AAA Summary'!$L$4=1, AE78))</f>
        <v>0</v>
      </c>
      <c r="AK78" s="13">
        <v>0.73699999999999999</v>
      </c>
    </row>
    <row r="79" spans="1:37" x14ac:dyDescent="0.25">
      <c r="A79" t="s">
        <v>73</v>
      </c>
      <c r="B79" t="s">
        <v>197</v>
      </c>
      <c r="C79" s="57">
        <v>43</v>
      </c>
      <c r="D79" s="57">
        <v>24</v>
      </c>
      <c r="E79" s="58">
        <v>1</v>
      </c>
      <c r="F79" s="58">
        <v>0.98</v>
      </c>
      <c r="G79" s="58">
        <v>1</v>
      </c>
      <c r="H79" s="58">
        <v>1</v>
      </c>
      <c r="I79" s="32" t="s">
        <v>555</v>
      </c>
      <c r="J79">
        <v>34.9</v>
      </c>
      <c r="K79">
        <v>21</v>
      </c>
      <c r="L79">
        <v>50.9</v>
      </c>
      <c r="M79" s="32" t="s">
        <v>316</v>
      </c>
      <c r="N79" s="32" t="s">
        <v>284</v>
      </c>
      <c r="O79" s="59">
        <v>1.9E-2</v>
      </c>
      <c r="P79" s="32" t="str">
        <f t="shared" si="18"/>
        <v>RK9</v>
      </c>
      <c r="Q79" s="31">
        <f t="shared" si="14"/>
        <v>4</v>
      </c>
      <c r="R79" s="31">
        <f t="shared" si="15"/>
        <v>2</v>
      </c>
      <c r="S79" s="31">
        <f t="shared" si="16"/>
        <v>4</v>
      </c>
      <c r="T79" s="31">
        <f t="shared" si="17"/>
        <v>4</v>
      </c>
      <c r="U79" s="53">
        <f>IF('AAA Summary'!$L$35=4, RANK(H79,H$8:H$82,1)+COUNTIF($H$8:H79,H79)-1, IF('AAA Summary'!$L$35=3, RANK(G79,G$8:G$82,1)+COUNTIF($G$8:G79,G79)-1, IF('AAA Summary'!$L$35=2, RANK(F79,F$8:F$82,1)+COUNTIF($F$8:F79,F79)-1, IF('AAA Summary'!$L$35=1, RANK(E79,E$8:E$82,1)+COUNTIF($E$8:E79,E79)-1))))</f>
        <v>73</v>
      </c>
      <c r="V79" s="40">
        <f>IF('AAA Summary'!$L$35=4, H79, IF('AAA Summary'!$L$35=3, G79, IF('AAA Summary'!$L$35=2, F79, IF('AAA Summary'!$L$35=1, E79))))</f>
        <v>1</v>
      </c>
      <c r="W79" s="16">
        <f t="shared" si="19"/>
        <v>13.899999999999999</v>
      </c>
      <c r="X79" s="16">
        <f t="shared" si="20"/>
        <v>16</v>
      </c>
      <c r="Y79" s="16">
        <v>80</v>
      </c>
      <c r="Z79" s="16">
        <v>90</v>
      </c>
      <c r="AA79" s="16">
        <v>41</v>
      </c>
      <c r="AB79" s="16">
        <v>135</v>
      </c>
      <c r="AC79" s="16">
        <f t="shared" si="10"/>
        <v>49</v>
      </c>
      <c r="AD79" s="16">
        <f t="shared" si="21"/>
        <v>45</v>
      </c>
      <c r="AE79" s="16">
        <v>56</v>
      </c>
      <c r="AF79">
        <v>63</v>
      </c>
      <c r="AG79" s="53" t="b">
        <f>IF('AAA Summary'!$L$4=2, J79, IF('AAA Summary'!$L$4=1, Z79))</f>
        <v>0</v>
      </c>
      <c r="AH79" s="53" t="b">
        <f>IF('AAA Summary'!$L$4=2, W79, IF('AAA Summary'!$L$4=1, AC79))</f>
        <v>0</v>
      </c>
      <c r="AI79" s="53" t="b">
        <f>IF('AAA Summary'!$L$4=2, X79, IF('AAA Summary'!$L$4=1, AD79))</f>
        <v>0</v>
      </c>
      <c r="AJ79" s="53" t="b">
        <f>IF('AAA Summary'!$L$4=2, Y79, IF('AAA Summary'!$L$4=1, AE79))</f>
        <v>0</v>
      </c>
      <c r="AK79" s="13">
        <v>0.34899999999999998</v>
      </c>
    </row>
    <row r="80" spans="1:37" x14ac:dyDescent="0.25">
      <c r="A80" t="s">
        <v>133</v>
      </c>
      <c r="B80" t="s">
        <v>134</v>
      </c>
      <c r="C80" s="57">
        <v>40</v>
      </c>
      <c r="D80" s="57">
        <v>34</v>
      </c>
      <c r="E80" s="58">
        <v>1</v>
      </c>
      <c r="F80" s="58">
        <v>0.95</v>
      </c>
      <c r="G80" s="58">
        <v>1</v>
      </c>
      <c r="H80" s="58">
        <v>0.88</v>
      </c>
      <c r="I80" s="32" t="s">
        <v>556</v>
      </c>
      <c r="J80">
        <v>60</v>
      </c>
      <c r="K80">
        <v>43.3</v>
      </c>
      <c r="L80">
        <v>75.099999999999994</v>
      </c>
      <c r="M80" s="32" t="s">
        <v>308</v>
      </c>
      <c r="N80" s="32" t="s">
        <v>284</v>
      </c>
      <c r="O80" s="59">
        <v>1.4999999999999999E-2</v>
      </c>
      <c r="P80" s="32" t="str">
        <f t="shared" si="18"/>
        <v>RWG</v>
      </c>
      <c r="Q80" s="31">
        <f t="shared" si="14"/>
        <v>4</v>
      </c>
      <c r="R80" s="31">
        <f t="shared" si="15"/>
        <v>1</v>
      </c>
      <c r="S80" s="31">
        <f t="shared" si="16"/>
        <v>4</v>
      </c>
      <c r="T80" s="31">
        <f t="shared" si="17"/>
        <v>2</v>
      </c>
      <c r="U80" s="53">
        <f>IF('AAA Summary'!$L$35=4, RANK(H80,H$8:H$82,1)+COUNTIF($H$8:H80,H80)-1, IF('AAA Summary'!$L$35=3, RANK(G80,G$8:G$82,1)+COUNTIF($G$8:G80,G80)-1, IF('AAA Summary'!$L$35=2, RANK(F80,F$8:F$82,1)+COUNTIF($F$8:F80,F80)-1, IF('AAA Summary'!$L$35=1, RANK(E80,E$8:E$82,1)+COUNTIF($E$8:E80,E80)-1))))</f>
        <v>74</v>
      </c>
      <c r="V80" s="40">
        <f>IF('AAA Summary'!$L$35=4, H80, IF('AAA Summary'!$L$35=3, G80, IF('AAA Summary'!$L$35=2, F80, IF('AAA Summary'!$L$35=1, E80))))</f>
        <v>1</v>
      </c>
      <c r="W80" s="16">
        <f t="shared" si="19"/>
        <v>16.700000000000003</v>
      </c>
      <c r="X80" s="16">
        <f t="shared" si="20"/>
        <v>15.099999999999994</v>
      </c>
      <c r="Y80" s="16">
        <v>80</v>
      </c>
      <c r="Z80" s="16">
        <v>47</v>
      </c>
      <c r="AA80" s="16">
        <v>30</v>
      </c>
      <c r="AB80" s="16">
        <v>78</v>
      </c>
      <c r="AC80" s="16">
        <f t="shared" si="10"/>
        <v>17</v>
      </c>
      <c r="AD80" s="16">
        <f t="shared" si="21"/>
        <v>31</v>
      </c>
      <c r="AE80" s="16">
        <v>56</v>
      </c>
      <c r="AF80">
        <v>12</v>
      </c>
      <c r="AG80" s="53" t="b">
        <f>IF('AAA Summary'!$L$4=2, J80, IF('AAA Summary'!$L$4=1, Z80))</f>
        <v>0</v>
      </c>
      <c r="AH80" s="53" t="b">
        <f>IF('AAA Summary'!$L$4=2, W80, IF('AAA Summary'!$L$4=1, AC80))</f>
        <v>0</v>
      </c>
      <c r="AI80" s="53" t="b">
        <f>IF('AAA Summary'!$L$4=2, X80, IF('AAA Summary'!$L$4=1, AD80))</f>
        <v>0</v>
      </c>
      <c r="AJ80" s="53" t="b">
        <f>IF('AAA Summary'!$L$4=2, Y80, IF('AAA Summary'!$L$4=1, AE80))</f>
        <v>0</v>
      </c>
      <c r="AK80" s="13">
        <v>0.6</v>
      </c>
    </row>
    <row r="81" spans="1:37" x14ac:dyDescent="0.25">
      <c r="A81" t="s">
        <v>137</v>
      </c>
      <c r="B81" t="s">
        <v>138</v>
      </c>
      <c r="C81" s="57">
        <v>68</v>
      </c>
      <c r="D81" s="57">
        <v>35</v>
      </c>
      <c r="E81" s="58">
        <v>1</v>
      </c>
      <c r="F81" s="58">
        <v>0.99</v>
      </c>
      <c r="G81" s="58">
        <v>1</v>
      </c>
      <c r="H81" s="58">
        <v>0.78</v>
      </c>
      <c r="I81" s="32" t="s">
        <v>557</v>
      </c>
      <c r="J81">
        <v>50</v>
      </c>
      <c r="K81">
        <v>37.6</v>
      </c>
      <c r="L81">
        <v>62.4</v>
      </c>
      <c r="M81" s="32" t="s">
        <v>394</v>
      </c>
      <c r="N81" s="32" t="s">
        <v>558</v>
      </c>
      <c r="O81" s="59">
        <v>0</v>
      </c>
      <c r="P81" s="32" t="str">
        <f t="shared" si="18"/>
        <v>RWP</v>
      </c>
      <c r="Q81" s="31">
        <f t="shared" si="14"/>
        <v>4</v>
      </c>
      <c r="R81" s="31">
        <f t="shared" si="15"/>
        <v>3</v>
      </c>
      <c r="S81" s="31">
        <f t="shared" si="16"/>
        <v>4</v>
      </c>
      <c r="T81" s="31">
        <f t="shared" si="17"/>
        <v>1</v>
      </c>
      <c r="U81" s="53">
        <f>IF('AAA Summary'!$L$35=4, RANK(H81,H$8:H$82,1)+COUNTIF($H$8:H81,H81)-1, IF('AAA Summary'!$L$35=3, RANK(G81,G$8:G$82,1)+COUNTIF($G$8:G81,G81)-1, IF('AAA Summary'!$L$35=2, RANK(F81,F$8:F$82,1)+COUNTIF($F$8:F81,F81)-1, IF('AAA Summary'!$L$35=1, RANK(E81,E$8:E$82,1)+COUNTIF($E$8:E81,E81)-1))))</f>
        <v>75</v>
      </c>
      <c r="V81" s="40">
        <f>IF('AAA Summary'!$L$35=4, H81, IF('AAA Summary'!$L$35=3, G81, IF('AAA Summary'!$L$35=2, F81, IF('AAA Summary'!$L$35=1, E81))))</f>
        <v>1</v>
      </c>
      <c r="W81" s="16">
        <f t="shared" si="19"/>
        <v>12.399999999999999</v>
      </c>
      <c r="X81" s="16">
        <f t="shared" si="20"/>
        <v>12.399999999999999</v>
      </c>
      <c r="Y81" s="16">
        <v>80</v>
      </c>
      <c r="Z81" s="16">
        <v>59</v>
      </c>
      <c r="AA81" s="16">
        <v>21</v>
      </c>
      <c r="AB81" s="16">
        <v>144</v>
      </c>
      <c r="AC81" s="16">
        <f t="shared" si="10"/>
        <v>38</v>
      </c>
      <c r="AD81" s="16">
        <f t="shared" si="21"/>
        <v>85</v>
      </c>
      <c r="AE81" s="16">
        <v>56</v>
      </c>
      <c r="AF81">
        <v>25</v>
      </c>
      <c r="AG81" s="53" t="b">
        <f>IF('AAA Summary'!$L$4=2, J81, IF('AAA Summary'!$L$4=1, Z81))</f>
        <v>0</v>
      </c>
      <c r="AH81" s="53" t="b">
        <f>IF('AAA Summary'!$L$4=2, W81, IF('AAA Summary'!$L$4=1, AC81))</f>
        <v>0</v>
      </c>
      <c r="AI81" s="53" t="b">
        <f>IF('AAA Summary'!$L$4=2, X81, IF('AAA Summary'!$L$4=1, AD81))</f>
        <v>0</v>
      </c>
      <c r="AJ81" s="53" t="b">
        <f>IF('AAA Summary'!$L$4=2, Y81, IF('AAA Summary'!$L$4=1, AE81))</f>
        <v>0</v>
      </c>
      <c r="AK81" s="13">
        <v>0.5</v>
      </c>
    </row>
    <row r="82" spans="1:37" x14ac:dyDescent="0.25">
      <c r="A82" t="s">
        <v>33</v>
      </c>
      <c r="B82" t="s">
        <v>34</v>
      </c>
      <c r="C82" s="57">
        <v>56</v>
      </c>
      <c r="D82" s="57">
        <v>20</v>
      </c>
      <c r="E82" s="58">
        <v>0.77</v>
      </c>
      <c r="F82" s="58">
        <v>0.98</v>
      </c>
      <c r="G82" s="58">
        <v>0.76</v>
      </c>
      <c r="H82" s="58">
        <v>0.7</v>
      </c>
      <c r="I82" s="32" t="s">
        <v>559</v>
      </c>
      <c r="J82">
        <v>44.2</v>
      </c>
      <c r="K82">
        <v>29.099999999999998</v>
      </c>
      <c r="L82">
        <v>60.099999999999994</v>
      </c>
      <c r="M82" s="32" t="s">
        <v>294</v>
      </c>
      <c r="N82" s="32" t="s">
        <v>304</v>
      </c>
      <c r="O82" s="59">
        <v>1.8000000000000002E-2</v>
      </c>
      <c r="P82" s="32" t="str">
        <f t="shared" si="18"/>
        <v>RCB</v>
      </c>
      <c r="Q82" s="31">
        <f t="shared" si="14"/>
        <v>1</v>
      </c>
      <c r="R82" s="31">
        <f t="shared" si="15"/>
        <v>2</v>
      </c>
      <c r="S82" s="31">
        <f t="shared" si="16"/>
        <v>1</v>
      </c>
      <c r="T82" s="31">
        <f t="shared" si="17"/>
        <v>1</v>
      </c>
      <c r="U82" s="53">
        <f>IF('AAA Summary'!$L$35=4, RANK(H82,H$8:H$82,1)+COUNTIF($H$8:H82,H82)-1, IF('AAA Summary'!$L$35=3, RANK(G82,G$8:G$82,1)+COUNTIF($G$8:G82,G82)-1, IF('AAA Summary'!$L$35=2, RANK(F82,F$8:F$82,1)+COUNTIF($F$8:F82,F82)-1, IF('AAA Summary'!$L$35=1, RANK(E82,E$8:E$82,1)+COUNTIF($E$8:E82,E82)-1))))</f>
        <v>10</v>
      </c>
      <c r="V82" s="40">
        <f>IF('AAA Summary'!$L$35=4, H82, IF('AAA Summary'!$L$35=3, G82, IF('AAA Summary'!$L$35=2, F82, IF('AAA Summary'!$L$35=1, E82))))</f>
        <v>0.77</v>
      </c>
      <c r="W82" s="16">
        <f t="shared" si="19"/>
        <v>15.100000000000005</v>
      </c>
      <c r="X82" s="16">
        <f t="shared" si="20"/>
        <v>15.899999999999991</v>
      </c>
      <c r="Y82" s="16">
        <v>80</v>
      </c>
      <c r="Z82" s="16">
        <v>63</v>
      </c>
      <c r="AA82" s="16">
        <v>33</v>
      </c>
      <c r="AB82" s="16">
        <v>89</v>
      </c>
      <c r="AC82" s="16">
        <f t="shared" si="10"/>
        <v>30</v>
      </c>
      <c r="AD82" s="16">
        <f t="shared" si="21"/>
        <v>26</v>
      </c>
      <c r="AE82" s="16">
        <v>56</v>
      </c>
      <c r="AF82">
        <v>32</v>
      </c>
      <c r="AG82" s="53" t="b">
        <f>IF('AAA Summary'!$L$4=2, J82, IF('AAA Summary'!$L$4=1, Z82))</f>
        <v>0</v>
      </c>
      <c r="AH82" s="53" t="b">
        <f>IF('AAA Summary'!$L$4=2, W82, IF('AAA Summary'!$L$4=1, AC82))</f>
        <v>0</v>
      </c>
      <c r="AI82" s="53" t="b">
        <f>IF('AAA Summary'!$L$4=2, X82, IF('AAA Summary'!$L$4=1, AD82))</f>
        <v>0</v>
      </c>
      <c r="AJ82" s="53" t="b">
        <f>IF('AAA Summary'!$L$4=2, Y82, IF('AAA Summary'!$L$4=1, AE82))</f>
        <v>0</v>
      </c>
      <c r="AK82" s="13">
        <v>0.442</v>
      </c>
    </row>
  </sheetData>
  <sortState ref="A2:M77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"/>
  <sheetViews>
    <sheetView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defaultRowHeight="15" x14ac:dyDescent="0.25"/>
  <cols>
    <col min="1" max="1" width="10.42578125" bestFit="1" customWidth="1"/>
    <col min="2" max="2" width="61" bestFit="1" customWidth="1"/>
    <col min="3" max="3" width="7.42578125" bestFit="1" customWidth="1"/>
    <col min="4" max="4" width="9.42578125" bestFit="1" customWidth="1"/>
    <col min="5" max="5" width="12.7109375" bestFit="1" customWidth="1"/>
    <col min="6" max="6" width="7.42578125" bestFit="1" customWidth="1"/>
    <col min="7" max="7" width="9.42578125" bestFit="1" customWidth="1"/>
    <col min="8" max="8" width="14.140625" customWidth="1"/>
    <col min="9" max="9" width="7" bestFit="1" customWidth="1"/>
    <col min="10" max="10" width="9.42578125" bestFit="1" customWidth="1"/>
    <col min="11" max="11" width="8.140625" bestFit="1" customWidth="1"/>
    <col min="12" max="12" width="7" bestFit="1" customWidth="1"/>
    <col min="13" max="13" width="9.42578125" bestFit="1" customWidth="1"/>
    <col min="14" max="14" width="8.140625" bestFit="1" customWidth="1"/>
    <col min="15" max="15" width="10.42578125" bestFit="1" customWidth="1"/>
  </cols>
  <sheetData>
    <row r="1" spans="1:26" ht="105" x14ac:dyDescent="0.25">
      <c r="A1" s="97" t="s">
        <v>1006</v>
      </c>
      <c r="B1" s="97" t="s">
        <v>175</v>
      </c>
      <c r="C1" s="98" t="s">
        <v>1163</v>
      </c>
      <c r="D1" s="98" t="s">
        <v>1018</v>
      </c>
      <c r="E1" s="98" t="s">
        <v>1181</v>
      </c>
      <c r="F1" s="98" t="s">
        <v>1164</v>
      </c>
      <c r="G1" s="98" t="s">
        <v>1021</v>
      </c>
      <c r="H1" s="98" t="s">
        <v>1182</v>
      </c>
      <c r="I1" s="111" t="s">
        <v>1118</v>
      </c>
      <c r="J1" s="98" t="s">
        <v>1119</v>
      </c>
      <c r="K1" s="98" t="s">
        <v>1120</v>
      </c>
      <c r="L1" s="98" t="s">
        <v>1121</v>
      </c>
      <c r="M1" s="98" t="s">
        <v>1122</v>
      </c>
      <c r="N1" s="98" t="s">
        <v>1123</v>
      </c>
      <c r="O1" s="97" t="s">
        <v>1006</v>
      </c>
      <c r="P1" s="39" t="s">
        <v>1156</v>
      </c>
      <c r="Q1" s="39" t="s">
        <v>1157</v>
      </c>
      <c r="R1" s="39" t="s">
        <v>1158</v>
      </c>
      <c r="S1" s="98" t="s">
        <v>1191</v>
      </c>
      <c r="T1" s="134" t="s">
        <v>1192</v>
      </c>
      <c r="U1" s="134" t="s">
        <v>1193</v>
      </c>
      <c r="V1" s="39" t="s">
        <v>1194</v>
      </c>
      <c r="W1" s="39" t="s">
        <v>1195</v>
      </c>
      <c r="X1" s="39" t="s">
        <v>1196</v>
      </c>
      <c r="Y1" s="39" t="s">
        <v>1197</v>
      </c>
      <c r="Z1" s="39" t="s">
        <v>1198</v>
      </c>
    </row>
    <row r="2" spans="1:26" x14ac:dyDescent="0.25">
      <c r="A2" t="s">
        <v>7</v>
      </c>
      <c r="B2" t="s">
        <v>8</v>
      </c>
      <c r="C2" s="101">
        <v>16</v>
      </c>
      <c r="D2" s="103" t="s">
        <v>238</v>
      </c>
      <c r="E2" s="104">
        <v>0.5</v>
      </c>
      <c r="F2" s="101">
        <v>26</v>
      </c>
      <c r="G2" s="103" t="s">
        <v>890</v>
      </c>
      <c r="H2" s="104">
        <v>0.46000000834465027</v>
      </c>
      <c r="I2" s="103">
        <v>16</v>
      </c>
      <c r="J2" s="103" t="s">
        <v>238</v>
      </c>
      <c r="K2" s="104">
        <v>0.5</v>
      </c>
      <c r="L2" s="103">
        <v>26</v>
      </c>
      <c r="M2" s="103" t="s">
        <v>890</v>
      </c>
      <c r="N2" s="104">
        <v>0.46000000834465027</v>
      </c>
      <c r="O2" t="s">
        <v>7</v>
      </c>
      <c r="P2">
        <v>46</v>
      </c>
      <c r="Q2" s="67">
        <f>IF(H2&gt;E2,0,E2-H2)</f>
        <v>3.9999991655349731E-2</v>
      </c>
      <c r="R2" s="67">
        <f>IF(H2&gt;E2,H2-E2,0)</f>
        <v>0</v>
      </c>
      <c r="S2">
        <v>10</v>
      </c>
      <c r="T2">
        <v>96</v>
      </c>
      <c r="U2">
        <v>14</v>
      </c>
      <c r="V2">
        <f>SUM(S2:U2)</f>
        <v>120</v>
      </c>
      <c r="W2" s="67">
        <f>T2/$V2</f>
        <v>0.8</v>
      </c>
      <c r="X2" s="67">
        <f>U2/$V2</f>
        <v>0.11666666666666667</v>
      </c>
      <c r="Y2" s="67">
        <f>S2/$V2</f>
        <v>8.3333333333333329E-2</v>
      </c>
      <c r="Z2">
        <v>1</v>
      </c>
    </row>
    <row r="3" spans="1:26" x14ac:dyDescent="0.25">
      <c r="A3" t="s">
        <v>117</v>
      </c>
      <c r="B3" t="s">
        <v>416</v>
      </c>
      <c r="C3" s="101" t="s">
        <v>433</v>
      </c>
      <c r="D3" s="103" t="s">
        <v>346</v>
      </c>
      <c r="E3" s="104" t="e">
        <v>#VALUE!</v>
      </c>
      <c r="F3" s="101" t="s">
        <v>433</v>
      </c>
      <c r="G3" s="103" t="s">
        <v>346</v>
      </c>
      <c r="H3" s="104" t="e">
        <v>#VALUE!</v>
      </c>
      <c r="I3" s="101" t="s">
        <v>1110</v>
      </c>
      <c r="J3" s="103" t="s">
        <v>1110</v>
      </c>
      <c r="K3" s="104" t="s">
        <v>1110</v>
      </c>
      <c r="L3" s="101" t="s">
        <v>1110</v>
      </c>
      <c r="M3" s="103" t="s">
        <v>1110</v>
      </c>
      <c r="N3" s="104" t="s">
        <v>1110</v>
      </c>
      <c r="O3" t="s">
        <v>117</v>
      </c>
      <c r="P3" s="104" t="e">
        <v>#VALUE!</v>
      </c>
      <c r="Q3" s="67" t="e">
        <f t="shared" ref="Q3:Q66" si="0">IF(H3&gt;E3,0,E3-H3)</f>
        <v>#VALUE!</v>
      </c>
      <c r="R3" s="67" t="e">
        <f t="shared" ref="R3:R66" si="1">IF(H3&gt;E3,H3-E3,0)</f>
        <v>#VALUE!</v>
      </c>
      <c r="S3">
        <v>11</v>
      </c>
      <c r="T3">
        <v>39</v>
      </c>
      <c r="U3">
        <v>23</v>
      </c>
      <c r="V3">
        <f t="shared" ref="V3:V66" si="2">SUM(S3:U3)</f>
        <v>73</v>
      </c>
      <c r="W3" s="67">
        <f t="shared" ref="W3:W66" si="3">T3/$V3</f>
        <v>0.53424657534246578</v>
      </c>
      <c r="X3" s="67">
        <f t="shared" ref="X3:X66" si="4">U3/$V3</f>
        <v>0.31506849315068491</v>
      </c>
      <c r="Y3" s="67">
        <f t="shared" ref="Y3:Y66" si="5">S3/$V3</f>
        <v>0.15068493150684931</v>
      </c>
      <c r="Z3">
        <v>0</v>
      </c>
    </row>
    <row r="4" spans="1:26" x14ac:dyDescent="0.25">
      <c r="A4" t="s">
        <v>45</v>
      </c>
      <c r="B4" t="s">
        <v>417</v>
      </c>
      <c r="C4" s="101">
        <v>35</v>
      </c>
      <c r="D4" s="103" t="s">
        <v>1029</v>
      </c>
      <c r="E4" s="104">
        <v>0.23000000417232513</v>
      </c>
      <c r="F4" s="101">
        <v>46</v>
      </c>
      <c r="G4" s="103" t="s">
        <v>326</v>
      </c>
      <c r="H4" s="104">
        <v>0.36000001430511475</v>
      </c>
      <c r="I4" s="101" t="s">
        <v>433</v>
      </c>
      <c r="J4" s="103" t="s">
        <v>346</v>
      </c>
      <c r="K4" s="104" t="s">
        <v>346</v>
      </c>
      <c r="L4" s="101" t="s">
        <v>433</v>
      </c>
      <c r="M4" s="103" t="s">
        <v>346</v>
      </c>
      <c r="N4" s="104" t="s">
        <v>346</v>
      </c>
      <c r="O4" t="s">
        <v>45</v>
      </c>
      <c r="P4">
        <v>53</v>
      </c>
      <c r="Q4" s="67">
        <f t="shared" si="0"/>
        <v>0</v>
      </c>
      <c r="R4" s="67">
        <f t="shared" si="1"/>
        <v>0.13000001013278961</v>
      </c>
      <c r="S4">
        <v>308</v>
      </c>
      <c r="T4">
        <v>49</v>
      </c>
      <c r="U4">
        <v>2</v>
      </c>
      <c r="V4">
        <f t="shared" si="2"/>
        <v>359</v>
      </c>
      <c r="W4" s="67">
        <f t="shared" si="3"/>
        <v>0.13649025069637882</v>
      </c>
      <c r="X4" s="67">
        <f t="shared" si="4"/>
        <v>5.5710306406685237E-3</v>
      </c>
      <c r="Y4" s="67">
        <f t="shared" si="5"/>
        <v>0.85793871866295268</v>
      </c>
      <c r="Z4">
        <v>1</v>
      </c>
    </row>
    <row r="5" spans="1:26" x14ac:dyDescent="0.25">
      <c r="A5" t="s">
        <v>11</v>
      </c>
      <c r="B5" t="s">
        <v>12</v>
      </c>
      <c r="C5" s="101">
        <v>77</v>
      </c>
      <c r="D5" s="103" t="s">
        <v>340</v>
      </c>
      <c r="E5" s="104">
        <v>0.2199999988079071</v>
      </c>
      <c r="F5" s="101">
        <v>80</v>
      </c>
      <c r="G5" s="103" t="s">
        <v>457</v>
      </c>
      <c r="H5" s="104">
        <v>0.34999999403953552</v>
      </c>
      <c r="I5" s="103">
        <v>25</v>
      </c>
      <c r="J5" s="103" t="s">
        <v>478</v>
      </c>
      <c r="K5" s="104">
        <v>0.11999999731779099</v>
      </c>
      <c r="L5" s="103">
        <v>19</v>
      </c>
      <c r="M5" s="103" t="s">
        <v>1127</v>
      </c>
      <c r="N5" s="104">
        <v>0.20999999344348907</v>
      </c>
      <c r="O5" t="s">
        <v>11</v>
      </c>
      <c r="P5">
        <v>55</v>
      </c>
      <c r="Q5" s="67">
        <f t="shared" si="0"/>
        <v>0</v>
      </c>
      <c r="R5" s="67">
        <f t="shared" si="1"/>
        <v>0.12999999523162842</v>
      </c>
      <c r="S5">
        <v>334</v>
      </c>
      <c r="T5">
        <v>99</v>
      </c>
      <c r="U5">
        <v>31</v>
      </c>
      <c r="V5">
        <f t="shared" si="2"/>
        <v>464</v>
      </c>
      <c r="W5" s="67">
        <f t="shared" si="3"/>
        <v>0.21336206896551724</v>
      </c>
      <c r="X5" s="67">
        <f t="shared" si="4"/>
        <v>6.6810344827586202E-2</v>
      </c>
      <c r="Y5" s="67">
        <f t="shared" si="5"/>
        <v>0.71982758620689657</v>
      </c>
      <c r="Z5">
        <v>1</v>
      </c>
    </row>
    <row r="6" spans="1:26" x14ac:dyDescent="0.25">
      <c r="A6" t="s">
        <v>31</v>
      </c>
      <c r="B6" t="s">
        <v>32</v>
      </c>
      <c r="C6" s="101">
        <v>63</v>
      </c>
      <c r="D6" s="103" t="s">
        <v>1169</v>
      </c>
      <c r="E6" s="104">
        <v>0.69999998807907104</v>
      </c>
      <c r="F6" s="101">
        <v>37</v>
      </c>
      <c r="G6" s="103" t="s">
        <v>1170</v>
      </c>
      <c r="H6" s="104">
        <v>0.5899999737739563</v>
      </c>
      <c r="I6" s="101" t="s">
        <v>433</v>
      </c>
      <c r="J6" s="103" t="s">
        <v>346</v>
      </c>
      <c r="K6" s="104" t="s">
        <v>346</v>
      </c>
      <c r="L6" s="103">
        <v>12</v>
      </c>
      <c r="M6" s="103" t="s">
        <v>1128</v>
      </c>
      <c r="N6" s="104">
        <v>0.57999998331069946</v>
      </c>
      <c r="O6" t="s">
        <v>31</v>
      </c>
      <c r="P6">
        <v>30</v>
      </c>
      <c r="Q6" s="67">
        <f t="shared" si="0"/>
        <v>0.11000001430511475</v>
      </c>
      <c r="R6" s="67">
        <f t="shared" si="1"/>
        <v>0</v>
      </c>
      <c r="S6">
        <v>308</v>
      </c>
      <c r="T6">
        <v>90</v>
      </c>
      <c r="U6">
        <v>37</v>
      </c>
      <c r="V6">
        <f t="shared" si="2"/>
        <v>435</v>
      </c>
      <c r="W6" s="67">
        <f t="shared" si="3"/>
        <v>0.20689655172413793</v>
      </c>
      <c r="X6" s="67">
        <f t="shared" si="4"/>
        <v>8.5057471264367815E-2</v>
      </c>
      <c r="Y6" s="67">
        <f t="shared" si="5"/>
        <v>0.7080459770114943</v>
      </c>
      <c r="Z6">
        <v>1</v>
      </c>
    </row>
    <row r="7" spans="1:26" x14ac:dyDescent="0.25">
      <c r="A7" t="s">
        <v>173</v>
      </c>
      <c r="B7" t="s">
        <v>174</v>
      </c>
      <c r="C7" s="101">
        <v>67</v>
      </c>
      <c r="D7" s="103" t="s">
        <v>223</v>
      </c>
      <c r="E7" s="104">
        <v>0.50999999046325684</v>
      </c>
      <c r="F7" s="101">
        <v>62</v>
      </c>
      <c r="G7" s="103" t="s">
        <v>205</v>
      </c>
      <c r="H7" s="104">
        <v>0.56000000238418579</v>
      </c>
      <c r="I7" s="103">
        <v>42</v>
      </c>
      <c r="J7" s="103" t="s">
        <v>203</v>
      </c>
      <c r="K7" s="104">
        <v>0.56999999284744263</v>
      </c>
      <c r="L7" s="103">
        <v>43</v>
      </c>
      <c r="M7" s="103" t="s">
        <v>212</v>
      </c>
      <c r="N7" s="104">
        <v>0.64999997615814209</v>
      </c>
      <c r="O7" t="s">
        <v>173</v>
      </c>
      <c r="P7">
        <v>36</v>
      </c>
      <c r="Q7" s="67">
        <f t="shared" si="0"/>
        <v>0</v>
      </c>
      <c r="R7" s="67">
        <f t="shared" si="1"/>
        <v>5.0000011920928955E-2</v>
      </c>
      <c r="S7">
        <v>252</v>
      </c>
      <c r="T7">
        <v>220</v>
      </c>
      <c r="U7">
        <v>60</v>
      </c>
      <c r="V7">
        <f t="shared" si="2"/>
        <v>532</v>
      </c>
      <c r="W7" s="67">
        <f t="shared" si="3"/>
        <v>0.41353383458646614</v>
      </c>
      <c r="X7" s="67">
        <f t="shared" si="4"/>
        <v>0.11278195488721804</v>
      </c>
      <c r="Y7" s="67">
        <f t="shared" si="5"/>
        <v>0.47368421052631576</v>
      </c>
      <c r="Z7">
        <v>1</v>
      </c>
    </row>
    <row r="8" spans="1:26" x14ac:dyDescent="0.25">
      <c r="A8" t="s">
        <v>0</v>
      </c>
      <c r="B8" t="s">
        <v>1</v>
      </c>
      <c r="C8" s="101">
        <v>30</v>
      </c>
      <c r="D8" s="103" t="s">
        <v>1124</v>
      </c>
      <c r="E8" s="104">
        <v>0.10000000149011612</v>
      </c>
      <c r="F8" s="101">
        <v>41</v>
      </c>
      <c r="G8" s="103" t="s">
        <v>735</v>
      </c>
      <c r="H8" s="104">
        <v>0.17000000178813934</v>
      </c>
      <c r="I8" s="103">
        <v>29</v>
      </c>
      <c r="J8" s="103" t="s">
        <v>1124</v>
      </c>
      <c r="K8" s="104">
        <v>0.10000000149011612</v>
      </c>
      <c r="L8" s="103">
        <v>35</v>
      </c>
      <c r="M8" s="103" t="s">
        <v>735</v>
      </c>
      <c r="N8" s="104">
        <v>0.20000000298023224</v>
      </c>
      <c r="O8" t="s">
        <v>0</v>
      </c>
      <c r="P8">
        <v>59</v>
      </c>
      <c r="Q8" s="67">
        <f t="shared" si="0"/>
        <v>0</v>
      </c>
      <c r="R8" s="67">
        <f t="shared" si="1"/>
        <v>7.0000000298023224E-2</v>
      </c>
      <c r="S8">
        <v>5</v>
      </c>
      <c r="T8">
        <v>145</v>
      </c>
      <c r="U8">
        <v>38</v>
      </c>
      <c r="V8">
        <f t="shared" si="2"/>
        <v>188</v>
      </c>
      <c r="W8" s="67">
        <f t="shared" si="3"/>
        <v>0.77127659574468088</v>
      </c>
      <c r="X8" s="67">
        <f t="shared" si="4"/>
        <v>0.20212765957446807</v>
      </c>
      <c r="Y8" s="67">
        <f t="shared" si="5"/>
        <v>2.6595744680851064E-2</v>
      </c>
      <c r="Z8">
        <v>1</v>
      </c>
    </row>
    <row r="9" spans="1:26" x14ac:dyDescent="0.25">
      <c r="A9" t="s">
        <v>82</v>
      </c>
      <c r="B9" t="s">
        <v>83</v>
      </c>
      <c r="C9" s="101" t="s">
        <v>433</v>
      </c>
      <c r="D9" s="103" t="s">
        <v>346</v>
      </c>
      <c r="E9" s="104" t="e">
        <v>#VALUE!</v>
      </c>
      <c r="F9" s="101" t="s">
        <v>433</v>
      </c>
      <c r="G9" s="103" t="s">
        <v>346</v>
      </c>
      <c r="H9" s="104" t="e">
        <v>#VALUE!</v>
      </c>
      <c r="I9" s="101" t="s">
        <v>1110</v>
      </c>
      <c r="J9" s="103" t="s">
        <v>1110</v>
      </c>
      <c r="K9" s="104" t="s">
        <v>1110</v>
      </c>
      <c r="L9" s="101" t="s">
        <v>1110</v>
      </c>
      <c r="M9" s="103" t="s">
        <v>1110</v>
      </c>
      <c r="N9" s="104" t="s">
        <v>1110</v>
      </c>
      <c r="O9" t="s">
        <v>82</v>
      </c>
      <c r="P9" s="104" t="e">
        <v>#VALUE!</v>
      </c>
      <c r="Q9" s="67" t="e">
        <f t="shared" si="0"/>
        <v>#VALUE!</v>
      </c>
      <c r="R9" s="67" t="e">
        <f t="shared" si="1"/>
        <v>#VALUE!</v>
      </c>
      <c r="S9">
        <v>135</v>
      </c>
      <c r="T9">
        <v>0</v>
      </c>
      <c r="U9">
        <v>0</v>
      </c>
      <c r="V9">
        <f t="shared" si="2"/>
        <v>135</v>
      </c>
      <c r="W9" s="67">
        <f t="shared" si="3"/>
        <v>0</v>
      </c>
      <c r="X9" s="67">
        <f t="shared" si="4"/>
        <v>0</v>
      </c>
      <c r="Y9" s="67">
        <f t="shared" si="5"/>
        <v>1</v>
      </c>
      <c r="Z9">
        <v>0</v>
      </c>
    </row>
    <row r="10" spans="1:26" x14ac:dyDescent="0.25">
      <c r="A10" t="s">
        <v>17</v>
      </c>
      <c r="B10" t="s">
        <v>18</v>
      </c>
      <c r="C10" s="101">
        <v>20</v>
      </c>
      <c r="D10" s="103" t="s">
        <v>445</v>
      </c>
      <c r="E10" s="104">
        <v>0.44999998807907104</v>
      </c>
      <c r="F10" s="101">
        <v>20</v>
      </c>
      <c r="G10" s="103" t="s">
        <v>269</v>
      </c>
      <c r="H10" s="104">
        <v>0.60000002384185791</v>
      </c>
      <c r="I10" s="103">
        <v>20</v>
      </c>
      <c r="J10" s="103" t="s">
        <v>445</v>
      </c>
      <c r="K10" s="104">
        <v>0.44999998807907104</v>
      </c>
      <c r="L10" s="103">
        <v>20</v>
      </c>
      <c r="M10" s="103" t="s">
        <v>269</v>
      </c>
      <c r="N10" s="104">
        <v>0.60000002384185791</v>
      </c>
      <c r="O10" t="s">
        <v>17</v>
      </c>
      <c r="P10">
        <v>27</v>
      </c>
      <c r="Q10" s="67">
        <f t="shared" si="0"/>
        <v>0</v>
      </c>
      <c r="R10" s="67">
        <f t="shared" si="1"/>
        <v>0.15000003576278687</v>
      </c>
      <c r="S10">
        <v>0</v>
      </c>
      <c r="T10">
        <v>117</v>
      </c>
      <c r="U10">
        <v>18</v>
      </c>
      <c r="V10">
        <f t="shared" si="2"/>
        <v>135</v>
      </c>
      <c r="W10" s="67">
        <f t="shared" si="3"/>
        <v>0.8666666666666667</v>
      </c>
      <c r="X10" s="67">
        <f t="shared" si="4"/>
        <v>0.13333333333333333</v>
      </c>
      <c r="Y10" s="67">
        <f t="shared" si="5"/>
        <v>0</v>
      </c>
      <c r="Z10">
        <v>1</v>
      </c>
    </row>
    <row r="11" spans="1:26" x14ac:dyDescent="0.25">
      <c r="A11" t="s">
        <v>139</v>
      </c>
      <c r="B11" t="s">
        <v>140</v>
      </c>
      <c r="C11" s="101">
        <v>13</v>
      </c>
      <c r="D11" s="103" t="s">
        <v>320</v>
      </c>
      <c r="E11" s="104" t="e">
        <v>#VALUE!</v>
      </c>
      <c r="F11" s="101" t="s">
        <v>433</v>
      </c>
      <c r="G11" s="103" t="s">
        <v>346</v>
      </c>
      <c r="H11" s="104" t="e">
        <v>#VALUE!</v>
      </c>
      <c r="I11" s="101" t="s">
        <v>1110</v>
      </c>
      <c r="J11" s="103" t="s">
        <v>1110</v>
      </c>
      <c r="K11" s="104" t="s">
        <v>1110</v>
      </c>
      <c r="L11" s="101" t="s">
        <v>1110</v>
      </c>
      <c r="M11" s="103" t="s">
        <v>1110</v>
      </c>
      <c r="N11" s="104" t="s">
        <v>1110</v>
      </c>
      <c r="O11" t="s">
        <v>139</v>
      </c>
      <c r="P11" s="104" t="e">
        <v>#VALUE!</v>
      </c>
      <c r="Q11" s="67" t="e">
        <f t="shared" si="0"/>
        <v>#VALUE!</v>
      </c>
      <c r="R11" s="67" t="e">
        <f t="shared" si="1"/>
        <v>#VALUE!</v>
      </c>
      <c r="S11">
        <v>0</v>
      </c>
      <c r="T11">
        <v>58</v>
      </c>
      <c r="U11">
        <v>13</v>
      </c>
      <c r="V11">
        <f t="shared" si="2"/>
        <v>71</v>
      </c>
      <c r="W11" s="67">
        <f t="shared" si="3"/>
        <v>0.81690140845070425</v>
      </c>
      <c r="X11" s="67">
        <f t="shared" si="4"/>
        <v>0.18309859154929578</v>
      </c>
      <c r="Y11" s="67">
        <f t="shared" si="5"/>
        <v>0</v>
      </c>
      <c r="Z11">
        <v>1</v>
      </c>
    </row>
    <row r="12" spans="1:26" x14ac:dyDescent="0.25">
      <c r="A12" t="s">
        <v>51</v>
      </c>
      <c r="B12" t="s">
        <v>52</v>
      </c>
      <c r="C12" s="101">
        <v>95</v>
      </c>
      <c r="D12" s="103" t="s">
        <v>292</v>
      </c>
      <c r="E12" s="104">
        <v>0.51999998092651367</v>
      </c>
      <c r="F12" s="101">
        <v>25</v>
      </c>
      <c r="G12" s="103" t="s">
        <v>298</v>
      </c>
      <c r="H12" s="104">
        <v>0.5</v>
      </c>
      <c r="I12" s="103">
        <v>15</v>
      </c>
      <c r="J12" s="103" t="s">
        <v>893</v>
      </c>
      <c r="K12" s="104">
        <v>0.52999997138977051</v>
      </c>
      <c r="L12" s="103">
        <v>19</v>
      </c>
      <c r="M12" s="103" t="s">
        <v>445</v>
      </c>
      <c r="N12" s="104">
        <v>0.5</v>
      </c>
      <c r="O12" t="s">
        <v>51</v>
      </c>
      <c r="P12">
        <v>42</v>
      </c>
      <c r="Q12" s="67">
        <f t="shared" si="0"/>
        <v>1.9999980926513672E-2</v>
      </c>
      <c r="R12" s="67">
        <f t="shared" si="1"/>
        <v>0</v>
      </c>
      <c r="S12">
        <v>420</v>
      </c>
      <c r="T12">
        <v>218</v>
      </c>
      <c r="U12">
        <v>32</v>
      </c>
      <c r="V12">
        <f t="shared" si="2"/>
        <v>670</v>
      </c>
      <c r="W12" s="67">
        <f t="shared" si="3"/>
        <v>0.32537313432835818</v>
      </c>
      <c r="X12" s="67">
        <f t="shared" si="4"/>
        <v>4.7761194029850747E-2</v>
      </c>
      <c r="Y12" s="67">
        <f t="shared" si="5"/>
        <v>0.62686567164179108</v>
      </c>
      <c r="Z12">
        <v>1</v>
      </c>
    </row>
    <row r="13" spans="1:26" x14ac:dyDescent="0.25">
      <c r="A13" t="s">
        <v>3</v>
      </c>
      <c r="B13" t="s">
        <v>4</v>
      </c>
      <c r="C13" s="101">
        <v>18</v>
      </c>
      <c r="D13" s="103" t="s">
        <v>1166</v>
      </c>
      <c r="E13" s="104">
        <v>0.43999999761581421</v>
      </c>
      <c r="F13" s="101">
        <v>29</v>
      </c>
      <c r="G13" s="103" t="s">
        <v>1167</v>
      </c>
      <c r="H13" s="104">
        <v>0.51999998092651367</v>
      </c>
      <c r="I13" s="101" t="s">
        <v>433</v>
      </c>
      <c r="J13" s="103" t="s">
        <v>346</v>
      </c>
      <c r="K13" s="104" t="s">
        <v>346</v>
      </c>
      <c r="L13" s="103">
        <v>13</v>
      </c>
      <c r="M13" s="103" t="s">
        <v>890</v>
      </c>
      <c r="N13" s="104">
        <v>0.46000000834465027</v>
      </c>
      <c r="O13" t="s">
        <v>3</v>
      </c>
      <c r="P13">
        <v>40</v>
      </c>
      <c r="Q13" s="67">
        <f t="shared" si="0"/>
        <v>0</v>
      </c>
      <c r="R13" s="67">
        <f t="shared" si="1"/>
        <v>7.9999983310699463E-2</v>
      </c>
      <c r="S13">
        <v>46</v>
      </c>
      <c r="T13">
        <v>134</v>
      </c>
      <c r="U13">
        <v>6</v>
      </c>
      <c r="V13">
        <f t="shared" si="2"/>
        <v>186</v>
      </c>
      <c r="W13" s="67">
        <f t="shared" si="3"/>
        <v>0.72043010752688175</v>
      </c>
      <c r="X13" s="67">
        <f t="shared" si="4"/>
        <v>3.2258064516129031E-2</v>
      </c>
      <c r="Y13" s="67">
        <f t="shared" si="5"/>
        <v>0.24731182795698925</v>
      </c>
      <c r="Z13">
        <v>1</v>
      </c>
    </row>
    <row r="14" spans="1:26" x14ac:dyDescent="0.25">
      <c r="A14" t="s">
        <v>69</v>
      </c>
      <c r="B14" t="s">
        <v>70</v>
      </c>
      <c r="C14" s="101">
        <v>85</v>
      </c>
      <c r="D14" s="103" t="s">
        <v>298</v>
      </c>
      <c r="E14" s="104">
        <v>0.49000000953674316</v>
      </c>
      <c r="F14" s="101">
        <v>82</v>
      </c>
      <c r="G14" s="103" t="s">
        <v>277</v>
      </c>
      <c r="H14" s="104">
        <v>0.56999999284744263</v>
      </c>
      <c r="I14" s="103">
        <v>46</v>
      </c>
      <c r="J14" s="103" t="s">
        <v>242</v>
      </c>
      <c r="K14" s="104">
        <v>0.38999998569488525</v>
      </c>
      <c r="L14" s="103">
        <v>50</v>
      </c>
      <c r="M14" s="103" t="s">
        <v>277</v>
      </c>
      <c r="N14" s="104">
        <v>0.54000002145767212</v>
      </c>
      <c r="O14" t="s">
        <v>69</v>
      </c>
      <c r="P14">
        <v>34</v>
      </c>
      <c r="Q14" s="67">
        <f t="shared" si="0"/>
        <v>0</v>
      </c>
      <c r="R14" s="67">
        <f t="shared" si="1"/>
        <v>7.9999983310699463E-2</v>
      </c>
      <c r="S14">
        <v>273</v>
      </c>
      <c r="T14">
        <v>198</v>
      </c>
      <c r="U14">
        <v>48</v>
      </c>
      <c r="V14">
        <f t="shared" si="2"/>
        <v>519</v>
      </c>
      <c r="W14" s="67">
        <f t="shared" si="3"/>
        <v>0.38150289017341038</v>
      </c>
      <c r="X14" s="67">
        <f t="shared" si="4"/>
        <v>9.2485549132947972E-2</v>
      </c>
      <c r="Y14" s="67">
        <f t="shared" si="5"/>
        <v>0.52601156069364163</v>
      </c>
      <c r="Z14">
        <v>1</v>
      </c>
    </row>
    <row r="15" spans="1:26" x14ac:dyDescent="0.25">
      <c r="A15" t="s">
        <v>90</v>
      </c>
      <c r="B15" t="s">
        <v>419</v>
      </c>
      <c r="C15" s="101">
        <v>11</v>
      </c>
      <c r="D15" s="103" t="s">
        <v>1030</v>
      </c>
      <c r="E15" s="104">
        <v>0.27000001072883606</v>
      </c>
      <c r="F15" s="101">
        <v>10</v>
      </c>
      <c r="G15" s="103" t="s">
        <v>1178</v>
      </c>
      <c r="H15" s="104">
        <v>0.30000001192092896</v>
      </c>
      <c r="I15" s="103">
        <v>11</v>
      </c>
      <c r="J15" s="103" t="s">
        <v>1030</v>
      </c>
      <c r="K15" s="104">
        <v>0.27000001072883606</v>
      </c>
      <c r="L15" s="101" t="s">
        <v>433</v>
      </c>
      <c r="M15" s="103" t="s">
        <v>346</v>
      </c>
      <c r="N15" s="104" t="s">
        <v>346</v>
      </c>
      <c r="O15" t="s">
        <v>90</v>
      </c>
      <c r="P15">
        <v>58</v>
      </c>
      <c r="Q15" s="67">
        <f t="shared" si="0"/>
        <v>0</v>
      </c>
      <c r="R15" s="67">
        <f t="shared" si="1"/>
        <v>3.0000001192092896E-2</v>
      </c>
      <c r="S15">
        <v>0</v>
      </c>
      <c r="T15">
        <v>68</v>
      </c>
      <c r="U15">
        <v>20</v>
      </c>
      <c r="V15">
        <f t="shared" si="2"/>
        <v>88</v>
      </c>
      <c r="W15" s="67">
        <f t="shared" si="3"/>
        <v>0.77272727272727271</v>
      </c>
      <c r="X15" s="67">
        <f t="shared" si="4"/>
        <v>0.22727272727272727</v>
      </c>
      <c r="Y15" s="67">
        <f t="shared" si="5"/>
        <v>0</v>
      </c>
      <c r="Z15">
        <v>1</v>
      </c>
    </row>
    <row r="16" spans="1:26" x14ac:dyDescent="0.25">
      <c r="A16" t="s">
        <v>135</v>
      </c>
      <c r="B16" t="s">
        <v>136</v>
      </c>
      <c r="C16" s="101" t="s">
        <v>433</v>
      </c>
      <c r="D16" s="103" t="s">
        <v>346</v>
      </c>
      <c r="E16" s="104" t="e">
        <v>#VALUE!</v>
      </c>
      <c r="F16" s="101" t="s">
        <v>433</v>
      </c>
      <c r="G16" s="103" t="s">
        <v>346</v>
      </c>
      <c r="H16" s="104" t="e">
        <v>#VALUE!</v>
      </c>
      <c r="I16" s="101" t="s">
        <v>433</v>
      </c>
      <c r="J16" s="103" t="s">
        <v>346</v>
      </c>
      <c r="K16" s="104" t="s">
        <v>346</v>
      </c>
      <c r="L16" s="101" t="s">
        <v>433</v>
      </c>
      <c r="M16" s="103" t="s">
        <v>346</v>
      </c>
      <c r="N16" s="104" t="s">
        <v>346</v>
      </c>
      <c r="O16" t="s">
        <v>135</v>
      </c>
      <c r="P16" s="104" t="e">
        <v>#VALUE!</v>
      </c>
      <c r="Q16" s="67" t="e">
        <f t="shared" si="0"/>
        <v>#VALUE!</v>
      </c>
      <c r="R16" s="67" t="e">
        <f t="shared" si="1"/>
        <v>#VALUE!</v>
      </c>
      <c r="S16">
        <v>11</v>
      </c>
      <c r="T16">
        <v>23</v>
      </c>
      <c r="U16">
        <v>8</v>
      </c>
      <c r="V16">
        <f t="shared" si="2"/>
        <v>42</v>
      </c>
      <c r="W16" s="67">
        <f t="shared" si="3"/>
        <v>0.54761904761904767</v>
      </c>
      <c r="X16" s="67">
        <f t="shared" si="4"/>
        <v>0.19047619047619047</v>
      </c>
      <c r="Y16" s="67">
        <f t="shared" si="5"/>
        <v>0.26190476190476192</v>
      </c>
      <c r="Z16">
        <v>1</v>
      </c>
    </row>
    <row r="17" spans="1:26" x14ac:dyDescent="0.25">
      <c r="A17" t="s">
        <v>123</v>
      </c>
      <c r="B17" t="s">
        <v>124</v>
      </c>
      <c r="C17" s="101">
        <v>31</v>
      </c>
      <c r="D17" s="103" t="s">
        <v>1033</v>
      </c>
      <c r="E17" s="104">
        <v>0.55000001192092896</v>
      </c>
      <c r="F17" s="101">
        <v>25</v>
      </c>
      <c r="G17" s="103" t="s">
        <v>1036</v>
      </c>
      <c r="H17" s="104">
        <v>0.72000002861022949</v>
      </c>
      <c r="I17" s="101" t="s">
        <v>433</v>
      </c>
      <c r="J17" s="103" t="s">
        <v>346</v>
      </c>
      <c r="K17" s="104" t="s">
        <v>346</v>
      </c>
      <c r="L17" s="101" t="s">
        <v>433</v>
      </c>
      <c r="M17" s="103" t="s">
        <v>346</v>
      </c>
      <c r="N17" s="104" t="s">
        <v>346</v>
      </c>
      <c r="O17" t="s">
        <v>123</v>
      </c>
      <c r="P17">
        <v>10</v>
      </c>
      <c r="Q17" s="67">
        <f t="shared" si="0"/>
        <v>0</v>
      </c>
      <c r="R17" s="67">
        <f t="shared" si="1"/>
        <v>0.17000001668930054</v>
      </c>
      <c r="S17">
        <v>112</v>
      </c>
      <c r="T17">
        <v>22</v>
      </c>
      <c r="U17">
        <v>52</v>
      </c>
      <c r="V17">
        <f t="shared" si="2"/>
        <v>186</v>
      </c>
      <c r="W17" s="67">
        <f t="shared" si="3"/>
        <v>0.11827956989247312</v>
      </c>
      <c r="X17" s="67">
        <f t="shared" si="4"/>
        <v>0.27956989247311825</v>
      </c>
      <c r="Y17" s="67">
        <f t="shared" si="5"/>
        <v>0.60215053763440862</v>
      </c>
      <c r="Z17">
        <v>1</v>
      </c>
    </row>
    <row r="18" spans="1:26" x14ac:dyDescent="0.25">
      <c r="A18" t="s">
        <v>149</v>
      </c>
      <c r="B18" t="s">
        <v>150</v>
      </c>
      <c r="C18" s="101">
        <v>71</v>
      </c>
      <c r="D18" s="103" t="s">
        <v>222</v>
      </c>
      <c r="E18" s="104">
        <v>0.6600000262260437</v>
      </c>
      <c r="F18" s="101">
        <v>99</v>
      </c>
      <c r="G18" s="103" t="s">
        <v>299</v>
      </c>
      <c r="H18" s="104">
        <v>0.74000000953674316</v>
      </c>
      <c r="I18" s="103">
        <v>23</v>
      </c>
      <c r="J18" s="103" t="s">
        <v>211</v>
      </c>
      <c r="K18" s="104">
        <v>0.74000000953674316</v>
      </c>
      <c r="L18" s="103">
        <v>36</v>
      </c>
      <c r="M18" s="103" t="s">
        <v>299</v>
      </c>
      <c r="N18" s="104">
        <v>0.75</v>
      </c>
      <c r="O18" t="s">
        <v>149</v>
      </c>
      <c r="P18">
        <v>7</v>
      </c>
      <c r="Q18" s="67">
        <f t="shared" si="0"/>
        <v>0</v>
      </c>
      <c r="R18" s="67">
        <f t="shared" si="1"/>
        <v>7.9999983310699463E-2</v>
      </c>
      <c r="S18">
        <v>625</v>
      </c>
      <c r="T18">
        <v>200</v>
      </c>
      <c r="U18">
        <v>107</v>
      </c>
      <c r="V18">
        <f t="shared" si="2"/>
        <v>932</v>
      </c>
      <c r="W18" s="67">
        <f t="shared" si="3"/>
        <v>0.21459227467811159</v>
      </c>
      <c r="X18" s="67">
        <f t="shared" si="4"/>
        <v>0.1148068669527897</v>
      </c>
      <c r="Y18" s="67">
        <f t="shared" si="5"/>
        <v>0.67060085836909866</v>
      </c>
      <c r="Z18">
        <v>1</v>
      </c>
    </row>
    <row r="19" spans="1:26" x14ac:dyDescent="0.25">
      <c r="A19" t="s">
        <v>37</v>
      </c>
      <c r="B19" t="s">
        <v>198</v>
      </c>
      <c r="C19" s="101">
        <v>33</v>
      </c>
      <c r="D19" s="103" t="s">
        <v>232</v>
      </c>
      <c r="E19" s="104">
        <v>0.36000001430511475</v>
      </c>
      <c r="F19" s="101">
        <v>32</v>
      </c>
      <c r="G19" s="103" t="s">
        <v>328</v>
      </c>
      <c r="H19" s="104">
        <v>0.4699999988079071</v>
      </c>
      <c r="I19" s="103">
        <v>18</v>
      </c>
      <c r="J19" s="103" t="s">
        <v>1129</v>
      </c>
      <c r="K19" s="104">
        <v>0.5</v>
      </c>
      <c r="L19" s="103">
        <v>20</v>
      </c>
      <c r="M19" s="103" t="s">
        <v>328</v>
      </c>
      <c r="N19" s="104">
        <v>0.44999998807907104</v>
      </c>
      <c r="O19" t="s">
        <v>37</v>
      </c>
      <c r="P19">
        <v>45</v>
      </c>
      <c r="Q19" s="67">
        <f t="shared" si="0"/>
        <v>0</v>
      </c>
      <c r="R19" s="67">
        <f t="shared" si="1"/>
        <v>0.10999998450279236</v>
      </c>
      <c r="S19">
        <v>170</v>
      </c>
      <c r="T19">
        <v>152</v>
      </c>
      <c r="U19">
        <v>57</v>
      </c>
      <c r="V19">
        <f t="shared" si="2"/>
        <v>379</v>
      </c>
      <c r="W19" s="67">
        <f t="shared" si="3"/>
        <v>0.40105540897097625</v>
      </c>
      <c r="X19" s="67">
        <f t="shared" si="4"/>
        <v>0.15039577836411611</v>
      </c>
      <c r="Y19" s="67">
        <f t="shared" si="5"/>
        <v>0.44854881266490765</v>
      </c>
      <c r="Z19">
        <v>1</v>
      </c>
    </row>
    <row r="20" spans="1:26" x14ac:dyDescent="0.25">
      <c r="A20" t="s">
        <v>38</v>
      </c>
      <c r="B20" t="s">
        <v>39</v>
      </c>
      <c r="C20" s="101">
        <v>88</v>
      </c>
      <c r="D20" s="103" t="s">
        <v>292</v>
      </c>
      <c r="E20" s="104">
        <v>0.51999998092651367</v>
      </c>
      <c r="F20" s="101">
        <v>102</v>
      </c>
      <c r="G20" s="103" t="s">
        <v>225</v>
      </c>
      <c r="H20" s="104">
        <v>0.62000000476837158</v>
      </c>
      <c r="I20" s="103">
        <v>41</v>
      </c>
      <c r="J20" s="103" t="s">
        <v>216</v>
      </c>
      <c r="K20" s="104">
        <v>0.43999999761581421</v>
      </c>
      <c r="L20" s="103">
        <v>57</v>
      </c>
      <c r="M20" s="103" t="s">
        <v>225</v>
      </c>
      <c r="N20" s="104">
        <v>0.61000001430511475</v>
      </c>
      <c r="O20" t="s">
        <v>38</v>
      </c>
      <c r="P20">
        <v>24</v>
      </c>
      <c r="Q20" s="67">
        <f t="shared" si="0"/>
        <v>0</v>
      </c>
      <c r="R20" s="67">
        <f t="shared" si="1"/>
        <v>0.10000002384185791</v>
      </c>
      <c r="S20">
        <v>298</v>
      </c>
      <c r="T20">
        <v>271</v>
      </c>
      <c r="U20">
        <v>57</v>
      </c>
      <c r="V20">
        <f t="shared" si="2"/>
        <v>626</v>
      </c>
      <c r="W20" s="67">
        <f t="shared" si="3"/>
        <v>0.43290734824281152</v>
      </c>
      <c r="X20" s="67">
        <f t="shared" si="4"/>
        <v>9.1054313099041537E-2</v>
      </c>
      <c r="Y20" s="67">
        <f t="shared" si="5"/>
        <v>0.47603833865814699</v>
      </c>
      <c r="Z20">
        <v>1</v>
      </c>
    </row>
    <row r="21" spans="1:26" x14ac:dyDescent="0.25">
      <c r="A21" t="s">
        <v>100</v>
      </c>
      <c r="B21" t="s">
        <v>101</v>
      </c>
      <c r="C21" s="101" t="s">
        <v>433</v>
      </c>
      <c r="D21" s="103" t="s">
        <v>346</v>
      </c>
      <c r="E21" s="104" t="e">
        <v>#VALUE!</v>
      </c>
      <c r="F21" s="101" t="s">
        <v>433</v>
      </c>
      <c r="G21" s="103" t="s">
        <v>346</v>
      </c>
      <c r="H21" s="104" t="e">
        <v>#VALUE!</v>
      </c>
      <c r="I21" s="101" t="s">
        <v>1110</v>
      </c>
      <c r="J21" s="103" t="s">
        <v>1110</v>
      </c>
      <c r="K21" s="104" t="s">
        <v>1110</v>
      </c>
      <c r="L21" s="101" t="s">
        <v>1110</v>
      </c>
      <c r="M21" s="103" t="s">
        <v>1110</v>
      </c>
      <c r="N21" s="104" t="s">
        <v>1110</v>
      </c>
      <c r="O21" t="s">
        <v>100</v>
      </c>
      <c r="P21" s="104" t="e">
        <v>#VALUE!</v>
      </c>
      <c r="Q21" s="67" t="e">
        <f t="shared" si="0"/>
        <v>#VALUE!</v>
      </c>
      <c r="R21" s="67" t="e">
        <f t="shared" si="1"/>
        <v>#VALUE!</v>
      </c>
      <c r="S21">
        <v>62</v>
      </c>
      <c r="T21">
        <v>0</v>
      </c>
      <c r="U21">
        <v>0</v>
      </c>
      <c r="V21">
        <f t="shared" si="2"/>
        <v>62</v>
      </c>
      <c r="W21" s="67">
        <f t="shared" si="3"/>
        <v>0</v>
      </c>
      <c r="X21" s="67">
        <f t="shared" si="4"/>
        <v>0</v>
      </c>
      <c r="Y21" s="67">
        <f t="shared" si="5"/>
        <v>1</v>
      </c>
      <c r="Z21">
        <v>0</v>
      </c>
    </row>
    <row r="22" spans="1:26" x14ac:dyDescent="0.25">
      <c r="A22" t="s">
        <v>112</v>
      </c>
      <c r="B22" t="s">
        <v>113</v>
      </c>
      <c r="C22" s="101">
        <v>30</v>
      </c>
      <c r="D22" s="103" t="s">
        <v>962</v>
      </c>
      <c r="E22" s="104">
        <v>0.62999999523162842</v>
      </c>
      <c r="F22" s="101">
        <v>50</v>
      </c>
      <c r="G22" s="103" t="s">
        <v>220</v>
      </c>
      <c r="H22" s="104">
        <v>0.75999999046325684</v>
      </c>
      <c r="I22" s="103">
        <v>17</v>
      </c>
      <c r="J22" s="103" t="s">
        <v>962</v>
      </c>
      <c r="K22" s="104">
        <v>0.64999997615814209</v>
      </c>
      <c r="L22" s="103">
        <v>24</v>
      </c>
      <c r="M22" s="103" t="s">
        <v>221</v>
      </c>
      <c r="N22" s="104">
        <v>0.82999998331069946</v>
      </c>
      <c r="O22" t="s">
        <v>112</v>
      </c>
      <c r="P22">
        <v>3</v>
      </c>
      <c r="Q22" s="67">
        <f t="shared" si="0"/>
        <v>0</v>
      </c>
      <c r="R22" s="67">
        <f t="shared" si="1"/>
        <v>0.12999999523162842</v>
      </c>
      <c r="S22">
        <v>100</v>
      </c>
      <c r="T22">
        <v>120</v>
      </c>
      <c r="U22">
        <v>46</v>
      </c>
      <c r="V22">
        <f t="shared" si="2"/>
        <v>266</v>
      </c>
      <c r="W22" s="67">
        <f t="shared" si="3"/>
        <v>0.45112781954887216</v>
      </c>
      <c r="X22" s="67">
        <f t="shared" si="4"/>
        <v>0.17293233082706766</v>
      </c>
      <c r="Y22" s="67">
        <f t="shared" si="5"/>
        <v>0.37593984962406013</v>
      </c>
      <c r="Z22">
        <v>1</v>
      </c>
    </row>
    <row r="23" spans="1:26" x14ac:dyDescent="0.25">
      <c r="A23" t="s">
        <v>63</v>
      </c>
      <c r="B23" t="s">
        <v>64</v>
      </c>
      <c r="C23" s="101">
        <v>63</v>
      </c>
      <c r="D23" s="103" t="s">
        <v>282</v>
      </c>
      <c r="E23" s="104">
        <v>0.51999998092651367</v>
      </c>
      <c r="F23" s="101">
        <v>51</v>
      </c>
      <c r="G23" s="103" t="s">
        <v>323</v>
      </c>
      <c r="H23" s="104">
        <v>0.49000000953674316</v>
      </c>
      <c r="I23" s="103">
        <v>37</v>
      </c>
      <c r="J23" s="103" t="s">
        <v>216</v>
      </c>
      <c r="K23" s="104">
        <v>0.49000000953674316</v>
      </c>
      <c r="L23" s="103">
        <v>31</v>
      </c>
      <c r="M23" s="103" t="s">
        <v>898</v>
      </c>
      <c r="N23" s="104">
        <v>0.41999998688697815</v>
      </c>
      <c r="O23" t="s">
        <v>63</v>
      </c>
      <c r="P23">
        <v>44</v>
      </c>
      <c r="Q23" s="67">
        <f t="shared" si="0"/>
        <v>2.9999971389770508E-2</v>
      </c>
      <c r="R23" s="67">
        <f t="shared" si="1"/>
        <v>0</v>
      </c>
      <c r="S23">
        <v>210</v>
      </c>
      <c r="T23">
        <v>270</v>
      </c>
      <c r="U23">
        <v>32</v>
      </c>
      <c r="V23">
        <f t="shared" si="2"/>
        <v>512</v>
      </c>
      <c r="W23" s="67">
        <f t="shared" si="3"/>
        <v>0.52734375</v>
      </c>
      <c r="X23" s="67">
        <f t="shared" si="4"/>
        <v>6.25E-2</v>
      </c>
      <c r="Y23" s="67">
        <f t="shared" si="5"/>
        <v>0.41015625</v>
      </c>
      <c r="Z23">
        <v>1</v>
      </c>
    </row>
    <row r="24" spans="1:26" x14ac:dyDescent="0.25">
      <c r="A24" t="s">
        <v>255</v>
      </c>
      <c r="B24" t="s">
        <v>343</v>
      </c>
      <c r="C24" s="101" t="s">
        <v>433</v>
      </c>
      <c r="D24" s="103" t="s">
        <v>346</v>
      </c>
      <c r="E24" s="104" t="e">
        <v>#VALUE!</v>
      </c>
      <c r="F24" s="101" t="s">
        <v>433</v>
      </c>
      <c r="G24" s="103" t="s">
        <v>346</v>
      </c>
      <c r="H24" s="104" t="e">
        <v>#VALUE!</v>
      </c>
      <c r="I24" s="101" t="s">
        <v>1110</v>
      </c>
      <c r="J24" s="103" t="s">
        <v>1110</v>
      </c>
      <c r="K24" s="104" t="s">
        <v>1110</v>
      </c>
      <c r="L24" s="101" t="s">
        <v>1110</v>
      </c>
      <c r="M24" s="103" t="s">
        <v>1110</v>
      </c>
      <c r="N24" s="104" t="s">
        <v>1110</v>
      </c>
      <c r="O24" t="s">
        <v>255</v>
      </c>
      <c r="P24" s="104" t="e">
        <v>#VALUE!</v>
      </c>
      <c r="Q24" s="67" t="e">
        <f t="shared" si="0"/>
        <v>#VALUE!</v>
      </c>
      <c r="R24" s="67" t="e">
        <f t="shared" si="1"/>
        <v>#VALUE!</v>
      </c>
      <c r="S24">
        <v>54</v>
      </c>
      <c r="T24">
        <v>0</v>
      </c>
      <c r="U24">
        <v>0</v>
      </c>
      <c r="V24">
        <f t="shared" si="2"/>
        <v>54</v>
      </c>
      <c r="W24" s="67">
        <f t="shared" si="3"/>
        <v>0</v>
      </c>
      <c r="X24" s="67">
        <f t="shared" si="4"/>
        <v>0</v>
      </c>
      <c r="Y24" s="67">
        <f t="shared" si="5"/>
        <v>1</v>
      </c>
      <c r="Z24">
        <v>0</v>
      </c>
    </row>
    <row r="25" spans="1:26" x14ac:dyDescent="0.25">
      <c r="A25" t="s">
        <v>127</v>
      </c>
      <c r="B25" t="s">
        <v>420</v>
      </c>
      <c r="C25" s="101">
        <v>98</v>
      </c>
      <c r="D25" s="103" t="s">
        <v>299</v>
      </c>
      <c r="E25" s="104">
        <v>0.68000000715255737</v>
      </c>
      <c r="F25" s="101">
        <v>107</v>
      </c>
      <c r="G25" s="103" t="s">
        <v>222</v>
      </c>
      <c r="H25" s="104">
        <v>0.6600000262260437</v>
      </c>
      <c r="I25" s="103">
        <v>23</v>
      </c>
      <c r="J25" s="103" t="s">
        <v>1145</v>
      </c>
      <c r="K25" s="104">
        <v>0.47999998927116394</v>
      </c>
      <c r="L25" s="103">
        <v>43</v>
      </c>
      <c r="M25" s="103" t="s">
        <v>207</v>
      </c>
      <c r="N25" s="104">
        <v>0.68999999761581421</v>
      </c>
      <c r="O25" t="s">
        <v>127</v>
      </c>
      <c r="P25">
        <v>19</v>
      </c>
      <c r="Q25" s="67">
        <f t="shared" si="0"/>
        <v>1.9999980926513672E-2</v>
      </c>
      <c r="R25" s="67">
        <f t="shared" si="1"/>
        <v>0</v>
      </c>
      <c r="S25">
        <v>777</v>
      </c>
      <c r="T25">
        <v>277</v>
      </c>
      <c r="U25">
        <v>3</v>
      </c>
      <c r="V25">
        <f t="shared" si="2"/>
        <v>1057</v>
      </c>
      <c r="W25" s="67">
        <f t="shared" si="3"/>
        <v>0.26206244087038788</v>
      </c>
      <c r="X25" s="67">
        <f t="shared" si="4"/>
        <v>2.8382213812677389E-3</v>
      </c>
      <c r="Y25" s="67">
        <f t="shared" si="5"/>
        <v>0.73509933774834435</v>
      </c>
      <c r="Z25">
        <v>1</v>
      </c>
    </row>
    <row r="26" spans="1:26" x14ac:dyDescent="0.25">
      <c r="A26" t="s">
        <v>153</v>
      </c>
      <c r="B26" t="s">
        <v>154</v>
      </c>
      <c r="C26" s="101">
        <v>86</v>
      </c>
      <c r="D26" s="103" t="s">
        <v>962</v>
      </c>
      <c r="E26" s="104">
        <v>0.62000000476837158</v>
      </c>
      <c r="F26" s="101">
        <v>85</v>
      </c>
      <c r="G26" s="103" t="s">
        <v>1147</v>
      </c>
      <c r="H26" s="104">
        <v>0.60000002384185791</v>
      </c>
      <c r="I26" s="103">
        <v>32</v>
      </c>
      <c r="J26" s="103" t="s">
        <v>247</v>
      </c>
      <c r="K26" s="104">
        <v>0.5</v>
      </c>
      <c r="L26" s="103">
        <v>40</v>
      </c>
      <c r="M26" s="103" t="s">
        <v>860</v>
      </c>
      <c r="N26" s="104">
        <v>0.54000002145767212</v>
      </c>
      <c r="O26" t="s">
        <v>153</v>
      </c>
      <c r="P26">
        <v>28</v>
      </c>
      <c r="Q26" s="67">
        <f t="shared" si="0"/>
        <v>1.9999980926513672E-2</v>
      </c>
      <c r="R26" s="67">
        <f t="shared" si="1"/>
        <v>0</v>
      </c>
      <c r="S26">
        <v>289</v>
      </c>
      <c r="T26">
        <v>191</v>
      </c>
      <c r="U26">
        <v>14</v>
      </c>
      <c r="V26">
        <f t="shared" si="2"/>
        <v>494</v>
      </c>
      <c r="W26" s="67">
        <f t="shared" si="3"/>
        <v>0.38663967611336031</v>
      </c>
      <c r="X26" s="67">
        <f t="shared" si="4"/>
        <v>2.8340080971659919E-2</v>
      </c>
      <c r="Y26" s="67">
        <f t="shared" si="5"/>
        <v>0.58502024291497978</v>
      </c>
      <c r="Z26">
        <v>1</v>
      </c>
    </row>
    <row r="27" spans="1:26" x14ac:dyDescent="0.25">
      <c r="A27" t="s">
        <v>71</v>
      </c>
      <c r="B27" t="s">
        <v>72</v>
      </c>
      <c r="C27" s="101">
        <v>37</v>
      </c>
      <c r="D27" s="103" t="s">
        <v>1175</v>
      </c>
      <c r="E27" s="104">
        <v>0.52999997138977051</v>
      </c>
      <c r="F27" s="101">
        <v>20</v>
      </c>
      <c r="G27" s="103" t="s">
        <v>1176</v>
      </c>
      <c r="H27" s="104">
        <v>0.41999998688697815</v>
      </c>
      <c r="I27" s="103">
        <v>10</v>
      </c>
      <c r="J27" s="103" t="s">
        <v>1136</v>
      </c>
      <c r="K27" s="104">
        <v>0.33000001311302185</v>
      </c>
      <c r="L27" s="103">
        <v>11</v>
      </c>
      <c r="M27" s="103" t="s">
        <v>1137</v>
      </c>
      <c r="N27" s="104">
        <v>0.36000001430511475</v>
      </c>
      <c r="O27" t="s">
        <v>71</v>
      </c>
      <c r="P27">
        <v>50</v>
      </c>
      <c r="Q27" s="67">
        <f t="shared" si="0"/>
        <v>0.10999998450279236</v>
      </c>
      <c r="R27" s="67">
        <f t="shared" si="1"/>
        <v>0</v>
      </c>
      <c r="S27">
        <v>203</v>
      </c>
      <c r="T27">
        <v>147</v>
      </c>
      <c r="U27">
        <v>33</v>
      </c>
      <c r="V27">
        <f t="shared" si="2"/>
        <v>383</v>
      </c>
      <c r="W27" s="67">
        <f t="shared" si="3"/>
        <v>0.3838120104438642</v>
      </c>
      <c r="X27" s="67">
        <f t="shared" si="4"/>
        <v>8.6161879895561358E-2</v>
      </c>
      <c r="Y27" s="67">
        <f t="shared" si="5"/>
        <v>0.5300261096605744</v>
      </c>
      <c r="Z27">
        <v>1</v>
      </c>
    </row>
    <row r="28" spans="1:26" x14ac:dyDescent="0.25">
      <c r="A28" t="s">
        <v>147</v>
      </c>
      <c r="B28" t="s">
        <v>148</v>
      </c>
      <c r="C28" s="101">
        <v>196</v>
      </c>
      <c r="D28" s="103" t="s">
        <v>205</v>
      </c>
      <c r="E28" s="104">
        <v>0.55000001192092896</v>
      </c>
      <c r="F28" s="101">
        <v>166</v>
      </c>
      <c r="G28" s="103" t="s">
        <v>205</v>
      </c>
      <c r="H28" s="104">
        <v>0.54000002145767212</v>
      </c>
      <c r="I28" s="103">
        <v>41</v>
      </c>
      <c r="J28" s="103" t="s">
        <v>1132</v>
      </c>
      <c r="K28" s="104">
        <v>0.56000000238418579</v>
      </c>
      <c r="L28" s="103">
        <v>45</v>
      </c>
      <c r="M28" s="103" t="s">
        <v>1144</v>
      </c>
      <c r="N28" s="104">
        <v>0.43999999761581421</v>
      </c>
      <c r="O28" t="s">
        <v>147</v>
      </c>
      <c r="P28">
        <v>38</v>
      </c>
      <c r="Q28" s="67">
        <f t="shared" si="0"/>
        <v>9.9999904632568359E-3</v>
      </c>
      <c r="R28" s="67">
        <f t="shared" si="1"/>
        <v>0</v>
      </c>
      <c r="S28">
        <v>698</v>
      </c>
      <c r="T28">
        <v>268</v>
      </c>
      <c r="U28">
        <v>133</v>
      </c>
      <c r="V28">
        <f t="shared" si="2"/>
        <v>1099</v>
      </c>
      <c r="W28" s="67">
        <f t="shared" si="3"/>
        <v>0.24385805277525022</v>
      </c>
      <c r="X28" s="67">
        <f t="shared" si="4"/>
        <v>0.12101910828025478</v>
      </c>
      <c r="Y28" s="67">
        <f t="shared" si="5"/>
        <v>0.63512283894449495</v>
      </c>
      <c r="Z28">
        <v>1</v>
      </c>
    </row>
    <row r="29" spans="1:26" x14ac:dyDescent="0.25">
      <c r="A29" t="s">
        <v>102</v>
      </c>
      <c r="B29" t="s">
        <v>103</v>
      </c>
      <c r="C29" s="101">
        <v>49</v>
      </c>
      <c r="D29" s="103" t="s">
        <v>435</v>
      </c>
      <c r="E29" s="104">
        <v>0.31000000238418579</v>
      </c>
      <c r="F29" s="101">
        <v>22</v>
      </c>
      <c r="G29" s="103" t="s">
        <v>218</v>
      </c>
      <c r="H29" s="104">
        <v>0.31999999284744263</v>
      </c>
      <c r="I29" s="103">
        <v>34</v>
      </c>
      <c r="J29" s="103" t="s">
        <v>448</v>
      </c>
      <c r="K29" s="104">
        <v>0.31999999284744263</v>
      </c>
      <c r="L29" s="103">
        <v>21</v>
      </c>
      <c r="M29" s="103" t="s">
        <v>218</v>
      </c>
      <c r="N29" s="104">
        <v>0.33000001311302185</v>
      </c>
      <c r="O29" t="s">
        <v>102</v>
      </c>
      <c r="P29">
        <v>57</v>
      </c>
      <c r="Q29" s="67">
        <f t="shared" si="0"/>
        <v>0</v>
      </c>
      <c r="R29" s="67">
        <f t="shared" si="1"/>
        <v>9.9999904632568359E-3</v>
      </c>
      <c r="S29">
        <v>38</v>
      </c>
      <c r="T29">
        <v>153</v>
      </c>
      <c r="U29">
        <v>32</v>
      </c>
      <c r="V29">
        <f t="shared" si="2"/>
        <v>223</v>
      </c>
      <c r="W29" s="67">
        <f t="shared" si="3"/>
        <v>0.68609865470852016</v>
      </c>
      <c r="X29" s="67">
        <f t="shared" si="4"/>
        <v>0.14349775784753363</v>
      </c>
      <c r="Y29" s="67">
        <f t="shared" si="5"/>
        <v>0.17040358744394618</v>
      </c>
      <c r="Z29">
        <v>1</v>
      </c>
    </row>
    <row r="30" spans="1:26" x14ac:dyDescent="0.25">
      <c r="A30" t="s">
        <v>44</v>
      </c>
      <c r="B30" t="s">
        <v>421</v>
      </c>
      <c r="C30" s="101">
        <v>72</v>
      </c>
      <c r="D30" s="103" t="s">
        <v>1172</v>
      </c>
      <c r="E30" s="104">
        <v>0.2800000011920929</v>
      </c>
      <c r="F30" s="101">
        <v>96</v>
      </c>
      <c r="G30" s="103" t="s">
        <v>298</v>
      </c>
      <c r="H30" s="104">
        <v>0.43999999761581421</v>
      </c>
      <c r="I30" s="103">
        <v>50</v>
      </c>
      <c r="J30" s="103" t="s">
        <v>232</v>
      </c>
      <c r="K30" s="104">
        <v>0.36000001430511475</v>
      </c>
      <c r="L30" s="103">
        <v>49</v>
      </c>
      <c r="M30" s="103" t="s">
        <v>330</v>
      </c>
      <c r="N30" s="104">
        <v>0.52999997138977051</v>
      </c>
      <c r="O30" t="s">
        <v>44</v>
      </c>
      <c r="P30">
        <v>48</v>
      </c>
      <c r="Q30" s="67">
        <f t="shared" si="0"/>
        <v>0</v>
      </c>
      <c r="R30" s="67">
        <f t="shared" si="1"/>
        <v>0.15999999642372131</v>
      </c>
      <c r="S30">
        <v>206</v>
      </c>
      <c r="T30">
        <v>238</v>
      </c>
      <c r="U30">
        <v>76</v>
      </c>
      <c r="V30">
        <f t="shared" si="2"/>
        <v>520</v>
      </c>
      <c r="W30" s="67">
        <f t="shared" si="3"/>
        <v>0.45769230769230768</v>
      </c>
      <c r="X30" s="67">
        <f t="shared" si="4"/>
        <v>0.14615384615384616</v>
      </c>
      <c r="Y30" s="67">
        <f t="shared" si="5"/>
        <v>0.39615384615384613</v>
      </c>
      <c r="Z30">
        <v>1</v>
      </c>
    </row>
    <row r="31" spans="1:26" x14ac:dyDescent="0.25">
      <c r="A31" t="s">
        <v>13</v>
      </c>
      <c r="B31" t="s">
        <v>422</v>
      </c>
      <c r="C31" s="101">
        <v>56</v>
      </c>
      <c r="D31" s="103" t="s">
        <v>323</v>
      </c>
      <c r="E31" s="104">
        <v>0.5</v>
      </c>
      <c r="F31" s="101">
        <v>50</v>
      </c>
      <c r="G31" s="103" t="s">
        <v>1147</v>
      </c>
      <c r="H31" s="104">
        <v>0.60000002384185791</v>
      </c>
      <c r="I31" s="101" t="s">
        <v>433</v>
      </c>
      <c r="J31" s="103" t="s">
        <v>346</v>
      </c>
      <c r="K31" s="104" t="s">
        <v>346</v>
      </c>
      <c r="L31" s="101" t="s">
        <v>433</v>
      </c>
      <c r="M31" s="103" t="s">
        <v>346</v>
      </c>
      <c r="N31" s="104" t="s">
        <v>346</v>
      </c>
      <c r="O31" t="s">
        <v>13</v>
      </c>
      <c r="P31">
        <v>29</v>
      </c>
      <c r="Q31" s="67">
        <f t="shared" si="0"/>
        <v>0</v>
      </c>
      <c r="R31" s="67">
        <f t="shared" si="1"/>
        <v>0.10000002384185791</v>
      </c>
      <c r="S31">
        <v>292</v>
      </c>
      <c r="T31">
        <v>38</v>
      </c>
      <c r="U31">
        <v>31</v>
      </c>
      <c r="V31">
        <f t="shared" si="2"/>
        <v>361</v>
      </c>
      <c r="W31" s="67">
        <f t="shared" si="3"/>
        <v>0.10526315789473684</v>
      </c>
      <c r="X31" s="67">
        <f t="shared" si="4"/>
        <v>8.5872576177285317E-2</v>
      </c>
      <c r="Y31" s="67">
        <f t="shared" si="5"/>
        <v>0.80886426592797789</v>
      </c>
      <c r="Z31">
        <v>1</v>
      </c>
    </row>
    <row r="32" spans="1:26" x14ac:dyDescent="0.25">
      <c r="A32" t="s">
        <v>9</v>
      </c>
      <c r="B32" t="s">
        <v>10</v>
      </c>
      <c r="C32" s="101">
        <v>101</v>
      </c>
      <c r="D32" s="103" t="s">
        <v>242</v>
      </c>
      <c r="E32" s="104">
        <v>0.44999998807907104</v>
      </c>
      <c r="F32" s="101">
        <v>104</v>
      </c>
      <c r="G32" s="103" t="s">
        <v>329</v>
      </c>
      <c r="H32" s="104">
        <v>0.62999999523162842</v>
      </c>
      <c r="I32" s="103">
        <v>25</v>
      </c>
      <c r="J32" s="103" t="s">
        <v>453</v>
      </c>
      <c r="K32" s="104">
        <v>0.15999999642372131</v>
      </c>
      <c r="L32" s="103">
        <v>30</v>
      </c>
      <c r="M32" s="103" t="s">
        <v>1125</v>
      </c>
      <c r="N32" s="104">
        <v>0.80000001192092896</v>
      </c>
      <c r="O32" t="s">
        <v>9</v>
      </c>
      <c r="P32">
        <v>22</v>
      </c>
      <c r="Q32" s="67">
        <f t="shared" si="0"/>
        <v>0</v>
      </c>
      <c r="R32" s="67">
        <f t="shared" si="1"/>
        <v>0.18000000715255737</v>
      </c>
      <c r="S32">
        <v>445</v>
      </c>
      <c r="T32">
        <v>105</v>
      </c>
      <c r="U32">
        <v>67</v>
      </c>
      <c r="V32">
        <f t="shared" si="2"/>
        <v>617</v>
      </c>
      <c r="W32" s="67">
        <f t="shared" si="3"/>
        <v>0.17017828200972449</v>
      </c>
      <c r="X32" s="67">
        <f t="shared" si="4"/>
        <v>0.10858995137763371</v>
      </c>
      <c r="Y32" s="67">
        <f t="shared" si="5"/>
        <v>0.72123176661264177</v>
      </c>
      <c r="Z32">
        <v>1</v>
      </c>
    </row>
    <row r="33" spans="1:26" x14ac:dyDescent="0.25">
      <c r="A33" t="s">
        <v>92</v>
      </c>
      <c r="B33" t="s">
        <v>93</v>
      </c>
      <c r="C33" s="101" t="s">
        <v>433</v>
      </c>
      <c r="D33" s="103" t="s">
        <v>346</v>
      </c>
      <c r="E33" s="104" t="e">
        <v>#VALUE!</v>
      </c>
      <c r="F33" s="101" t="s">
        <v>433</v>
      </c>
      <c r="G33" s="103" t="s">
        <v>346</v>
      </c>
      <c r="H33" s="104" t="e">
        <v>#VALUE!</v>
      </c>
      <c r="I33" s="101" t="s">
        <v>433</v>
      </c>
      <c r="J33" s="103" t="s">
        <v>346</v>
      </c>
      <c r="K33" s="104" t="s">
        <v>346</v>
      </c>
      <c r="L33" s="101" t="s">
        <v>433</v>
      </c>
      <c r="M33" s="103" t="s">
        <v>346</v>
      </c>
      <c r="N33" s="104" t="s">
        <v>346</v>
      </c>
      <c r="O33" t="s">
        <v>92</v>
      </c>
      <c r="P33" s="104" t="e">
        <v>#VALUE!</v>
      </c>
      <c r="Q33" s="67" t="e">
        <f t="shared" si="0"/>
        <v>#VALUE!</v>
      </c>
      <c r="R33" s="67" t="e">
        <f t="shared" si="1"/>
        <v>#VALUE!</v>
      </c>
      <c r="S33">
        <v>8</v>
      </c>
      <c r="T33">
        <v>39</v>
      </c>
      <c r="U33">
        <v>20</v>
      </c>
      <c r="V33">
        <f t="shared" si="2"/>
        <v>67</v>
      </c>
      <c r="W33" s="67">
        <f t="shared" si="3"/>
        <v>0.58208955223880599</v>
      </c>
      <c r="X33" s="67">
        <f t="shared" si="4"/>
        <v>0.29850746268656714</v>
      </c>
      <c r="Y33" s="67">
        <f t="shared" si="5"/>
        <v>0.11940298507462686</v>
      </c>
      <c r="Z33">
        <v>1</v>
      </c>
    </row>
    <row r="34" spans="1:26" x14ac:dyDescent="0.25">
      <c r="A34" t="s">
        <v>19</v>
      </c>
      <c r="B34" s="15" t="s">
        <v>680</v>
      </c>
      <c r="C34" s="101">
        <v>45</v>
      </c>
      <c r="D34" s="103" t="s">
        <v>1106</v>
      </c>
      <c r="E34" s="104">
        <v>0.37999999523162842</v>
      </c>
      <c r="F34" s="101">
        <v>43</v>
      </c>
      <c r="G34" s="103" t="s">
        <v>329</v>
      </c>
      <c r="H34" s="104">
        <v>0.67000001668930054</v>
      </c>
      <c r="I34" s="103">
        <v>30</v>
      </c>
      <c r="J34" s="103" t="s">
        <v>435</v>
      </c>
      <c r="K34" s="104">
        <v>0.37000000476837158</v>
      </c>
      <c r="L34" s="103">
        <v>26</v>
      </c>
      <c r="M34" s="103" t="s">
        <v>225</v>
      </c>
      <c r="N34" s="104">
        <v>0.68999999761581421</v>
      </c>
      <c r="O34" t="s">
        <v>19</v>
      </c>
      <c r="P34">
        <v>17</v>
      </c>
      <c r="Q34" s="67">
        <f t="shared" si="0"/>
        <v>0</v>
      </c>
      <c r="R34" s="67">
        <f t="shared" si="1"/>
        <v>0.29000002145767212</v>
      </c>
      <c r="S34">
        <v>162</v>
      </c>
      <c r="T34">
        <v>162</v>
      </c>
      <c r="U34">
        <v>59</v>
      </c>
      <c r="V34">
        <f t="shared" si="2"/>
        <v>383</v>
      </c>
      <c r="W34" s="67">
        <f t="shared" si="3"/>
        <v>0.42297650130548303</v>
      </c>
      <c r="X34" s="67">
        <f t="shared" si="4"/>
        <v>0.15404699738903394</v>
      </c>
      <c r="Y34" s="67">
        <f t="shared" si="5"/>
        <v>0.42297650130548303</v>
      </c>
      <c r="Z34">
        <v>1</v>
      </c>
    </row>
    <row r="35" spans="1:26" x14ac:dyDescent="0.25">
      <c r="A35" t="s">
        <v>143</v>
      </c>
      <c r="B35" t="s">
        <v>144</v>
      </c>
      <c r="C35" s="101" t="s">
        <v>433</v>
      </c>
      <c r="D35" s="103" t="s">
        <v>346</v>
      </c>
      <c r="E35" s="104" t="e">
        <v>#VALUE!</v>
      </c>
      <c r="F35" s="101" t="s">
        <v>433</v>
      </c>
      <c r="G35" s="103" t="s">
        <v>346</v>
      </c>
      <c r="H35" s="104" t="e">
        <v>#VALUE!</v>
      </c>
      <c r="I35" s="101" t="s">
        <v>1110</v>
      </c>
      <c r="J35" s="103" t="s">
        <v>1110</v>
      </c>
      <c r="K35" s="104" t="s">
        <v>1110</v>
      </c>
      <c r="L35" s="101" t="s">
        <v>1110</v>
      </c>
      <c r="M35" s="103" t="s">
        <v>1110</v>
      </c>
      <c r="N35" s="104" t="s">
        <v>1110</v>
      </c>
      <c r="O35" t="s">
        <v>143</v>
      </c>
      <c r="P35" s="104" t="e">
        <v>#VALUE!</v>
      </c>
      <c r="Q35" s="67" t="e">
        <f t="shared" si="0"/>
        <v>#VALUE!</v>
      </c>
      <c r="R35" s="67" t="e">
        <f t="shared" si="1"/>
        <v>#VALUE!</v>
      </c>
      <c r="S35">
        <v>88</v>
      </c>
      <c r="T35">
        <v>0</v>
      </c>
      <c r="U35">
        <v>0</v>
      </c>
      <c r="V35">
        <f t="shared" si="2"/>
        <v>88</v>
      </c>
      <c r="W35" s="67">
        <f t="shared" si="3"/>
        <v>0</v>
      </c>
      <c r="X35" s="67">
        <f t="shared" si="4"/>
        <v>0</v>
      </c>
      <c r="Y35" s="67">
        <f t="shared" si="5"/>
        <v>1</v>
      </c>
      <c r="Z35">
        <v>0</v>
      </c>
    </row>
    <row r="36" spans="1:26" x14ac:dyDescent="0.25">
      <c r="A36" t="s">
        <v>253</v>
      </c>
      <c r="B36" t="s">
        <v>1171</v>
      </c>
      <c r="C36" s="101" t="s">
        <v>433</v>
      </c>
      <c r="D36" s="103" t="s">
        <v>346</v>
      </c>
      <c r="E36" s="104" t="e">
        <v>#VALUE!</v>
      </c>
      <c r="F36" s="101" t="s">
        <v>433</v>
      </c>
      <c r="G36" s="103" t="s">
        <v>346</v>
      </c>
      <c r="H36" s="104" t="e">
        <v>#VALUE!</v>
      </c>
      <c r="I36" s="101" t="s">
        <v>1110</v>
      </c>
      <c r="J36" s="103" t="s">
        <v>1110</v>
      </c>
      <c r="K36" s="104" t="s">
        <v>1110</v>
      </c>
      <c r="L36" s="101" t="s">
        <v>1110</v>
      </c>
      <c r="M36" s="103" t="s">
        <v>1110</v>
      </c>
      <c r="N36" s="104" t="s">
        <v>1110</v>
      </c>
      <c r="O36" t="s">
        <v>253</v>
      </c>
      <c r="P36" s="104" t="e">
        <v>#VALUE!</v>
      </c>
      <c r="Q36" s="67" t="e">
        <f t="shared" si="0"/>
        <v>#VALUE!</v>
      </c>
      <c r="R36" s="67" t="e">
        <f t="shared" si="1"/>
        <v>#VALUE!</v>
      </c>
      <c r="S36">
        <v>29</v>
      </c>
      <c r="T36">
        <v>0</v>
      </c>
      <c r="U36">
        <v>0</v>
      </c>
      <c r="V36">
        <f t="shared" si="2"/>
        <v>29</v>
      </c>
      <c r="W36" s="67">
        <f t="shared" si="3"/>
        <v>0</v>
      </c>
      <c r="X36" s="67">
        <f t="shared" si="4"/>
        <v>0</v>
      </c>
      <c r="Y36" s="67">
        <f t="shared" si="5"/>
        <v>1</v>
      </c>
      <c r="Z36">
        <v>0</v>
      </c>
    </row>
    <row r="37" spans="1:26" x14ac:dyDescent="0.25">
      <c r="A37" t="s">
        <v>110</v>
      </c>
      <c r="B37" t="s">
        <v>111</v>
      </c>
      <c r="C37" s="101">
        <v>71</v>
      </c>
      <c r="D37" s="103" t="s">
        <v>323</v>
      </c>
      <c r="E37" s="104">
        <v>0.5</v>
      </c>
      <c r="F37" s="101">
        <v>75</v>
      </c>
      <c r="G37" s="103" t="s">
        <v>205</v>
      </c>
      <c r="H37" s="104">
        <v>0.56000000238418579</v>
      </c>
      <c r="I37" s="103">
        <v>27</v>
      </c>
      <c r="J37" s="103" t="s">
        <v>323</v>
      </c>
      <c r="K37" s="104">
        <v>0.37000000476837158</v>
      </c>
      <c r="L37" s="103">
        <v>30</v>
      </c>
      <c r="M37" s="103" t="s">
        <v>287</v>
      </c>
      <c r="N37" s="104">
        <v>0.5</v>
      </c>
      <c r="O37" t="s">
        <v>110</v>
      </c>
      <c r="P37">
        <v>37</v>
      </c>
      <c r="Q37" s="67">
        <f t="shared" si="0"/>
        <v>0</v>
      </c>
      <c r="R37" s="67">
        <f t="shared" si="1"/>
        <v>6.0000002384185791E-2</v>
      </c>
      <c r="S37">
        <v>395</v>
      </c>
      <c r="T37">
        <v>155</v>
      </c>
      <c r="U37">
        <v>21</v>
      </c>
      <c r="V37">
        <f t="shared" si="2"/>
        <v>571</v>
      </c>
      <c r="W37" s="67">
        <f t="shared" si="3"/>
        <v>0.27145359019264448</v>
      </c>
      <c r="X37" s="67">
        <f t="shared" si="4"/>
        <v>3.6777583187390543E-2</v>
      </c>
      <c r="Y37" s="67">
        <f t="shared" si="5"/>
        <v>0.69176882661996497</v>
      </c>
      <c r="Z37">
        <v>1</v>
      </c>
    </row>
    <row r="38" spans="1:26" x14ac:dyDescent="0.25">
      <c r="A38" t="s">
        <v>155</v>
      </c>
      <c r="B38" t="s">
        <v>156</v>
      </c>
      <c r="C38" s="101" t="s">
        <v>433</v>
      </c>
      <c r="D38" s="103" t="s">
        <v>346</v>
      </c>
      <c r="E38" s="104" t="e">
        <v>#VALUE!</v>
      </c>
      <c r="F38" s="101" t="s">
        <v>433</v>
      </c>
      <c r="G38" s="103" t="s">
        <v>346</v>
      </c>
      <c r="H38" s="104" t="e">
        <v>#VALUE!</v>
      </c>
      <c r="I38" s="101" t="s">
        <v>433</v>
      </c>
      <c r="J38" s="103" t="s">
        <v>346</v>
      </c>
      <c r="K38" s="104" t="s">
        <v>346</v>
      </c>
      <c r="L38" s="101" t="s">
        <v>433</v>
      </c>
      <c r="M38" s="103" t="s">
        <v>346</v>
      </c>
      <c r="N38" s="104" t="s">
        <v>346</v>
      </c>
      <c r="O38" t="s">
        <v>155</v>
      </c>
      <c r="P38" s="104" t="e">
        <v>#VALUE!</v>
      </c>
      <c r="Q38" s="67" t="e">
        <f t="shared" si="0"/>
        <v>#VALUE!</v>
      </c>
      <c r="R38" s="67" t="e">
        <f t="shared" si="1"/>
        <v>#VALUE!</v>
      </c>
      <c r="S38">
        <v>0</v>
      </c>
      <c r="T38">
        <v>10</v>
      </c>
      <c r="U38">
        <v>0</v>
      </c>
      <c r="V38">
        <f t="shared" si="2"/>
        <v>10</v>
      </c>
      <c r="W38" s="67">
        <f t="shared" si="3"/>
        <v>1</v>
      </c>
      <c r="X38" s="67">
        <f t="shared" si="4"/>
        <v>0</v>
      </c>
      <c r="Y38" s="67">
        <f t="shared" si="5"/>
        <v>0</v>
      </c>
      <c r="Z38">
        <v>1</v>
      </c>
    </row>
    <row r="39" spans="1:26" x14ac:dyDescent="0.25">
      <c r="A39" t="s">
        <v>171</v>
      </c>
      <c r="B39" t="s">
        <v>172</v>
      </c>
      <c r="C39" s="101" t="s">
        <v>433</v>
      </c>
      <c r="D39" s="103" t="s">
        <v>346</v>
      </c>
      <c r="E39" s="104" t="e">
        <v>#VALUE!</v>
      </c>
      <c r="F39" s="101" t="s">
        <v>433</v>
      </c>
      <c r="G39" s="103" t="s">
        <v>346</v>
      </c>
      <c r="H39" s="104" t="e">
        <v>#VALUE!</v>
      </c>
      <c r="I39" s="101" t="s">
        <v>1110</v>
      </c>
      <c r="J39" s="103" t="s">
        <v>1110</v>
      </c>
      <c r="K39" s="104" t="s">
        <v>1110</v>
      </c>
      <c r="L39" s="101" t="s">
        <v>1110</v>
      </c>
      <c r="M39" s="103" t="s">
        <v>1110</v>
      </c>
      <c r="N39" s="104" t="s">
        <v>1110</v>
      </c>
      <c r="O39" t="s">
        <v>171</v>
      </c>
      <c r="P39" s="104" t="e">
        <v>#VALUE!</v>
      </c>
      <c r="Q39" s="67" t="e">
        <f t="shared" si="0"/>
        <v>#VALUE!</v>
      </c>
      <c r="R39" s="67" t="e">
        <f t="shared" si="1"/>
        <v>#VALUE!</v>
      </c>
      <c r="S39">
        <v>71</v>
      </c>
      <c r="T39">
        <v>0</v>
      </c>
      <c r="U39">
        <v>0</v>
      </c>
      <c r="V39">
        <f t="shared" si="2"/>
        <v>71</v>
      </c>
      <c r="W39" s="67">
        <f t="shared" si="3"/>
        <v>0</v>
      </c>
      <c r="X39" s="67">
        <f t="shared" si="4"/>
        <v>0</v>
      </c>
      <c r="Y39" s="67">
        <f t="shared" si="5"/>
        <v>1</v>
      </c>
      <c r="Z39">
        <v>0</v>
      </c>
    </row>
    <row r="40" spans="1:26" x14ac:dyDescent="0.25">
      <c r="A40" t="s">
        <v>165</v>
      </c>
      <c r="B40" t="s">
        <v>166</v>
      </c>
      <c r="C40" s="101">
        <v>29</v>
      </c>
      <c r="D40" s="103" t="s">
        <v>1169</v>
      </c>
      <c r="E40" s="104">
        <v>0.68999999761581421</v>
      </c>
      <c r="F40" s="101">
        <v>25</v>
      </c>
      <c r="G40" s="103" t="s">
        <v>1036</v>
      </c>
      <c r="H40" s="104">
        <v>0.68000000715255737</v>
      </c>
      <c r="I40" s="103">
        <v>19</v>
      </c>
      <c r="J40" s="103" t="s">
        <v>1149</v>
      </c>
      <c r="K40" s="104">
        <v>0.57999998331069946</v>
      </c>
      <c r="L40" s="103">
        <v>16</v>
      </c>
      <c r="M40" s="103" t="s">
        <v>269</v>
      </c>
      <c r="N40" s="104">
        <v>0.62999999523162842</v>
      </c>
      <c r="O40" t="s">
        <v>165</v>
      </c>
      <c r="P40">
        <v>13</v>
      </c>
      <c r="Q40" s="67">
        <f t="shared" si="0"/>
        <v>9.9999904632568359E-3</v>
      </c>
      <c r="R40" s="67">
        <f t="shared" si="1"/>
        <v>0</v>
      </c>
      <c r="S40">
        <v>44</v>
      </c>
      <c r="T40">
        <v>64</v>
      </c>
      <c r="U40">
        <v>21</v>
      </c>
      <c r="V40">
        <f t="shared" si="2"/>
        <v>129</v>
      </c>
      <c r="W40" s="67">
        <f t="shared" si="3"/>
        <v>0.49612403100775193</v>
      </c>
      <c r="X40" s="67">
        <f t="shared" si="4"/>
        <v>0.16279069767441862</v>
      </c>
      <c r="Y40" s="67">
        <f t="shared" si="5"/>
        <v>0.34108527131782945</v>
      </c>
      <c r="Z40">
        <v>1</v>
      </c>
    </row>
    <row r="41" spans="1:26" x14ac:dyDescent="0.25">
      <c r="A41" t="s">
        <v>159</v>
      </c>
      <c r="B41" t="s">
        <v>160</v>
      </c>
      <c r="C41" s="101">
        <v>14</v>
      </c>
      <c r="D41" s="103" t="s">
        <v>1130</v>
      </c>
      <c r="E41" s="104">
        <v>0.70999997854232788</v>
      </c>
      <c r="F41" s="101">
        <v>16</v>
      </c>
      <c r="G41" s="103" t="s">
        <v>299</v>
      </c>
      <c r="H41" s="104">
        <v>0.68999999761581421</v>
      </c>
      <c r="I41" s="103">
        <v>14</v>
      </c>
      <c r="J41" s="103" t="s">
        <v>1130</v>
      </c>
      <c r="K41" s="104">
        <v>0.70999997854232788</v>
      </c>
      <c r="L41" s="103">
        <v>15</v>
      </c>
      <c r="M41" s="103" t="s">
        <v>299</v>
      </c>
      <c r="N41" s="104">
        <v>0.67000001668930054</v>
      </c>
      <c r="O41" t="s">
        <v>159</v>
      </c>
      <c r="P41">
        <v>12</v>
      </c>
      <c r="Q41" s="67">
        <f t="shared" si="0"/>
        <v>1.9999980926513672E-2</v>
      </c>
      <c r="R41" s="67">
        <f t="shared" si="1"/>
        <v>0</v>
      </c>
      <c r="S41">
        <v>2</v>
      </c>
      <c r="T41">
        <v>85</v>
      </c>
      <c r="U41">
        <v>10</v>
      </c>
      <c r="V41">
        <f t="shared" si="2"/>
        <v>97</v>
      </c>
      <c r="W41" s="67">
        <f t="shared" si="3"/>
        <v>0.87628865979381443</v>
      </c>
      <c r="X41" s="67">
        <f t="shared" si="4"/>
        <v>0.10309278350515463</v>
      </c>
      <c r="Y41" s="67">
        <f t="shared" si="5"/>
        <v>2.0618556701030927E-2</v>
      </c>
      <c r="Z41">
        <v>1</v>
      </c>
    </row>
    <row r="42" spans="1:26" x14ac:dyDescent="0.25">
      <c r="A42" t="s">
        <v>161</v>
      </c>
      <c r="B42" t="s">
        <v>162</v>
      </c>
      <c r="C42" s="101">
        <v>19</v>
      </c>
      <c r="D42" s="103" t="s">
        <v>268</v>
      </c>
      <c r="E42" s="104">
        <v>0.62999999523162842</v>
      </c>
      <c r="F42" s="101">
        <v>33</v>
      </c>
      <c r="G42" s="103" t="s">
        <v>215</v>
      </c>
      <c r="H42" s="104">
        <v>0.75999999046325684</v>
      </c>
      <c r="I42" s="103">
        <v>19</v>
      </c>
      <c r="J42" s="103" t="s">
        <v>268</v>
      </c>
      <c r="K42" s="104">
        <v>0.62999999523162842</v>
      </c>
      <c r="L42" s="103">
        <v>33</v>
      </c>
      <c r="M42" s="103" t="s">
        <v>215</v>
      </c>
      <c r="N42" s="104">
        <v>0.75999999046325684</v>
      </c>
      <c r="O42" t="s">
        <v>161</v>
      </c>
      <c r="P42">
        <v>4</v>
      </c>
      <c r="Q42" s="67">
        <f t="shared" si="0"/>
        <v>0</v>
      </c>
      <c r="R42" s="67">
        <f t="shared" si="1"/>
        <v>0.12999999523162842</v>
      </c>
      <c r="S42">
        <v>0</v>
      </c>
      <c r="T42">
        <v>134</v>
      </c>
      <c r="U42">
        <v>2</v>
      </c>
      <c r="V42">
        <f t="shared" si="2"/>
        <v>136</v>
      </c>
      <c r="W42" s="67">
        <f t="shared" si="3"/>
        <v>0.98529411764705888</v>
      </c>
      <c r="X42" s="67">
        <f t="shared" si="4"/>
        <v>1.4705882352941176E-2</v>
      </c>
      <c r="Y42" s="67">
        <f t="shared" si="5"/>
        <v>0</v>
      </c>
      <c r="Z42">
        <v>1</v>
      </c>
    </row>
    <row r="43" spans="1:26" x14ac:dyDescent="0.25">
      <c r="A43" t="s">
        <v>163</v>
      </c>
      <c r="B43" t="s">
        <v>164</v>
      </c>
      <c r="C43" s="101" t="s">
        <v>433</v>
      </c>
      <c r="D43" s="103" t="s">
        <v>346</v>
      </c>
      <c r="E43" s="104" t="e">
        <v>#VALUE!</v>
      </c>
      <c r="F43" s="101" t="s">
        <v>433</v>
      </c>
      <c r="G43" s="103" t="s">
        <v>346</v>
      </c>
      <c r="H43" s="104" t="e">
        <v>#VALUE!</v>
      </c>
      <c r="I43" s="101" t="s">
        <v>433</v>
      </c>
      <c r="J43" s="103" t="s">
        <v>346</v>
      </c>
      <c r="K43" s="104" t="s">
        <v>346</v>
      </c>
      <c r="L43" s="101" t="s">
        <v>433</v>
      </c>
      <c r="M43" s="103" t="s">
        <v>346</v>
      </c>
      <c r="N43" s="104" t="s">
        <v>346</v>
      </c>
      <c r="O43" t="s">
        <v>163</v>
      </c>
      <c r="P43" s="104" t="e">
        <v>#VALUE!</v>
      </c>
      <c r="Q43" s="67" t="e">
        <f t="shared" si="0"/>
        <v>#VALUE!</v>
      </c>
      <c r="R43" s="67" t="e">
        <f t="shared" si="1"/>
        <v>#VALUE!</v>
      </c>
      <c r="S43">
        <v>0</v>
      </c>
      <c r="T43">
        <v>69</v>
      </c>
      <c r="U43">
        <v>3</v>
      </c>
      <c r="V43">
        <f t="shared" si="2"/>
        <v>72</v>
      </c>
      <c r="W43" s="67">
        <f t="shared" si="3"/>
        <v>0.95833333333333337</v>
      </c>
      <c r="X43" s="67">
        <f t="shared" si="4"/>
        <v>4.1666666666666664E-2</v>
      </c>
      <c r="Y43" s="67">
        <f t="shared" si="5"/>
        <v>0</v>
      </c>
      <c r="Z43">
        <v>1</v>
      </c>
    </row>
    <row r="44" spans="1:26" x14ac:dyDescent="0.25">
      <c r="A44" t="s">
        <v>167</v>
      </c>
      <c r="B44" t="s">
        <v>168</v>
      </c>
      <c r="C44" s="101">
        <v>10</v>
      </c>
      <c r="D44" s="103" t="s">
        <v>726</v>
      </c>
      <c r="E44" s="104" t="e">
        <v>#VALUE!</v>
      </c>
      <c r="F44" s="101" t="s">
        <v>433</v>
      </c>
      <c r="G44" s="103" t="s">
        <v>346</v>
      </c>
      <c r="H44" s="104" t="e">
        <v>#VALUE!</v>
      </c>
      <c r="I44" s="103">
        <v>10</v>
      </c>
      <c r="J44" s="103" t="s">
        <v>726</v>
      </c>
      <c r="K44" s="104">
        <v>0.60000002384185791</v>
      </c>
      <c r="L44" s="101" t="s">
        <v>433</v>
      </c>
      <c r="M44" s="103" t="s">
        <v>346</v>
      </c>
      <c r="N44" s="104" t="s">
        <v>346</v>
      </c>
      <c r="O44" t="s">
        <v>167</v>
      </c>
      <c r="P44" s="104" t="e">
        <v>#VALUE!</v>
      </c>
      <c r="Q44" s="67" t="e">
        <f t="shared" si="0"/>
        <v>#VALUE!</v>
      </c>
      <c r="R44" s="67" t="e">
        <f t="shared" si="1"/>
        <v>#VALUE!</v>
      </c>
      <c r="S44">
        <v>0</v>
      </c>
      <c r="T44">
        <v>37</v>
      </c>
      <c r="U44">
        <v>8</v>
      </c>
      <c r="V44">
        <f t="shared" si="2"/>
        <v>45</v>
      </c>
      <c r="W44" s="67">
        <f t="shared" si="3"/>
        <v>0.82222222222222219</v>
      </c>
      <c r="X44" s="67">
        <f t="shared" si="4"/>
        <v>0.17777777777777778</v>
      </c>
      <c r="Y44" s="67">
        <f t="shared" si="5"/>
        <v>0</v>
      </c>
      <c r="Z44">
        <v>1</v>
      </c>
    </row>
    <row r="45" spans="1:26" x14ac:dyDescent="0.25">
      <c r="A45" t="s">
        <v>169</v>
      </c>
      <c r="B45" t="s">
        <v>170</v>
      </c>
      <c r="C45" s="101" t="s">
        <v>433</v>
      </c>
      <c r="D45" s="103" t="s">
        <v>346</v>
      </c>
      <c r="E45" s="104" t="e">
        <v>#VALUE!</v>
      </c>
      <c r="F45" s="101" t="s">
        <v>433</v>
      </c>
      <c r="G45" s="103" t="s">
        <v>346</v>
      </c>
      <c r="H45" s="104" t="e">
        <v>#VALUE!</v>
      </c>
      <c r="I45" s="101" t="s">
        <v>433</v>
      </c>
      <c r="J45" s="103" t="s">
        <v>346</v>
      </c>
      <c r="K45" s="104" t="s">
        <v>346</v>
      </c>
      <c r="L45" s="101" t="s">
        <v>433</v>
      </c>
      <c r="M45" s="103" t="s">
        <v>346</v>
      </c>
      <c r="N45" s="104" t="s">
        <v>346</v>
      </c>
      <c r="O45" t="s">
        <v>169</v>
      </c>
      <c r="P45" s="104" t="e">
        <v>#VALUE!</v>
      </c>
      <c r="Q45" s="67" t="e">
        <f t="shared" si="0"/>
        <v>#VALUE!</v>
      </c>
      <c r="R45" s="67" t="e">
        <f t="shared" si="1"/>
        <v>#VALUE!</v>
      </c>
      <c r="S45">
        <v>1</v>
      </c>
      <c r="T45">
        <v>24</v>
      </c>
      <c r="U45">
        <v>5</v>
      </c>
      <c r="V45">
        <f t="shared" si="2"/>
        <v>30</v>
      </c>
      <c r="W45" s="67">
        <f t="shared" si="3"/>
        <v>0.8</v>
      </c>
      <c r="X45" s="67">
        <f t="shared" si="4"/>
        <v>0.16666666666666666</v>
      </c>
      <c r="Y45" s="67">
        <f t="shared" si="5"/>
        <v>3.3333333333333333E-2</v>
      </c>
      <c r="Z45">
        <v>1</v>
      </c>
    </row>
    <row r="46" spans="1:26" x14ac:dyDescent="0.25">
      <c r="A46" t="s">
        <v>80</v>
      </c>
      <c r="B46" t="s">
        <v>81</v>
      </c>
      <c r="C46" s="101">
        <v>29</v>
      </c>
      <c r="D46" s="103" t="s">
        <v>305</v>
      </c>
      <c r="E46" s="104">
        <v>0.75999999046325684</v>
      </c>
      <c r="F46" s="101">
        <v>34</v>
      </c>
      <c r="G46" s="103" t="s">
        <v>207</v>
      </c>
      <c r="H46" s="104">
        <v>0.68000000715255737</v>
      </c>
      <c r="I46" s="103">
        <v>29</v>
      </c>
      <c r="J46" s="103" t="s">
        <v>305</v>
      </c>
      <c r="K46" s="104">
        <v>0.75999999046325684</v>
      </c>
      <c r="L46" s="103">
        <v>32</v>
      </c>
      <c r="M46" s="103" t="s">
        <v>207</v>
      </c>
      <c r="N46" s="104">
        <v>0.68999999761581421</v>
      </c>
      <c r="O46" t="s">
        <v>80</v>
      </c>
      <c r="P46">
        <v>14</v>
      </c>
      <c r="Q46" s="67">
        <f t="shared" si="0"/>
        <v>7.9999983310699463E-2</v>
      </c>
      <c r="R46" s="67">
        <f t="shared" si="1"/>
        <v>0</v>
      </c>
      <c r="S46">
        <v>5</v>
      </c>
      <c r="T46">
        <v>110</v>
      </c>
      <c r="U46">
        <v>24</v>
      </c>
      <c r="V46">
        <f t="shared" si="2"/>
        <v>139</v>
      </c>
      <c r="W46" s="67">
        <f t="shared" si="3"/>
        <v>0.79136690647482011</v>
      </c>
      <c r="X46" s="67">
        <f t="shared" si="4"/>
        <v>0.17266187050359713</v>
      </c>
      <c r="Y46" s="67">
        <f t="shared" si="5"/>
        <v>3.5971223021582732E-2</v>
      </c>
      <c r="Z46">
        <v>1</v>
      </c>
    </row>
    <row r="47" spans="1:26" x14ac:dyDescent="0.25">
      <c r="A47" t="s">
        <v>121</v>
      </c>
      <c r="B47" t="s">
        <v>122</v>
      </c>
      <c r="C47" s="101">
        <v>126</v>
      </c>
      <c r="D47" s="103" t="s">
        <v>277</v>
      </c>
      <c r="E47" s="104">
        <v>0.62000000476837158</v>
      </c>
      <c r="F47" s="101">
        <v>113</v>
      </c>
      <c r="G47" s="103" t="s">
        <v>299</v>
      </c>
      <c r="H47" s="104">
        <v>0.68000000715255737</v>
      </c>
      <c r="I47" s="103">
        <v>42</v>
      </c>
      <c r="J47" s="103" t="s">
        <v>207</v>
      </c>
      <c r="K47" s="104">
        <v>0.68999999761581421</v>
      </c>
      <c r="L47" s="103">
        <v>31</v>
      </c>
      <c r="M47" s="103" t="s">
        <v>1143</v>
      </c>
      <c r="N47" s="104">
        <v>0.61000001430511475</v>
      </c>
      <c r="O47" t="s">
        <v>121</v>
      </c>
      <c r="P47">
        <v>15</v>
      </c>
      <c r="Q47" s="67">
        <f t="shared" si="0"/>
        <v>0</v>
      </c>
      <c r="R47" s="67">
        <f t="shared" si="1"/>
        <v>6.0000002384185791E-2</v>
      </c>
      <c r="S47">
        <v>436</v>
      </c>
      <c r="T47">
        <v>197</v>
      </c>
      <c r="U47">
        <v>112</v>
      </c>
      <c r="V47">
        <f t="shared" si="2"/>
        <v>745</v>
      </c>
      <c r="W47" s="67">
        <f t="shared" si="3"/>
        <v>0.2644295302013423</v>
      </c>
      <c r="X47" s="67">
        <f t="shared" si="4"/>
        <v>0.15033557046979865</v>
      </c>
      <c r="Y47" s="67">
        <f t="shared" si="5"/>
        <v>0.58523489932885908</v>
      </c>
      <c r="Z47">
        <v>1</v>
      </c>
    </row>
    <row r="48" spans="1:26" x14ac:dyDescent="0.25">
      <c r="A48" t="s">
        <v>86</v>
      </c>
      <c r="B48" t="s">
        <v>694</v>
      </c>
      <c r="C48" s="101">
        <v>39</v>
      </c>
      <c r="D48" s="103" t="s">
        <v>290</v>
      </c>
      <c r="E48" s="104">
        <v>0.5899999737739563</v>
      </c>
      <c r="F48" s="101">
        <v>49</v>
      </c>
      <c r="G48" s="103" t="s">
        <v>277</v>
      </c>
      <c r="H48" s="104">
        <v>0.57999998331069946</v>
      </c>
      <c r="I48" s="103">
        <v>10</v>
      </c>
      <c r="J48" s="103" t="s">
        <v>204</v>
      </c>
      <c r="K48" s="104">
        <v>0.69999998807907104</v>
      </c>
      <c r="L48" s="103">
        <v>17</v>
      </c>
      <c r="M48" s="103" t="s">
        <v>329</v>
      </c>
      <c r="N48" s="104">
        <v>0.52999997138977051</v>
      </c>
      <c r="O48" t="s">
        <v>86</v>
      </c>
      <c r="P48">
        <v>33</v>
      </c>
      <c r="Q48" s="67">
        <f t="shared" si="0"/>
        <v>9.9999904632568359E-3</v>
      </c>
      <c r="R48" s="67">
        <f t="shared" si="1"/>
        <v>0</v>
      </c>
      <c r="S48">
        <v>390</v>
      </c>
      <c r="T48">
        <v>129</v>
      </c>
      <c r="U48">
        <v>31</v>
      </c>
      <c r="V48">
        <f t="shared" si="2"/>
        <v>550</v>
      </c>
      <c r="W48" s="67">
        <f t="shared" si="3"/>
        <v>0.23454545454545456</v>
      </c>
      <c r="X48" s="67">
        <f t="shared" si="4"/>
        <v>5.6363636363636366E-2</v>
      </c>
      <c r="Y48" s="67">
        <f t="shared" si="5"/>
        <v>0.70909090909090911</v>
      </c>
      <c r="Z48">
        <v>1</v>
      </c>
    </row>
    <row r="49" spans="1:26" x14ac:dyDescent="0.25">
      <c r="A49" t="s">
        <v>88</v>
      </c>
      <c r="B49" t="s">
        <v>89</v>
      </c>
      <c r="C49" s="101">
        <v>23</v>
      </c>
      <c r="D49" s="103" t="s">
        <v>1140</v>
      </c>
      <c r="E49" s="104">
        <v>0.74000000953674316</v>
      </c>
      <c r="F49" s="101">
        <v>29</v>
      </c>
      <c r="G49" s="103" t="s">
        <v>222</v>
      </c>
      <c r="H49" s="104">
        <v>0.6600000262260437</v>
      </c>
      <c r="I49" s="103">
        <v>23</v>
      </c>
      <c r="J49" s="103" t="s">
        <v>1140</v>
      </c>
      <c r="K49" s="104">
        <v>0.74000000953674316</v>
      </c>
      <c r="L49" s="103">
        <v>27</v>
      </c>
      <c r="M49" s="103" t="s">
        <v>225</v>
      </c>
      <c r="N49" s="104">
        <v>0.62999999523162842</v>
      </c>
      <c r="O49" t="s">
        <v>88</v>
      </c>
      <c r="P49">
        <v>20</v>
      </c>
      <c r="Q49" s="67">
        <f t="shared" si="0"/>
        <v>7.9999983310699463E-2</v>
      </c>
      <c r="R49" s="67">
        <f t="shared" si="1"/>
        <v>0</v>
      </c>
      <c r="S49">
        <v>12</v>
      </c>
      <c r="T49">
        <v>119</v>
      </c>
      <c r="U49">
        <v>18</v>
      </c>
      <c r="V49">
        <f t="shared" si="2"/>
        <v>149</v>
      </c>
      <c r="W49" s="67">
        <f t="shared" si="3"/>
        <v>0.79865771812080533</v>
      </c>
      <c r="X49" s="67">
        <f t="shared" si="4"/>
        <v>0.12080536912751678</v>
      </c>
      <c r="Y49" s="67">
        <f t="shared" si="5"/>
        <v>8.0536912751677847E-2</v>
      </c>
      <c r="Z49">
        <v>1</v>
      </c>
    </row>
    <row r="50" spans="1:26" x14ac:dyDescent="0.25">
      <c r="A50" t="s">
        <v>141</v>
      </c>
      <c r="B50" t="s">
        <v>142</v>
      </c>
      <c r="C50" s="101" t="s">
        <v>433</v>
      </c>
      <c r="D50" s="103" t="s">
        <v>346</v>
      </c>
      <c r="E50" s="104" t="e">
        <v>#VALUE!</v>
      </c>
      <c r="F50" s="101">
        <v>11</v>
      </c>
      <c r="G50" s="103" t="s">
        <v>1148</v>
      </c>
      <c r="H50" s="104" t="e">
        <v>#VALUE!</v>
      </c>
      <c r="I50" s="101" t="s">
        <v>433</v>
      </c>
      <c r="J50" s="103" t="s">
        <v>346</v>
      </c>
      <c r="K50" s="104" t="s">
        <v>346</v>
      </c>
      <c r="L50" s="103">
        <v>11</v>
      </c>
      <c r="M50" s="103" t="s">
        <v>1148</v>
      </c>
      <c r="N50" s="104">
        <v>0.36000001430511475</v>
      </c>
      <c r="O50" t="s">
        <v>141</v>
      </c>
      <c r="P50" s="104" t="e">
        <v>#VALUE!</v>
      </c>
      <c r="Q50" s="67" t="e">
        <f t="shared" si="0"/>
        <v>#VALUE!</v>
      </c>
      <c r="R50" s="67" t="e">
        <f t="shared" si="1"/>
        <v>#VALUE!</v>
      </c>
      <c r="S50">
        <v>0</v>
      </c>
      <c r="T50">
        <v>68</v>
      </c>
      <c r="U50">
        <v>3</v>
      </c>
      <c r="V50">
        <f t="shared" si="2"/>
        <v>71</v>
      </c>
      <c r="W50" s="67">
        <f t="shared" si="3"/>
        <v>0.95774647887323938</v>
      </c>
      <c r="X50" s="67">
        <f t="shared" si="4"/>
        <v>4.2253521126760563E-2</v>
      </c>
      <c r="Y50" s="67">
        <f t="shared" si="5"/>
        <v>0</v>
      </c>
      <c r="Z50">
        <v>1</v>
      </c>
    </row>
    <row r="51" spans="1:26" x14ac:dyDescent="0.25">
      <c r="A51" t="s">
        <v>115</v>
      </c>
      <c r="B51" t="s">
        <v>424</v>
      </c>
      <c r="C51" s="101">
        <v>45</v>
      </c>
      <c r="D51" s="103" t="s">
        <v>225</v>
      </c>
      <c r="E51" s="104">
        <v>0.61000001430511475</v>
      </c>
      <c r="F51" s="101">
        <v>16</v>
      </c>
      <c r="G51" s="103" t="s">
        <v>289</v>
      </c>
      <c r="H51" s="104">
        <v>0.81000000238418579</v>
      </c>
      <c r="I51" s="103">
        <v>23</v>
      </c>
      <c r="J51" s="103" t="s">
        <v>225</v>
      </c>
      <c r="K51" s="104">
        <v>0.56999999284744263</v>
      </c>
      <c r="L51" s="103">
        <v>14</v>
      </c>
      <c r="M51" s="103" t="s">
        <v>289</v>
      </c>
      <c r="N51" s="104">
        <v>0.79000002145767212</v>
      </c>
      <c r="O51" t="s">
        <v>115</v>
      </c>
      <c r="P51">
        <v>1</v>
      </c>
      <c r="Q51" s="67">
        <f t="shared" si="0"/>
        <v>0</v>
      </c>
      <c r="R51" s="67">
        <f t="shared" si="1"/>
        <v>0.19999998807907104</v>
      </c>
      <c r="S51">
        <v>142</v>
      </c>
      <c r="T51">
        <v>101</v>
      </c>
      <c r="U51">
        <v>25</v>
      </c>
      <c r="V51">
        <f t="shared" si="2"/>
        <v>268</v>
      </c>
      <c r="W51" s="67">
        <f t="shared" si="3"/>
        <v>0.37686567164179102</v>
      </c>
      <c r="X51" s="67">
        <f t="shared" si="4"/>
        <v>9.3283582089552244E-2</v>
      </c>
      <c r="Y51" s="67">
        <f t="shared" si="5"/>
        <v>0.52985074626865669</v>
      </c>
      <c r="Z51">
        <v>1</v>
      </c>
    </row>
    <row r="52" spans="1:26" x14ac:dyDescent="0.25">
      <c r="A52" t="s">
        <v>125</v>
      </c>
      <c r="B52" t="s">
        <v>126</v>
      </c>
      <c r="C52" s="101">
        <v>80</v>
      </c>
      <c r="D52" s="103" t="s">
        <v>1144</v>
      </c>
      <c r="E52" s="104">
        <v>0.5</v>
      </c>
      <c r="F52" s="101">
        <v>66</v>
      </c>
      <c r="G52" s="103" t="s">
        <v>290</v>
      </c>
      <c r="H52" s="104">
        <v>0.61000001430511475</v>
      </c>
      <c r="I52" s="103">
        <v>69</v>
      </c>
      <c r="J52" s="103" t="s">
        <v>1144</v>
      </c>
      <c r="K52" s="104">
        <v>0.47999998927116394</v>
      </c>
      <c r="L52" s="103">
        <v>61</v>
      </c>
      <c r="M52" s="103" t="s">
        <v>203</v>
      </c>
      <c r="N52" s="104">
        <v>0.61000001430511475</v>
      </c>
      <c r="O52" t="s">
        <v>125</v>
      </c>
      <c r="P52">
        <v>26</v>
      </c>
      <c r="Q52" s="67">
        <f t="shared" si="0"/>
        <v>0</v>
      </c>
      <c r="R52" s="67">
        <f t="shared" si="1"/>
        <v>0.11000001430511475</v>
      </c>
      <c r="S52">
        <v>295</v>
      </c>
      <c r="T52">
        <v>215</v>
      </c>
      <c r="U52">
        <v>123</v>
      </c>
      <c r="V52">
        <f t="shared" si="2"/>
        <v>633</v>
      </c>
      <c r="W52" s="67">
        <f t="shared" si="3"/>
        <v>0.33965244865718797</v>
      </c>
      <c r="X52" s="67">
        <f t="shared" si="4"/>
        <v>0.19431279620853081</v>
      </c>
      <c r="Y52" s="67">
        <f t="shared" si="5"/>
        <v>0.46603475513428122</v>
      </c>
      <c r="Z52">
        <v>1</v>
      </c>
    </row>
    <row r="53" spans="1:26" x14ac:dyDescent="0.25">
      <c r="A53" t="s">
        <v>61</v>
      </c>
      <c r="B53" t="s">
        <v>62</v>
      </c>
      <c r="C53" s="101" t="s">
        <v>433</v>
      </c>
      <c r="D53" s="103" t="s">
        <v>346</v>
      </c>
      <c r="E53" s="104" t="e">
        <v>#VALUE!</v>
      </c>
      <c r="F53" s="101" t="s">
        <v>433</v>
      </c>
      <c r="G53" s="103" t="s">
        <v>346</v>
      </c>
      <c r="H53" s="104" t="e">
        <v>#VALUE!</v>
      </c>
      <c r="I53" s="101" t="s">
        <v>1110</v>
      </c>
      <c r="J53" s="103" t="s">
        <v>1110</v>
      </c>
      <c r="K53" s="104" t="s">
        <v>1110</v>
      </c>
      <c r="L53" s="101" t="s">
        <v>1110</v>
      </c>
      <c r="M53" s="103" t="s">
        <v>1110</v>
      </c>
      <c r="N53" s="104" t="s">
        <v>1110</v>
      </c>
      <c r="O53" t="s">
        <v>61</v>
      </c>
      <c r="P53" s="104" t="e">
        <v>#VALUE!</v>
      </c>
      <c r="Q53" s="67" t="e">
        <f t="shared" si="0"/>
        <v>#VALUE!</v>
      </c>
      <c r="R53" s="67" t="e">
        <f t="shared" si="1"/>
        <v>#VALUE!</v>
      </c>
      <c r="S53">
        <v>173</v>
      </c>
      <c r="T53">
        <v>0</v>
      </c>
      <c r="U53">
        <v>0</v>
      </c>
      <c r="V53">
        <f t="shared" si="2"/>
        <v>173</v>
      </c>
      <c r="W53" s="67">
        <f t="shared" si="3"/>
        <v>0</v>
      </c>
      <c r="X53" s="67">
        <f t="shared" si="4"/>
        <v>0</v>
      </c>
      <c r="Y53" s="67">
        <f t="shared" si="5"/>
        <v>1</v>
      </c>
      <c r="Z53">
        <v>0</v>
      </c>
    </row>
    <row r="54" spans="1:26" x14ac:dyDescent="0.25">
      <c r="A54" t="s">
        <v>108</v>
      </c>
      <c r="B54" t="s">
        <v>109</v>
      </c>
      <c r="C54" s="101" t="s">
        <v>433</v>
      </c>
      <c r="D54" s="103" t="s">
        <v>346</v>
      </c>
      <c r="E54" s="104" t="e">
        <v>#VALUE!</v>
      </c>
      <c r="F54" s="101" t="s">
        <v>433</v>
      </c>
      <c r="G54" s="103" t="s">
        <v>346</v>
      </c>
      <c r="H54" s="104" t="e">
        <v>#VALUE!</v>
      </c>
      <c r="I54" s="101" t="s">
        <v>433</v>
      </c>
      <c r="J54" s="103" t="s">
        <v>346</v>
      </c>
      <c r="K54" s="104" t="s">
        <v>346</v>
      </c>
      <c r="L54" s="101" t="s">
        <v>433</v>
      </c>
      <c r="M54" s="103" t="s">
        <v>346</v>
      </c>
      <c r="N54" s="104" t="s">
        <v>346</v>
      </c>
      <c r="O54" t="s">
        <v>108</v>
      </c>
      <c r="P54" s="104" t="e">
        <v>#VALUE!</v>
      </c>
      <c r="Q54" s="67" t="e">
        <f t="shared" si="0"/>
        <v>#VALUE!</v>
      </c>
      <c r="R54" s="67" t="e">
        <f t="shared" si="1"/>
        <v>#VALUE!</v>
      </c>
      <c r="S54">
        <v>12</v>
      </c>
      <c r="T54">
        <v>12</v>
      </c>
      <c r="U54">
        <v>2</v>
      </c>
      <c r="V54">
        <f t="shared" si="2"/>
        <v>26</v>
      </c>
      <c r="W54" s="67">
        <f t="shared" si="3"/>
        <v>0.46153846153846156</v>
      </c>
      <c r="X54" s="67">
        <f t="shared" si="4"/>
        <v>7.6923076923076927E-2</v>
      </c>
      <c r="Y54" s="67">
        <f t="shared" si="5"/>
        <v>0.46153846153846156</v>
      </c>
      <c r="Z54">
        <v>1</v>
      </c>
    </row>
    <row r="55" spans="1:26" x14ac:dyDescent="0.25">
      <c r="A55" t="s">
        <v>42</v>
      </c>
      <c r="B55" t="s">
        <v>43</v>
      </c>
      <c r="C55" s="101">
        <v>18</v>
      </c>
      <c r="D55" s="103" t="s">
        <v>277</v>
      </c>
      <c r="E55" s="104">
        <v>0.61000001430511475</v>
      </c>
      <c r="F55" s="101">
        <v>11</v>
      </c>
      <c r="G55" s="103" t="s">
        <v>1130</v>
      </c>
      <c r="H55" s="104">
        <v>0.73000001907348633</v>
      </c>
      <c r="I55" s="103">
        <v>18</v>
      </c>
      <c r="J55" s="103" t="s">
        <v>277</v>
      </c>
      <c r="K55" s="104">
        <v>0.61000001430511475</v>
      </c>
      <c r="L55" s="103">
        <v>11</v>
      </c>
      <c r="M55" s="103" t="s">
        <v>1130</v>
      </c>
      <c r="N55" s="104">
        <v>0.73000001907348633</v>
      </c>
      <c r="O55" t="s">
        <v>42</v>
      </c>
      <c r="P55">
        <v>8</v>
      </c>
      <c r="Q55" s="67">
        <f t="shared" si="0"/>
        <v>0</v>
      </c>
      <c r="R55" s="67">
        <f t="shared" si="1"/>
        <v>0.12000000476837158</v>
      </c>
      <c r="S55">
        <v>2</v>
      </c>
      <c r="T55">
        <v>151</v>
      </c>
      <c r="U55">
        <v>12</v>
      </c>
      <c r="V55">
        <f t="shared" si="2"/>
        <v>165</v>
      </c>
      <c r="W55" s="67">
        <f t="shared" si="3"/>
        <v>0.91515151515151516</v>
      </c>
      <c r="X55" s="67">
        <f t="shared" si="4"/>
        <v>7.2727272727272724E-2</v>
      </c>
      <c r="Y55" s="67">
        <f t="shared" si="5"/>
        <v>1.2121212121212121E-2</v>
      </c>
      <c r="Z55">
        <v>1</v>
      </c>
    </row>
    <row r="56" spans="1:26" x14ac:dyDescent="0.25">
      <c r="A56" t="s">
        <v>53</v>
      </c>
      <c r="B56" t="s">
        <v>54</v>
      </c>
      <c r="C56" s="101">
        <v>22</v>
      </c>
      <c r="D56" s="103" t="s">
        <v>896</v>
      </c>
      <c r="E56" s="104">
        <v>0.44999998807907104</v>
      </c>
      <c r="F56" s="101">
        <v>29</v>
      </c>
      <c r="G56" s="103" t="s">
        <v>220</v>
      </c>
      <c r="H56" s="104">
        <v>0.75999999046325684</v>
      </c>
      <c r="I56" s="103">
        <v>21</v>
      </c>
      <c r="J56" s="103" t="s">
        <v>896</v>
      </c>
      <c r="K56" s="104">
        <v>0.47999998927116394</v>
      </c>
      <c r="L56" s="103">
        <v>22</v>
      </c>
      <c r="M56" s="103" t="s">
        <v>220</v>
      </c>
      <c r="N56" s="104">
        <v>0.76999998092651367</v>
      </c>
      <c r="O56" t="s">
        <v>53</v>
      </c>
      <c r="P56">
        <v>5</v>
      </c>
      <c r="Q56" s="67">
        <f t="shared" si="0"/>
        <v>0</v>
      </c>
      <c r="R56" s="67">
        <f t="shared" si="1"/>
        <v>0.31000000238418579</v>
      </c>
      <c r="S56">
        <v>113</v>
      </c>
      <c r="T56">
        <v>137</v>
      </c>
      <c r="U56">
        <v>4</v>
      </c>
      <c r="V56">
        <f t="shared" si="2"/>
        <v>254</v>
      </c>
      <c r="W56" s="67">
        <f t="shared" si="3"/>
        <v>0.53937007874015752</v>
      </c>
      <c r="X56" s="67">
        <f t="shared" si="4"/>
        <v>1.5748031496062992E-2</v>
      </c>
      <c r="Y56" s="67">
        <f t="shared" si="5"/>
        <v>0.44488188976377951</v>
      </c>
      <c r="Z56">
        <v>1</v>
      </c>
    </row>
    <row r="57" spans="1:26" x14ac:dyDescent="0.25">
      <c r="A57" t="s">
        <v>21</v>
      </c>
      <c r="B57" t="s">
        <v>22</v>
      </c>
      <c r="C57" s="101">
        <v>48</v>
      </c>
      <c r="D57" s="103" t="s">
        <v>296</v>
      </c>
      <c r="E57" s="104">
        <v>0.37999999523162842</v>
      </c>
      <c r="F57" s="101">
        <v>47</v>
      </c>
      <c r="G57" s="103" t="s">
        <v>271</v>
      </c>
      <c r="H57" s="104">
        <v>0.69999998807907104</v>
      </c>
      <c r="I57" s="103">
        <v>16</v>
      </c>
      <c r="J57" s="103" t="s">
        <v>277</v>
      </c>
      <c r="K57" s="104">
        <v>0.5</v>
      </c>
      <c r="L57" s="103">
        <v>12</v>
      </c>
      <c r="M57" s="103" t="s">
        <v>225</v>
      </c>
      <c r="N57" s="104">
        <v>0.75</v>
      </c>
      <c r="O57" t="s">
        <v>21</v>
      </c>
      <c r="P57">
        <v>11</v>
      </c>
      <c r="Q57" s="67">
        <f t="shared" si="0"/>
        <v>0</v>
      </c>
      <c r="R57" s="67">
        <f t="shared" si="1"/>
        <v>0.31999999284744263</v>
      </c>
      <c r="S57">
        <v>201</v>
      </c>
      <c r="T57">
        <v>126</v>
      </c>
      <c r="U57">
        <v>60</v>
      </c>
      <c r="V57">
        <f t="shared" si="2"/>
        <v>387</v>
      </c>
      <c r="W57" s="67">
        <f t="shared" si="3"/>
        <v>0.32558139534883723</v>
      </c>
      <c r="X57" s="67">
        <f t="shared" si="4"/>
        <v>0.15503875968992248</v>
      </c>
      <c r="Y57" s="67">
        <f t="shared" si="5"/>
        <v>0.51937984496124034</v>
      </c>
      <c r="Z57">
        <v>1</v>
      </c>
    </row>
    <row r="58" spans="1:26" x14ac:dyDescent="0.25">
      <c r="A58" t="s">
        <v>76</v>
      </c>
      <c r="B58" t="s">
        <v>77</v>
      </c>
      <c r="C58" s="101" t="s">
        <v>433</v>
      </c>
      <c r="D58" s="103" t="s">
        <v>346</v>
      </c>
      <c r="E58" s="104" t="e">
        <v>#VALUE!</v>
      </c>
      <c r="F58" s="101" t="s">
        <v>433</v>
      </c>
      <c r="G58" s="103" t="s">
        <v>346</v>
      </c>
      <c r="H58" s="104" t="e">
        <v>#VALUE!</v>
      </c>
      <c r="I58" s="101" t="s">
        <v>1110</v>
      </c>
      <c r="J58" s="103" t="s">
        <v>1110</v>
      </c>
      <c r="K58" s="104" t="s">
        <v>1110</v>
      </c>
      <c r="L58" s="101" t="s">
        <v>1110</v>
      </c>
      <c r="M58" s="103" t="s">
        <v>1110</v>
      </c>
      <c r="N58" s="104" t="s">
        <v>1110</v>
      </c>
      <c r="O58" t="s">
        <v>76</v>
      </c>
      <c r="P58" s="104" t="e">
        <v>#VALUE!</v>
      </c>
      <c r="Q58" s="67" t="e">
        <f t="shared" si="0"/>
        <v>#VALUE!</v>
      </c>
      <c r="R58" s="67" t="e">
        <f t="shared" si="1"/>
        <v>#VALUE!</v>
      </c>
      <c r="S58">
        <v>51</v>
      </c>
      <c r="T58">
        <v>0</v>
      </c>
      <c r="U58">
        <v>0</v>
      </c>
      <c r="V58">
        <f t="shared" si="2"/>
        <v>51</v>
      </c>
      <c r="W58" s="67">
        <f t="shared" si="3"/>
        <v>0</v>
      </c>
      <c r="X58" s="67">
        <f t="shared" si="4"/>
        <v>0</v>
      </c>
      <c r="Y58" s="67">
        <f t="shared" si="5"/>
        <v>1</v>
      </c>
      <c r="Z58">
        <v>0</v>
      </c>
    </row>
    <row r="59" spans="1:26" x14ac:dyDescent="0.25">
      <c r="A59" t="s">
        <v>57</v>
      </c>
      <c r="B59" t="s">
        <v>58</v>
      </c>
      <c r="C59" s="101">
        <v>27</v>
      </c>
      <c r="D59" s="103" t="s">
        <v>1174</v>
      </c>
      <c r="E59" s="104">
        <v>0.47999998927116394</v>
      </c>
      <c r="F59" s="101">
        <v>17</v>
      </c>
      <c r="G59" s="103" t="s">
        <v>207</v>
      </c>
      <c r="H59" s="104">
        <v>0.5899999737739563</v>
      </c>
      <c r="I59" s="103">
        <v>14</v>
      </c>
      <c r="J59" s="103" t="s">
        <v>294</v>
      </c>
      <c r="K59" s="104">
        <v>0.20999999344348907</v>
      </c>
      <c r="L59" s="103">
        <v>13</v>
      </c>
      <c r="M59" s="103" t="s">
        <v>1133</v>
      </c>
      <c r="N59" s="104">
        <v>0.46000000834465027</v>
      </c>
      <c r="O59" t="s">
        <v>57</v>
      </c>
      <c r="P59">
        <v>31</v>
      </c>
      <c r="Q59" s="67">
        <f t="shared" si="0"/>
        <v>0</v>
      </c>
      <c r="R59" s="67">
        <f t="shared" si="1"/>
        <v>0.10999998450279236</v>
      </c>
      <c r="S59">
        <v>49</v>
      </c>
      <c r="T59">
        <v>76</v>
      </c>
      <c r="U59">
        <v>10</v>
      </c>
      <c r="V59">
        <f t="shared" si="2"/>
        <v>135</v>
      </c>
      <c r="W59" s="67">
        <f t="shared" si="3"/>
        <v>0.562962962962963</v>
      </c>
      <c r="X59" s="67">
        <f t="shared" si="4"/>
        <v>7.407407407407407E-2</v>
      </c>
      <c r="Y59" s="67">
        <f t="shared" si="5"/>
        <v>0.36296296296296299</v>
      </c>
      <c r="Z59">
        <v>1</v>
      </c>
    </row>
    <row r="60" spans="1:26" x14ac:dyDescent="0.25">
      <c r="A60" t="s">
        <v>151</v>
      </c>
      <c r="B60" t="s">
        <v>152</v>
      </c>
      <c r="C60" s="101">
        <v>54</v>
      </c>
      <c r="D60" s="103" t="s">
        <v>225</v>
      </c>
      <c r="E60" s="104">
        <v>0.61000001430511475</v>
      </c>
      <c r="F60" s="101">
        <v>52</v>
      </c>
      <c r="G60" s="103" t="s">
        <v>225</v>
      </c>
      <c r="H60" s="104">
        <v>0.67000001668930054</v>
      </c>
      <c r="I60" s="103">
        <v>21</v>
      </c>
      <c r="J60" s="103" t="s">
        <v>299</v>
      </c>
      <c r="K60" s="104">
        <v>0.62000000476837158</v>
      </c>
      <c r="L60" s="103">
        <v>19</v>
      </c>
      <c r="M60" s="103" t="s">
        <v>305</v>
      </c>
      <c r="N60" s="104">
        <v>0.79000002145767212</v>
      </c>
      <c r="O60" t="s">
        <v>151</v>
      </c>
      <c r="P60">
        <v>18</v>
      </c>
      <c r="Q60" s="67">
        <f t="shared" si="0"/>
        <v>0</v>
      </c>
      <c r="R60" s="67">
        <f t="shared" si="1"/>
        <v>6.0000002384185791E-2</v>
      </c>
      <c r="S60">
        <v>313</v>
      </c>
      <c r="T60">
        <v>174</v>
      </c>
      <c r="U60">
        <v>27</v>
      </c>
      <c r="V60">
        <f t="shared" si="2"/>
        <v>514</v>
      </c>
      <c r="W60" s="67">
        <f t="shared" si="3"/>
        <v>0.33852140077821014</v>
      </c>
      <c r="X60" s="67">
        <f t="shared" si="4"/>
        <v>5.2529182879377433E-2</v>
      </c>
      <c r="Y60" s="67">
        <f t="shared" si="5"/>
        <v>0.6089494163424124</v>
      </c>
      <c r="Z60">
        <v>1</v>
      </c>
    </row>
    <row r="61" spans="1:26" x14ac:dyDescent="0.25">
      <c r="A61" t="s">
        <v>689</v>
      </c>
      <c r="B61" t="s">
        <v>690</v>
      </c>
      <c r="C61" s="101">
        <v>55</v>
      </c>
      <c r="D61" s="103" t="s">
        <v>277</v>
      </c>
      <c r="E61" s="104">
        <v>0.60000002384185791</v>
      </c>
      <c r="F61" s="101">
        <v>32</v>
      </c>
      <c r="G61" s="103" t="s">
        <v>212</v>
      </c>
      <c r="H61" s="104">
        <v>0.6600000262260437</v>
      </c>
      <c r="I61" s="103">
        <v>23</v>
      </c>
      <c r="J61" s="103" t="s">
        <v>1131</v>
      </c>
      <c r="K61" s="104">
        <v>0.47999998927116394</v>
      </c>
      <c r="L61" s="103">
        <v>27</v>
      </c>
      <c r="M61" s="103" t="s">
        <v>212</v>
      </c>
      <c r="N61" s="104">
        <v>0.62999999523162842</v>
      </c>
      <c r="O61" t="s">
        <v>689</v>
      </c>
      <c r="P61">
        <v>21</v>
      </c>
      <c r="Q61" s="67">
        <f t="shared" si="0"/>
        <v>0</v>
      </c>
      <c r="R61" s="67">
        <f t="shared" si="1"/>
        <v>6.0000002384185791E-2</v>
      </c>
      <c r="S61">
        <v>391</v>
      </c>
      <c r="T61">
        <v>253</v>
      </c>
      <c r="U61">
        <v>23</v>
      </c>
      <c r="V61">
        <f t="shared" si="2"/>
        <v>667</v>
      </c>
      <c r="W61" s="67">
        <f t="shared" si="3"/>
        <v>0.37931034482758619</v>
      </c>
      <c r="X61" s="67">
        <f t="shared" si="4"/>
        <v>3.4482758620689655E-2</v>
      </c>
      <c r="Y61" s="67">
        <f t="shared" si="5"/>
        <v>0.58620689655172409</v>
      </c>
      <c r="Z61">
        <v>1</v>
      </c>
    </row>
    <row r="62" spans="1:26" x14ac:dyDescent="0.25">
      <c r="A62" t="s">
        <v>119</v>
      </c>
      <c r="B62" t="s">
        <v>120</v>
      </c>
      <c r="C62" s="101">
        <v>18</v>
      </c>
      <c r="D62" s="103" t="s">
        <v>1141</v>
      </c>
      <c r="E62" s="104">
        <v>0.43999999761581421</v>
      </c>
      <c r="F62" s="101">
        <v>12</v>
      </c>
      <c r="G62" s="103" t="s">
        <v>1142</v>
      </c>
      <c r="H62" s="104">
        <v>0.41999998688697815</v>
      </c>
      <c r="I62" s="103">
        <v>18</v>
      </c>
      <c r="J62" s="103" t="s">
        <v>1141</v>
      </c>
      <c r="K62" s="104">
        <v>0.43999999761581421</v>
      </c>
      <c r="L62" s="103">
        <v>12</v>
      </c>
      <c r="M62" s="103" t="s">
        <v>1142</v>
      </c>
      <c r="N62" s="104">
        <v>0.41999998688697815</v>
      </c>
      <c r="O62" t="s">
        <v>119</v>
      </c>
      <c r="P62">
        <v>51</v>
      </c>
      <c r="Q62" s="67">
        <f t="shared" si="0"/>
        <v>2.000001072883606E-2</v>
      </c>
      <c r="R62" s="67">
        <f t="shared" si="1"/>
        <v>0</v>
      </c>
      <c r="S62">
        <v>0</v>
      </c>
      <c r="T62">
        <v>94</v>
      </c>
      <c r="U62">
        <v>14</v>
      </c>
      <c r="V62">
        <f t="shared" si="2"/>
        <v>108</v>
      </c>
      <c r="W62" s="67">
        <f t="shared" si="3"/>
        <v>0.87037037037037035</v>
      </c>
      <c r="X62" s="67">
        <f t="shared" si="4"/>
        <v>0.12962962962962962</v>
      </c>
      <c r="Y62" s="67">
        <f t="shared" si="5"/>
        <v>0</v>
      </c>
      <c r="Z62">
        <v>1</v>
      </c>
    </row>
    <row r="63" spans="1:26" x14ac:dyDescent="0.25">
      <c r="A63" t="s">
        <v>674</v>
      </c>
      <c r="B63" s="15" t="s">
        <v>675</v>
      </c>
      <c r="C63" s="101">
        <v>19</v>
      </c>
      <c r="D63" s="103" t="s">
        <v>229</v>
      </c>
      <c r="E63" s="104">
        <v>0.25999999046325684</v>
      </c>
      <c r="F63" s="101">
        <v>28</v>
      </c>
      <c r="G63" s="103" t="s">
        <v>1168</v>
      </c>
      <c r="H63" s="104">
        <v>0.68000000715255737</v>
      </c>
      <c r="I63" s="103">
        <v>10</v>
      </c>
      <c r="J63" s="103" t="s">
        <v>333</v>
      </c>
      <c r="K63" s="104">
        <v>0.20000000298023224</v>
      </c>
      <c r="L63" s="103">
        <v>12</v>
      </c>
      <c r="M63" s="103" t="s">
        <v>1126</v>
      </c>
      <c r="N63" s="104">
        <v>0.57999998331069946</v>
      </c>
      <c r="O63" t="s">
        <v>674</v>
      </c>
      <c r="P63">
        <v>16</v>
      </c>
      <c r="Q63" s="67">
        <f t="shared" si="0"/>
        <v>0</v>
      </c>
      <c r="R63" s="67">
        <f t="shared" si="1"/>
        <v>0.42000001668930054</v>
      </c>
      <c r="S63">
        <v>71</v>
      </c>
      <c r="T63">
        <v>77</v>
      </c>
      <c r="U63">
        <v>31</v>
      </c>
      <c r="V63">
        <f t="shared" si="2"/>
        <v>179</v>
      </c>
      <c r="W63" s="67">
        <f t="shared" si="3"/>
        <v>0.43016759776536312</v>
      </c>
      <c r="X63" s="67">
        <f t="shared" si="4"/>
        <v>0.17318435754189945</v>
      </c>
      <c r="Y63" s="67">
        <f t="shared" si="5"/>
        <v>0.39664804469273746</v>
      </c>
      <c r="Z63">
        <v>1</v>
      </c>
    </row>
    <row r="64" spans="1:26" x14ac:dyDescent="0.25">
      <c r="A64" t="s">
        <v>427</v>
      </c>
      <c r="B64" s="125" t="s">
        <v>428</v>
      </c>
      <c r="C64" s="101" t="s">
        <v>433</v>
      </c>
      <c r="D64" s="103" t="s">
        <v>346</v>
      </c>
      <c r="E64" s="104" t="e">
        <v>#VALUE!</v>
      </c>
      <c r="F64" s="101" t="s">
        <v>433</v>
      </c>
      <c r="G64" s="103" t="s">
        <v>346</v>
      </c>
      <c r="H64" s="104" t="e">
        <v>#VALUE!</v>
      </c>
      <c r="I64" s="101" t="s">
        <v>1110</v>
      </c>
      <c r="J64" s="103" t="s">
        <v>1110</v>
      </c>
      <c r="K64" s="104" t="s">
        <v>1110</v>
      </c>
      <c r="L64" s="101" t="s">
        <v>1110</v>
      </c>
      <c r="M64" s="103" t="s">
        <v>1110</v>
      </c>
      <c r="N64" s="104" t="s">
        <v>1110</v>
      </c>
      <c r="O64" t="s">
        <v>427</v>
      </c>
      <c r="P64" s="104" t="e">
        <v>#VALUE!</v>
      </c>
      <c r="Q64" s="67" t="e">
        <f t="shared" si="0"/>
        <v>#VALUE!</v>
      </c>
      <c r="R64" s="67" t="e">
        <f t="shared" si="1"/>
        <v>#VALUE!</v>
      </c>
      <c r="S64">
        <v>34</v>
      </c>
      <c r="T64">
        <v>0</v>
      </c>
      <c r="U64">
        <v>0</v>
      </c>
      <c r="V64">
        <f t="shared" si="2"/>
        <v>34</v>
      </c>
      <c r="W64" s="67">
        <f t="shared" si="3"/>
        <v>0</v>
      </c>
      <c r="X64" s="67">
        <f t="shared" si="4"/>
        <v>0</v>
      </c>
      <c r="Y64" s="67">
        <f t="shared" si="5"/>
        <v>1</v>
      </c>
      <c r="Z64">
        <v>0</v>
      </c>
    </row>
    <row r="65" spans="1:26" x14ac:dyDescent="0.25">
      <c r="A65" t="s">
        <v>65</v>
      </c>
      <c r="B65" t="s">
        <v>66</v>
      </c>
      <c r="C65" s="101">
        <v>86</v>
      </c>
      <c r="D65" s="103" t="s">
        <v>330</v>
      </c>
      <c r="E65" s="104">
        <v>0.50999999046325684</v>
      </c>
      <c r="F65" s="101">
        <v>59</v>
      </c>
      <c r="G65" s="103" t="s">
        <v>271</v>
      </c>
      <c r="H65" s="104">
        <v>0.62999999523162842</v>
      </c>
      <c r="I65" s="103">
        <v>30</v>
      </c>
      <c r="J65" s="103" t="s">
        <v>1134</v>
      </c>
      <c r="K65" s="104">
        <v>0.37000000476837158</v>
      </c>
      <c r="L65" s="103">
        <v>11</v>
      </c>
      <c r="M65" s="103" t="s">
        <v>283</v>
      </c>
      <c r="N65" s="104">
        <v>0.63999998569488525</v>
      </c>
      <c r="O65" t="s">
        <v>65</v>
      </c>
      <c r="P65">
        <v>23</v>
      </c>
      <c r="Q65" s="67">
        <f t="shared" si="0"/>
        <v>0</v>
      </c>
      <c r="R65" s="67">
        <f t="shared" si="1"/>
        <v>0.12000000476837158</v>
      </c>
      <c r="S65">
        <v>369</v>
      </c>
      <c r="T65">
        <v>129</v>
      </c>
      <c r="U65">
        <v>63</v>
      </c>
      <c r="V65">
        <f t="shared" si="2"/>
        <v>561</v>
      </c>
      <c r="W65" s="67">
        <f t="shared" si="3"/>
        <v>0.22994652406417113</v>
      </c>
      <c r="X65" s="67">
        <f t="shared" si="4"/>
        <v>0.11229946524064172</v>
      </c>
      <c r="Y65" s="67">
        <f t="shared" si="5"/>
        <v>0.65775401069518713</v>
      </c>
      <c r="Z65">
        <v>1</v>
      </c>
    </row>
    <row r="66" spans="1:26" x14ac:dyDescent="0.25">
      <c r="A66" t="s">
        <v>27</v>
      </c>
      <c r="B66" t="s">
        <v>28</v>
      </c>
      <c r="C66" s="101" t="s">
        <v>433</v>
      </c>
      <c r="D66" s="103" t="s">
        <v>346</v>
      </c>
      <c r="E66" s="104" t="e">
        <v>#VALUE!</v>
      </c>
      <c r="F66" s="101" t="s">
        <v>433</v>
      </c>
      <c r="G66" s="103" t="s">
        <v>346</v>
      </c>
      <c r="H66" s="104" t="e">
        <v>#VALUE!</v>
      </c>
      <c r="I66" s="101" t="s">
        <v>1110</v>
      </c>
      <c r="J66" s="103" t="s">
        <v>1110</v>
      </c>
      <c r="K66" s="104" t="s">
        <v>1110</v>
      </c>
      <c r="L66" s="101" t="s">
        <v>1110</v>
      </c>
      <c r="M66" s="103" t="s">
        <v>1110</v>
      </c>
      <c r="N66" s="104" t="s">
        <v>1110</v>
      </c>
      <c r="O66" t="s">
        <v>27</v>
      </c>
      <c r="P66" s="104" t="e">
        <v>#VALUE!</v>
      </c>
      <c r="Q66" s="67" t="e">
        <f t="shared" si="0"/>
        <v>#VALUE!</v>
      </c>
      <c r="R66" s="67" t="e">
        <f t="shared" si="1"/>
        <v>#VALUE!</v>
      </c>
      <c r="S66">
        <v>12</v>
      </c>
      <c r="T66">
        <v>0</v>
      </c>
      <c r="U66">
        <v>0</v>
      </c>
      <c r="V66">
        <f t="shared" si="2"/>
        <v>12</v>
      </c>
      <c r="W66" s="67">
        <f t="shared" si="3"/>
        <v>0</v>
      </c>
      <c r="X66" s="67">
        <f t="shared" si="4"/>
        <v>0</v>
      </c>
      <c r="Y66" s="67">
        <f t="shared" si="5"/>
        <v>1</v>
      </c>
      <c r="Z66">
        <v>0</v>
      </c>
    </row>
    <row r="67" spans="1:26" x14ac:dyDescent="0.25">
      <c r="A67" t="s">
        <v>429</v>
      </c>
      <c r="B67" s="125" t="s">
        <v>430</v>
      </c>
      <c r="C67" s="101" t="s">
        <v>433</v>
      </c>
      <c r="D67" s="103" t="s">
        <v>346</v>
      </c>
      <c r="E67" s="104" t="e">
        <v>#VALUE!</v>
      </c>
      <c r="F67" s="101" t="s">
        <v>433</v>
      </c>
      <c r="G67" s="103" t="s">
        <v>346</v>
      </c>
      <c r="H67" s="104" t="e">
        <v>#VALUE!</v>
      </c>
      <c r="I67" s="101" t="s">
        <v>1110</v>
      </c>
      <c r="J67" s="103" t="s">
        <v>1110</v>
      </c>
      <c r="K67" s="104" t="s">
        <v>1110</v>
      </c>
      <c r="L67" s="101" t="s">
        <v>1110</v>
      </c>
      <c r="M67" s="103" t="s">
        <v>1110</v>
      </c>
      <c r="N67" s="104" t="s">
        <v>1110</v>
      </c>
      <c r="O67" t="s">
        <v>429</v>
      </c>
      <c r="P67" s="104" t="e">
        <v>#VALUE!</v>
      </c>
      <c r="Q67" s="67" t="e">
        <f t="shared" ref="Q67:Q85" si="6">IF(H67&gt;E67,0,E67-H67)</f>
        <v>#VALUE!</v>
      </c>
      <c r="R67" s="67" t="e">
        <f t="shared" ref="R67:R85" si="7">IF(H67&gt;E67,H67-E67,0)</f>
        <v>#VALUE!</v>
      </c>
      <c r="S67">
        <v>94</v>
      </c>
      <c r="T67">
        <v>0</v>
      </c>
      <c r="U67">
        <v>0</v>
      </c>
      <c r="V67">
        <f t="shared" ref="V67:V85" si="8">SUM(S67:U67)</f>
        <v>94</v>
      </c>
      <c r="W67" s="67">
        <f t="shared" ref="W67:W85" si="9">T67/$V67</f>
        <v>0</v>
      </c>
      <c r="X67" s="67">
        <f t="shared" ref="X67:X85" si="10">U67/$V67</f>
        <v>0</v>
      </c>
      <c r="Y67" s="67">
        <f t="shared" ref="Y67:Y85" si="11">S67/$V67</f>
        <v>1</v>
      </c>
      <c r="Z67">
        <v>0</v>
      </c>
    </row>
    <row r="68" spans="1:26" x14ac:dyDescent="0.25">
      <c r="A68" t="s">
        <v>2</v>
      </c>
      <c r="B68" t="s">
        <v>196</v>
      </c>
      <c r="C68" s="101">
        <v>141</v>
      </c>
      <c r="D68" s="103" t="s">
        <v>1165</v>
      </c>
      <c r="E68" s="104">
        <v>0.30000001192092896</v>
      </c>
      <c r="F68" s="101">
        <v>110</v>
      </c>
      <c r="G68" s="103" t="s">
        <v>242</v>
      </c>
      <c r="H68" s="104">
        <v>0.46000000834465027</v>
      </c>
      <c r="I68" s="103">
        <v>71</v>
      </c>
      <c r="J68" s="103" t="s">
        <v>454</v>
      </c>
      <c r="K68" s="104">
        <v>0.37000000476837158</v>
      </c>
      <c r="L68" s="103">
        <v>64</v>
      </c>
      <c r="M68" s="103" t="s">
        <v>236</v>
      </c>
      <c r="N68" s="104">
        <v>0.5899999737739563</v>
      </c>
      <c r="O68" t="s">
        <v>2</v>
      </c>
      <c r="P68">
        <v>47</v>
      </c>
      <c r="Q68" s="67">
        <f t="shared" si="6"/>
        <v>0</v>
      </c>
      <c r="R68" s="67">
        <f t="shared" si="7"/>
        <v>0.15999999642372131</v>
      </c>
      <c r="S68">
        <v>201</v>
      </c>
      <c r="T68">
        <v>222</v>
      </c>
      <c r="U68">
        <v>16</v>
      </c>
      <c r="V68">
        <f t="shared" si="8"/>
        <v>439</v>
      </c>
      <c r="W68" s="67">
        <f t="shared" si="9"/>
        <v>0.50569476082004561</v>
      </c>
      <c r="X68" s="67">
        <f t="shared" si="10"/>
        <v>3.644646924829157E-2</v>
      </c>
      <c r="Y68" s="67">
        <f t="shared" si="11"/>
        <v>0.45785876993166286</v>
      </c>
      <c r="Z68">
        <v>1</v>
      </c>
    </row>
    <row r="69" spans="1:26" x14ac:dyDescent="0.25">
      <c r="A69" t="s">
        <v>84</v>
      </c>
      <c r="B69" t="s">
        <v>85</v>
      </c>
      <c r="C69" s="101">
        <v>162</v>
      </c>
      <c r="D69" s="103" t="s">
        <v>211</v>
      </c>
      <c r="E69" s="104">
        <v>0.68000000715255737</v>
      </c>
      <c r="F69" s="101">
        <v>117</v>
      </c>
      <c r="G69" s="103" t="s">
        <v>289</v>
      </c>
      <c r="H69" s="104">
        <v>0.81000000238418579</v>
      </c>
      <c r="I69" s="103">
        <v>60</v>
      </c>
      <c r="J69" s="103" t="s">
        <v>225</v>
      </c>
      <c r="K69" s="104">
        <v>0.56999999284744263</v>
      </c>
      <c r="L69" s="103">
        <v>57</v>
      </c>
      <c r="M69" s="103" t="s">
        <v>220</v>
      </c>
      <c r="N69" s="104">
        <v>0.81999999284744263</v>
      </c>
      <c r="O69" t="s">
        <v>84</v>
      </c>
      <c r="P69">
        <v>2</v>
      </c>
      <c r="Q69" s="67">
        <f t="shared" si="6"/>
        <v>0</v>
      </c>
      <c r="R69" s="67">
        <f t="shared" si="7"/>
        <v>0.12999999523162842</v>
      </c>
      <c r="S69">
        <v>334</v>
      </c>
      <c r="T69">
        <v>242</v>
      </c>
      <c r="U69">
        <v>51</v>
      </c>
      <c r="V69">
        <f t="shared" si="8"/>
        <v>627</v>
      </c>
      <c r="W69" s="67">
        <f t="shared" si="9"/>
        <v>0.38596491228070173</v>
      </c>
      <c r="X69" s="67">
        <f t="shared" si="10"/>
        <v>8.1339712918660281E-2</v>
      </c>
      <c r="Y69" s="67">
        <f t="shared" si="11"/>
        <v>0.532695374800638</v>
      </c>
      <c r="Z69">
        <v>1</v>
      </c>
    </row>
    <row r="70" spans="1:26" x14ac:dyDescent="0.25">
      <c r="A70" t="s">
        <v>15</v>
      </c>
      <c r="B70" t="s">
        <v>16</v>
      </c>
      <c r="C70" s="101" t="s">
        <v>433</v>
      </c>
      <c r="D70" s="103" t="s">
        <v>346</v>
      </c>
      <c r="E70" s="104" t="e">
        <v>#VALUE!</v>
      </c>
      <c r="F70" s="101" t="s">
        <v>433</v>
      </c>
      <c r="G70" s="103" t="s">
        <v>346</v>
      </c>
      <c r="H70" s="104" t="e">
        <v>#VALUE!</v>
      </c>
      <c r="I70" s="101" t="s">
        <v>433</v>
      </c>
      <c r="J70" s="103" t="s">
        <v>346</v>
      </c>
      <c r="K70" s="104" t="s">
        <v>346</v>
      </c>
      <c r="L70" s="101" t="s">
        <v>433</v>
      </c>
      <c r="M70" s="103" t="s">
        <v>346</v>
      </c>
      <c r="N70" s="104" t="s">
        <v>346</v>
      </c>
      <c r="O70" t="s">
        <v>15</v>
      </c>
      <c r="P70" s="104" t="e">
        <v>#VALUE!</v>
      </c>
      <c r="Q70" s="67" t="e">
        <f t="shared" si="6"/>
        <v>#VALUE!</v>
      </c>
      <c r="R70" s="67" t="e">
        <f t="shared" si="7"/>
        <v>#VALUE!</v>
      </c>
      <c r="S70">
        <v>0</v>
      </c>
      <c r="T70">
        <v>13</v>
      </c>
      <c r="U70">
        <v>3</v>
      </c>
      <c r="V70">
        <f t="shared" si="8"/>
        <v>16</v>
      </c>
      <c r="W70" s="67">
        <f t="shared" si="9"/>
        <v>0.8125</v>
      </c>
      <c r="X70" s="67">
        <f t="shared" si="10"/>
        <v>0.1875</v>
      </c>
      <c r="Y70" s="67">
        <f t="shared" si="11"/>
        <v>0</v>
      </c>
      <c r="Z70">
        <v>1</v>
      </c>
    </row>
    <row r="71" spans="1:26" x14ac:dyDescent="0.25">
      <c r="A71" t="s">
        <v>129</v>
      </c>
      <c r="B71" t="s">
        <v>130</v>
      </c>
      <c r="C71" s="101">
        <v>69</v>
      </c>
      <c r="D71" s="103" t="s">
        <v>326</v>
      </c>
      <c r="E71" s="104">
        <v>0.33000001311302185</v>
      </c>
      <c r="F71" s="101">
        <v>55</v>
      </c>
      <c r="G71" s="103" t="s">
        <v>1180</v>
      </c>
      <c r="H71" s="104">
        <v>0.36000001430511475</v>
      </c>
      <c r="I71" s="103">
        <v>31</v>
      </c>
      <c r="J71" s="103" t="s">
        <v>1146</v>
      </c>
      <c r="K71" s="104">
        <v>0.38999998569488525</v>
      </c>
      <c r="L71" s="103">
        <v>18</v>
      </c>
      <c r="M71" s="103" t="s">
        <v>311</v>
      </c>
      <c r="N71" s="104">
        <v>0.2199999988079071</v>
      </c>
      <c r="O71" t="s">
        <v>129</v>
      </c>
      <c r="P71">
        <v>54</v>
      </c>
      <c r="Q71" s="67">
        <f t="shared" si="6"/>
        <v>0</v>
      </c>
      <c r="R71" s="67">
        <f t="shared" si="7"/>
        <v>3.0000001192092896E-2</v>
      </c>
      <c r="S71">
        <v>308</v>
      </c>
      <c r="T71">
        <v>108</v>
      </c>
      <c r="U71">
        <v>4</v>
      </c>
      <c r="V71">
        <f t="shared" si="8"/>
        <v>420</v>
      </c>
      <c r="W71" s="67">
        <f t="shared" si="9"/>
        <v>0.25714285714285712</v>
      </c>
      <c r="X71" s="67">
        <f t="shared" si="10"/>
        <v>9.5238095238095247E-3</v>
      </c>
      <c r="Y71" s="67">
        <f t="shared" si="11"/>
        <v>0.73333333333333328</v>
      </c>
      <c r="Z71">
        <v>1</v>
      </c>
    </row>
    <row r="72" spans="1:26" x14ac:dyDescent="0.25">
      <c r="A72" t="s">
        <v>106</v>
      </c>
      <c r="B72" t="s">
        <v>107</v>
      </c>
      <c r="C72" s="101" t="s">
        <v>433</v>
      </c>
      <c r="D72" s="103" t="s">
        <v>346</v>
      </c>
      <c r="E72" s="104" t="e">
        <v>#VALUE!</v>
      </c>
      <c r="F72" s="101" t="s">
        <v>433</v>
      </c>
      <c r="G72" s="103" t="s">
        <v>346</v>
      </c>
      <c r="H72" s="104" t="e">
        <v>#VALUE!</v>
      </c>
      <c r="I72" s="101" t="s">
        <v>433</v>
      </c>
      <c r="J72" s="103" t="s">
        <v>346</v>
      </c>
      <c r="K72" s="104" t="s">
        <v>346</v>
      </c>
      <c r="L72" s="101" t="s">
        <v>433</v>
      </c>
      <c r="M72" s="103" t="s">
        <v>346</v>
      </c>
      <c r="N72" s="104" t="s">
        <v>346</v>
      </c>
      <c r="O72" t="s">
        <v>106</v>
      </c>
      <c r="P72" s="104" t="e">
        <v>#VALUE!</v>
      </c>
      <c r="Q72" s="67" t="e">
        <f t="shared" si="6"/>
        <v>#VALUE!</v>
      </c>
      <c r="R72" s="67" t="e">
        <f t="shared" si="7"/>
        <v>#VALUE!</v>
      </c>
      <c r="S72">
        <v>31</v>
      </c>
      <c r="T72">
        <v>5</v>
      </c>
      <c r="U72">
        <v>7</v>
      </c>
      <c r="V72">
        <f t="shared" si="8"/>
        <v>43</v>
      </c>
      <c r="W72" s="67">
        <f t="shared" si="9"/>
        <v>0.11627906976744186</v>
      </c>
      <c r="X72" s="67">
        <f t="shared" si="10"/>
        <v>0.16279069767441862</v>
      </c>
      <c r="Y72" s="67">
        <f t="shared" si="11"/>
        <v>0.72093023255813948</v>
      </c>
      <c r="Z72">
        <v>1</v>
      </c>
    </row>
    <row r="73" spans="1:26" x14ac:dyDescent="0.25">
      <c r="A73" t="s">
        <v>67</v>
      </c>
      <c r="B73" t="s">
        <v>68</v>
      </c>
      <c r="C73" s="101">
        <v>138</v>
      </c>
      <c r="D73" s="103" t="s">
        <v>454</v>
      </c>
      <c r="E73" s="104">
        <v>0.36000001430511475</v>
      </c>
      <c r="F73" s="101">
        <v>99</v>
      </c>
      <c r="G73" s="103" t="s">
        <v>203</v>
      </c>
      <c r="H73" s="104">
        <v>0.5899999737739563</v>
      </c>
      <c r="I73" s="103">
        <v>34</v>
      </c>
      <c r="J73" s="103" t="s">
        <v>1135</v>
      </c>
      <c r="K73" s="104">
        <v>0.18000000715255737</v>
      </c>
      <c r="L73" s="103">
        <v>19</v>
      </c>
      <c r="M73" s="103" t="s">
        <v>282</v>
      </c>
      <c r="N73" s="104">
        <v>0.57999998331069946</v>
      </c>
      <c r="O73" t="s">
        <v>67</v>
      </c>
      <c r="P73">
        <v>32</v>
      </c>
      <c r="Q73" s="67">
        <f t="shared" si="6"/>
        <v>0</v>
      </c>
      <c r="R73" s="67">
        <f t="shared" si="7"/>
        <v>0.22999995946884155</v>
      </c>
      <c r="S73">
        <v>501</v>
      </c>
      <c r="T73">
        <v>236</v>
      </c>
      <c r="U73">
        <v>36</v>
      </c>
      <c r="V73">
        <f t="shared" si="8"/>
        <v>773</v>
      </c>
      <c r="W73" s="67">
        <f t="shared" si="9"/>
        <v>0.3053040103492885</v>
      </c>
      <c r="X73" s="67">
        <f t="shared" si="10"/>
        <v>4.6571798188874518E-2</v>
      </c>
      <c r="Y73" s="67">
        <f t="shared" si="11"/>
        <v>0.64812419146183697</v>
      </c>
      <c r="Z73">
        <v>1</v>
      </c>
    </row>
    <row r="74" spans="1:26" x14ac:dyDescent="0.25">
      <c r="A74" t="s">
        <v>55</v>
      </c>
      <c r="B74" t="s">
        <v>56</v>
      </c>
      <c r="C74" s="101">
        <v>20</v>
      </c>
      <c r="D74" s="103" t="s">
        <v>1173</v>
      </c>
      <c r="E74" s="104">
        <v>0.44999998807907104</v>
      </c>
      <c r="F74" s="101">
        <v>46</v>
      </c>
      <c r="G74" s="103" t="s">
        <v>271</v>
      </c>
      <c r="H74" s="104">
        <v>0.56999999284744263</v>
      </c>
      <c r="I74" s="103">
        <v>18</v>
      </c>
      <c r="J74" s="103" t="s">
        <v>1132</v>
      </c>
      <c r="K74" s="104">
        <v>0.5</v>
      </c>
      <c r="L74" s="103">
        <v>38</v>
      </c>
      <c r="M74" s="103" t="s">
        <v>271</v>
      </c>
      <c r="N74" s="104">
        <v>0.61000001430511475</v>
      </c>
      <c r="O74" t="s">
        <v>55</v>
      </c>
      <c r="P74">
        <v>35</v>
      </c>
      <c r="Q74" s="67">
        <f t="shared" si="6"/>
        <v>0</v>
      </c>
      <c r="R74" s="67">
        <f t="shared" si="7"/>
        <v>0.12000000476837158</v>
      </c>
      <c r="S74">
        <v>136</v>
      </c>
      <c r="T74">
        <v>221</v>
      </c>
      <c r="U74">
        <v>78</v>
      </c>
      <c r="V74">
        <f t="shared" si="8"/>
        <v>435</v>
      </c>
      <c r="W74" s="67">
        <f t="shared" si="9"/>
        <v>0.50804597701149423</v>
      </c>
      <c r="X74" s="67">
        <f t="shared" si="10"/>
        <v>0.1793103448275862</v>
      </c>
      <c r="Y74" s="67">
        <f t="shared" si="11"/>
        <v>0.31264367816091954</v>
      </c>
      <c r="Z74">
        <v>1</v>
      </c>
    </row>
    <row r="75" spans="1:26" x14ac:dyDescent="0.25">
      <c r="A75" t="s">
        <v>701</v>
      </c>
      <c r="B75" s="15" t="s">
        <v>702</v>
      </c>
      <c r="C75" s="101">
        <v>35</v>
      </c>
      <c r="D75" s="103" t="s">
        <v>1144</v>
      </c>
      <c r="E75" s="104">
        <v>0.40000000596046448</v>
      </c>
      <c r="F75" s="101">
        <v>47</v>
      </c>
      <c r="G75" s="103" t="s">
        <v>282</v>
      </c>
      <c r="H75" s="104">
        <v>0.50999999046325684</v>
      </c>
      <c r="I75" s="103">
        <v>35</v>
      </c>
      <c r="J75" s="103" t="s">
        <v>1144</v>
      </c>
      <c r="K75" s="104">
        <v>0.40000000596046448</v>
      </c>
      <c r="L75" s="103">
        <v>47</v>
      </c>
      <c r="M75" s="103" t="s">
        <v>282</v>
      </c>
      <c r="N75" s="104">
        <v>0.50999999046325684</v>
      </c>
      <c r="O75" t="s">
        <v>701</v>
      </c>
      <c r="P75">
        <v>41</v>
      </c>
      <c r="Q75" s="67">
        <f t="shared" si="6"/>
        <v>0</v>
      </c>
      <c r="R75" s="67">
        <f t="shared" si="7"/>
        <v>0.10999998450279236</v>
      </c>
      <c r="S75">
        <v>0</v>
      </c>
      <c r="T75">
        <v>167</v>
      </c>
      <c r="U75">
        <v>5</v>
      </c>
      <c r="V75">
        <f t="shared" si="8"/>
        <v>172</v>
      </c>
      <c r="W75" s="67">
        <f t="shared" si="9"/>
        <v>0.97093023255813948</v>
      </c>
      <c r="X75" s="67">
        <f t="shared" si="10"/>
        <v>2.9069767441860465E-2</v>
      </c>
      <c r="Y75" s="67">
        <f t="shared" si="11"/>
        <v>0</v>
      </c>
      <c r="Z75">
        <v>1</v>
      </c>
    </row>
    <row r="76" spans="1:26" x14ac:dyDescent="0.25">
      <c r="A76" t="s">
        <v>104</v>
      </c>
      <c r="B76" t="s">
        <v>105</v>
      </c>
      <c r="C76" s="101">
        <v>239</v>
      </c>
      <c r="D76" s="103" t="s">
        <v>242</v>
      </c>
      <c r="E76" s="104">
        <v>0.44999998807907104</v>
      </c>
      <c r="F76" s="101">
        <v>192</v>
      </c>
      <c r="G76" s="103" t="s">
        <v>225</v>
      </c>
      <c r="H76" s="104">
        <v>0.62000000476837158</v>
      </c>
      <c r="I76" s="103">
        <v>62</v>
      </c>
      <c r="J76" s="103" t="s">
        <v>298</v>
      </c>
      <c r="K76" s="104">
        <v>0.5</v>
      </c>
      <c r="L76" s="103">
        <v>69</v>
      </c>
      <c r="M76" s="103" t="s">
        <v>207</v>
      </c>
      <c r="N76" s="104">
        <v>0.68000000715255737</v>
      </c>
      <c r="O76" t="s">
        <v>104</v>
      </c>
      <c r="P76">
        <v>25</v>
      </c>
      <c r="Q76" s="67">
        <f t="shared" si="6"/>
        <v>0</v>
      </c>
      <c r="R76" s="67">
        <f t="shared" si="7"/>
        <v>0.17000001668930054</v>
      </c>
      <c r="S76">
        <v>682</v>
      </c>
      <c r="T76">
        <v>217</v>
      </c>
      <c r="U76">
        <v>96</v>
      </c>
      <c r="V76">
        <f t="shared" si="8"/>
        <v>995</v>
      </c>
      <c r="W76" s="67">
        <f t="shared" si="9"/>
        <v>0.21809045226130652</v>
      </c>
      <c r="X76" s="67">
        <f t="shared" si="10"/>
        <v>9.6482412060301503E-2</v>
      </c>
      <c r="Y76" s="67">
        <f t="shared" si="11"/>
        <v>0.68542713567839197</v>
      </c>
      <c r="Z76">
        <v>1</v>
      </c>
    </row>
    <row r="77" spans="1:26" x14ac:dyDescent="0.25">
      <c r="A77" t="s">
        <v>74</v>
      </c>
      <c r="B77" t="s">
        <v>75</v>
      </c>
      <c r="C77" s="101">
        <v>34</v>
      </c>
      <c r="D77" s="103" t="s">
        <v>1134</v>
      </c>
      <c r="E77" s="104">
        <v>0.34999999403953552</v>
      </c>
      <c r="F77" s="101">
        <v>44</v>
      </c>
      <c r="G77" s="103" t="s">
        <v>206</v>
      </c>
      <c r="H77" s="104">
        <v>0.38999998569488525</v>
      </c>
      <c r="I77" s="103">
        <v>34</v>
      </c>
      <c r="J77" s="103" t="s">
        <v>1134</v>
      </c>
      <c r="K77" s="104">
        <v>0.34999999403953552</v>
      </c>
      <c r="L77" s="103">
        <v>29</v>
      </c>
      <c r="M77" s="103" t="s">
        <v>244</v>
      </c>
      <c r="N77" s="104">
        <v>0.40999999642372131</v>
      </c>
      <c r="O77" t="s">
        <v>74</v>
      </c>
      <c r="P77">
        <v>52</v>
      </c>
      <c r="Q77" s="67">
        <f t="shared" si="6"/>
        <v>0</v>
      </c>
      <c r="R77" s="67">
        <f t="shared" si="7"/>
        <v>3.9999991655349731E-2</v>
      </c>
      <c r="S77">
        <v>49</v>
      </c>
      <c r="T77">
        <v>148</v>
      </c>
      <c r="U77">
        <v>11</v>
      </c>
      <c r="V77">
        <f t="shared" si="8"/>
        <v>208</v>
      </c>
      <c r="W77" s="67">
        <f t="shared" si="9"/>
        <v>0.71153846153846156</v>
      </c>
      <c r="X77" s="67">
        <f t="shared" si="10"/>
        <v>5.2884615384615384E-2</v>
      </c>
      <c r="Y77" s="67">
        <f t="shared" si="11"/>
        <v>0.23557692307692307</v>
      </c>
      <c r="Z77">
        <v>1</v>
      </c>
    </row>
    <row r="78" spans="1:26" x14ac:dyDescent="0.25">
      <c r="A78" t="s">
        <v>677</v>
      </c>
      <c r="B78" s="15" t="s">
        <v>678</v>
      </c>
      <c r="C78" s="101">
        <v>13</v>
      </c>
      <c r="D78" s="103" t="s">
        <v>225</v>
      </c>
      <c r="E78" s="104" t="e">
        <v>#VALUE!</v>
      </c>
      <c r="F78" s="101" t="s">
        <v>433</v>
      </c>
      <c r="G78" s="103" t="s">
        <v>346</v>
      </c>
      <c r="H78" s="104" t="e">
        <v>#VALUE!</v>
      </c>
      <c r="I78" s="103">
        <v>13</v>
      </c>
      <c r="J78" s="103" t="s">
        <v>225</v>
      </c>
      <c r="K78" s="104">
        <v>0.68999999761581421</v>
      </c>
      <c r="L78" s="101" t="s">
        <v>433</v>
      </c>
      <c r="M78" s="103" t="s">
        <v>346</v>
      </c>
      <c r="N78" s="104" t="s">
        <v>346</v>
      </c>
      <c r="O78" t="s">
        <v>677</v>
      </c>
      <c r="P78" s="104" t="e">
        <v>#VALUE!</v>
      </c>
      <c r="Q78" s="67" t="e">
        <f t="shared" si="6"/>
        <v>#VALUE!</v>
      </c>
      <c r="R78" s="67" t="e">
        <f t="shared" si="7"/>
        <v>#VALUE!</v>
      </c>
      <c r="S78">
        <v>2</v>
      </c>
      <c r="T78">
        <v>93</v>
      </c>
      <c r="U78">
        <v>26</v>
      </c>
      <c r="V78">
        <f t="shared" si="8"/>
        <v>121</v>
      </c>
      <c r="W78" s="67">
        <f t="shared" si="9"/>
        <v>0.76859504132231404</v>
      </c>
      <c r="X78" s="67">
        <f t="shared" si="10"/>
        <v>0.21487603305785125</v>
      </c>
      <c r="Y78" s="67">
        <f t="shared" si="11"/>
        <v>1.6528925619834711E-2</v>
      </c>
      <c r="Z78">
        <v>1</v>
      </c>
    </row>
    <row r="79" spans="1:26" x14ac:dyDescent="0.25">
      <c r="A79" t="s">
        <v>114</v>
      </c>
      <c r="B79" t="s">
        <v>347</v>
      </c>
      <c r="C79" s="101">
        <v>124</v>
      </c>
      <c r="D79" s="103" t="s">
        <v>1179</v>
      </c>
      <c r="E79" s="104">
        <v>0.5</v>
      </c>
      <c r="F79" s="101">
        <v>95</v>
      </c>
      <c r="G79" s="103" t="s">
        <v>457</v>
      </c>
      <c r="H79" s="104">
        <v>0.43000000715255737</v>
      </c>
      <c r="I79" s="103">
        <v>27</v>
      </c>
      <c r="J79" s="103" t="s">
        <v>1141</v>
      </c>
      <c r="K79" s="104">
        <v>0.43999999761581421</v>
      </c>
      <c r="L79" s="103">
        <v>16</v>
      </c>
      <c r="M79" s="103" t="s">
        <v>462</v>
      </c>
      <c r="N79" s="104">
        <v>0.25</v>
      </c>
      <c r="O79" t="s">
        <v>114</v>
      </c>
      <c r="P79">
        <v>49</v>
      </c>
      <c r="Q79" s="67">
        <f t="shared" si="6"/>
        <v>6.9999992847442627E-2</v>
      </c>
      <c r="R79" s="67">
        <f t="shared" si="7"/>
        <v>0</v>
      </c>
      <c r="S79">
        <v>593</v>
      </c>
      <c r="T79">
        <v>162</v>
      </c>
      <c r="U79">
        <v>76</v>
      </c>
      <c r="V79">
        <f t="shared" si="8"/>
        <v>831</v>
      </c>
      <c r="W79" s="67">
        <f t="shared" si="9"/>
        <v>0.19494584837545126</v>
      </c>
      <c r="X79" s="67">
        <f t="shared" si="10"/>
        <v>9.1456077015643802E-2</v>
      </c>
      <c r="Y79" s="67">
        <f t="shared" si="11"/>
        <v>0.7135980746089049</v>
      </c>
      <c r="Z79">
        <v>1</v>
      </c>
    </row>
    <row r="80" spans="1:26" x14ac:dyDescent="0.25">
      <c r="A80" t="s">
        <v>131</v>
      </c>
      <c r="B80" t="s">
        <v>132</v>
      </c>
      <c r="C80" s="101">
        <v>42</v>
      </c>
      <c r="D80" s="103" t="s">
        <v>1147</v>
      </c>
      <c r="E80" s="104">
        <v>0.55000001192092896</v>
      </c>
      <c r="F80" s="101">
        <v>124</v>
      </c>
      <c r="G80" s="103" t="s">
        <v>295</v>
      </c>
      <c r="H80" s="104">
        <v>0.73000001907348633</v>
      </c>
      <c r="I80" s="103">
        <v>32</v>
      </c>
      <c r="J80" s="103" t="s">
        <v>1147</v>
      </c>
      <c r="K80" s="104">
        <v>0.56000000238418579</v>
      </c>
      <c r="L80" s="103">
        <v>41</v>
      </c>
      <c r="M80" s="103" t="s">
        <v>271</v>
      </c>
      <c r="N80" s="104">
        <v>0.61000001430511475</v>
      </c>
      <c r="O80" t="s">
        <v>131</v>
      </c>
      <c r="P80">
        <v>9</v>
      </c>
      <c r="Q80" s="67">
        <f t="shared" si="6"/>
        <v>0</v>
      </c>
      <c r="R80" s="67">
        <f t="shared" si="7"/>
        <v>0.18000000715255737</v>
      </c>
      <c r="S80">
        <v>223</v>
      </c>
      <c r="T80">
        <v>114</v>
      </c>
      <c r="U80">
        <v>86</v>
      </c>
      <c r="V80">
        <f t="shared" si="8"/>
        <v>423</v>
      </c>
      <c r="W80" s="67">
        <f t="shared" si="9"/>
        <v>0.26950354609929078</v>
      </c>
      <c r="X80" s="67">
        <f t="shared" si="10"/>
        <v>0.20330969267139479</v>
      </c>
      <c r="Y80" s="67">
        <f t="shared" si="11"/>
        <v>0.5271867612293144</v>
      </c>
      <c r="Z80">
        <v>1</v>
      </c>
    </row>
    <row r="81" spans="1:26" x14ac:dyDescent="0.25">
      <c r="A81" t="s">
        <v>73</v>
      </c>
      <c r="B81" t="s">
        <v>197</v>
      </c>
      <c r="C81" s="101">
        <v>14</v>
      </c>
      <c r="D81" s="103" t="s">
        <v>1177</v>
      </c>
      <c r="E81" s="104">
        <v>0.43000000715255737</v>
      </c>
      <c r="F81" s="101">
        <v>12</v>
      </c>
      <c r="G81" s="103" t="s">
        <v>1139</v>
      </c>
      <c r="H81" s="104">
        <v>0.5</v>
      </c>
      <c r="I81" s="103">
        <v>12</v>
      </c>
      <c r="J81" s="103" t="s">
        <v>1138</v>
      </c>
      <c r="K81" s="104">
        <v>0.41999998688697815</v>
      </c>
      <c r="L81" s="103">
        <v>12</v>
      </c>
      <c r="M81" s="103" t="s">
        <v>1139</v>
      </c>
      <c r="N81" s="104">
        <v>0.5</v>
      </c>
      <c r="O81" t="s">
        <v>73</v>
      </c>
      <c r="P81">
        <v>43</v>
      </c>
      <c r="Q81" s="67">
        <f t="shared" si="6"/>
        <v>0</v>
      </c>
      <c r="R81" s="67">
        <f t="shared" si="7"/>
        <v>6.9999992847442627E-2</v>
      </c>
      <c r="S81">
        <v>24</v>
      </c>
      <c r="T81">
        <v>101</v>
      </c>
      <c r="U81">
        <v>4</v>
      </c>
      <c r="V81">
        <f t="shared" si="8"/>
        <v>129</v>
      </c>
      <c r="W81" s="67">
        <f t="shared" si="9"/>
        <v>0.78294573643410847</v>
      </c>
      <c r="X81" s="67">
        <f t="shared" si="10"/>
        <v>3.1007751937984496E-2</v>
      </c>
      <c r="Y81" s="67">
        <f t="shared" si="11"/>
        <v>0.18604651162790697</v>
      </c>
      <c r="Z81">
        <v>1</v>
      </c>
    </row>
    <row r="82" spans="1:26" x14ac:dyDescent="0.25">
      <c r="A82" t="s">
        <v>133</v>
      </c>
      <c r="B82" t="s">
        <v>134</v>
      </c>
      <c r="C82" s="101">
        <v>15</v>
      </c>
      <c r="D82" s="103" t="s">
        <v>240</v>
      </c>
      <c r="E82" s="104">
        <v>0.27000001072883606</v>
      </c>
      <c r="F82" s="101">
        <v>12</v>
      </c>
      <c r="G82" s="103" t="s">
        <v>534</v>
      </c>
      <c r="H82" s="104">
        <v>0.33000001311302185</v>
      </c>
      <c r="I82" s="101" t="s">
        <v>433</v>
      </c>
      <c r="J82" s="103" t="s">
        <v>346</v>
      </c>
      <c r="K82" s="104" t="s">
        <v>346</v>
      </c>
      <c r="L82" s="101" t="s">
        <v>433</v>
      </c>
      <c r="M82" s="103" t="s">
        <v>346</v>
      </c>
      <c r="N82" s="104" t="s">
        <v>346</v>
      </c>
      <c r="O82" t="s">
        <v>133</v>
      </c>
      <c r="P82">
        <v>56</v>
      </c>
      <c r="Q82" s="67">
        <f t="shared" si="6"/>
        <v>0</v>
      </c>
      <c r="R82" s="67">
        <f t="shared" si="7"/>
        <v>6.0000002384185791E-2</v>
      </c>
      <c r="S82">
        <v>73</v>
      </c>
      <c r="T82">
        <v>52</v>
      </c>
      <c r="U82">
        <v>23</v>
      </c>
      <c r="V82">
        <f t="shared" si="8"/>
        <v>148</v>
      </c>
      <c r="W82" s="67">
        <f t="shared" si="9"/>
        <v>0.35135135135135137</v>
      </c>
      <c r="X82" s="67">
        <f t="shared" si="10"/>
        <v>0.1554054054054054</v>
      </c>
      <c r="Y82" s="67">
        <f t="shared" si="11"/>
        <v>0.49324324324324326</v>
      </c>
      <c r="Z82">
        <v>1</v>
      </c>
    </row>
    <row r="83" spans="1:26" x14ac:dyDescent="0.25">
      <c r="A83" t="s">
        <v>137</v>
      </c>
      <c r="B83" t="s">
        <v>138</v>
      </c>
      <c r="C83" s="101">
        <v>33</v>
      </c>
      <c r="D83" s="103" t="s">
        <v>237</v>
      </c>
      <c r="E83" s="104">
        <v>0.41999998688697815</v>
      </c>
      <c r="F83" s="101">
        <v>68</v>
      </c>
      <c r="G83" s="103" t="s">
        <v>205</v>
      </c>
      <c r="H83" s="104">
        <v>0.52999997138977051</v>
      </c>
      <c r="I83" s="103">
        <v>24</v>
      </c>
      <c r="J83" s="103" t="s">
        <v>235</v>
      </c>
      <c r="K83" s="104">
        <v>0.37999999523162842</v>
      </c>
      <c r="L83" s="103">
        <v>28</v>
      </c>
      <c r="M83" s="103" t="s">
        <v>290</v>
      </c>
      <c r="N83" s="104">
        <v>0.61000001430511475</v>
      </c>
      <c r="O83" t="s">
        <v>137</v>
      </c>
      <c r="P83">
        <v>39</v>
      </c>
      <c r="Q83" s="67">
        <f t="shared" si="6"/>
        <v>0</v>
      </c>
      <c r="R83" s="67">
        <f t="shared" si="7"/>
        <v>0.10999998450279236</v>
      </c>
      <c r="S83">
        <v>263</v>
      </c>
      <c r="T83">
        <v>220</v>
      </c>
      <c r="U83">
        <v>50</v>
      </c>
      <c r="V83">
        <f t="shared" si="8"/>
        <v>533</v>
      </c>
      <c r="W83" s="67">
        <f t="shared" si="9"/>
        <v>0.41275797373358347</v>
      </c>
      <c r="X83" s="67">
        <f t="shared" si="10"/>
        <v>9.3808630393996242E-2</v>
      </c>
      <c r="Y83" s="67">
        <f t="shared" si="11"/>
        <v>0.49343339587242024</v>
      </c>
      <c r="Z83">
        <v>1</v>
      </c>
    </row>
    <row r="84" spans="1:26" x14ac:dyDescent="0.25">
      <c r="A84" t="s">
        <v>431</v>
      </c>
      <c r="B84" s="125" t="s">
        <v>432</v>
      </c>
      <c r="C84" s="101" t="s">
        <v>433</v>
      </c>
      <c r="D84" s="103" t="s">
        <v>346</v>
      </c>
      <c r="E84" s="104" t="e">
        <v>#VALUE!</v>
      </c>
      <c r="F84" s="101" t="s">
        <v>433</v>
      </c>
      <c r="G84" s="103" t="s">
        <v>346</v>
      </c>
      <c r="H84" s="104" t="e">
        <v>#VALUE!</v>
      </c>
      <c r="I84" s="101" t="s">
        <v>1110</v>
      </c>
      <c r="J84" s="103" t="s">
        <v>1110</v>
      </c>
      <c r="K84" s="104" t="s">
        <v>1110</v>
      </c>
      <c r="L84" s="101" t="s">
        <v>1110</v>
      </c>
      <c r="M84" s="103" t="s">
        <v>1110</v>
      </c>
      <c r="N84" s="104" t="s">
        <v>1110</v>
      </c>
      <c r="O84" t="s">
        <v>431</v>
      </c>
      <c r="P84" s="104" t="e">
        <v>#VALUE!</v>
      </c>
      <c r="Q84" s="67" t="e">
        <f t="shared" si="6"/>
        <v>#VALUE!</v>
      </c>
      <c r="R84" s="67" t="e">
        <f t="shared" si="7"/>
        <v>#VALUE!</v>
      </c>
      <c r="S84">
        <v>179</v>
      </c>
      <c r="T84">
        <v>0</v>
      </c>
      <c r="U84">
        <v>0</v>
      </c>
      <c r="V84">
        <f t="shared" si="8"/>
        <v>179</v>
      </c>
      <c r="W84" s="67">
        <f t="shared" si="9"/>
        <v>0</v>
      </c>
      <c r="X84" s="67">
        <f t="shared" si="10"/>
        <v>0</v>
      </c>
      <c r="Y84" s="67">
        <f t="shared" si="11"/>
        <v>1</v>
      </c>
      <c r="Z84">
        <v>0</v>
      </c>
    </row>
    <row r="85" spans="1:26" x14ac:dyDescent="0.25">
      <c r="A85" t="s">
        <v>33</v>
      </c>
      <c r="B85" t="s">
        <v>34</v>
      </c>
      <c r="C85" s="101">
        <v>111</v>
      </c>
      <c r="D85" s="103" t="s">
        <v>299</v>
      </c>
      <c r="E85" s="104">
        <v>0.72000002861022949</v>
      </c>
      <c r="F85" s="101">
        <v>140</v>
      </c>
      <c r="G85" s="103" t="s">
        <v>299</v>
      </c>
      <c r="H85" s="104">
        <v>0.75</v>
      </c>
      <c r="I85" s="103">
        <v>42</v>
      </c>
      <c r="J85" s="103" t="s">
        <v>220</v>
      </c>
      <c r="K85" s="104">
        <v>0.79000002145767212</v>
      </c>
      <c r="L85" s="103">
        <v>50</v>
      </c>
      <c r="M85" s="103" t="s">
        <v>276</v>
      </c>
      <c r="N85" s="104">
        <v>0.80000001192092896</v>
      </c>
      <c r="O85" t="s">
        <v>33</v>
      </c>
      <c r="P85">
        <v>6</v>
      </c>
      <c r="Q85" s="67">
        <f t="shared" si="6"/>
        <v>0</v>
      </c>
      <c r="R85" s="67">
        <f t="shared" si="7"/>
        <v>2.9999971389770508E-2</v>
      </c>
      <c r="S85">
        <v>685</v>
      </c>
      <c r="T85">
        <v>193</v>
      </c>
      <c r="U85">
        <v>13</v>
      </c>
      <c r="V85">
        <f t="shared" si="8"/>
        <v>891</v>
      </c>
      <c r="W85" s="67">
        <f t="shared" si="9"/>
        <v>0.21661054994388329</v>
      </c>
      <c r="X85" s="67">
        <f t="shared" si="10"/>
        <v>1.4590347923681257E-2</v>
      </c>
      <c r="Y85" s="67">
        <f t="shared" si="11"/>
        <v>0.76879910213243552</v>
      </c>
      <c r="Z85">
        <v>1</v>
      </c>
    </row>
  </sheetData>
  <autoFilter ref="A1:Z85"/>
  <sortState ref="A2:N87">
    <sortCondition ref="B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5.140625" bestFit="1" customWidth="1"/>
    <col min="5" max="5" width="9.7109375" bestFit="1" customWidth="1"/>
    <col min="6" max="6" width="12.7109375" customWidth="1"/>
    <col min="7" max="7" width="10.85546875" customWidth="1"/>
    <col min="10" max="10" width="12.85546875" customWidth="1"/>
    <col min="11" max="11" width="13.7109375" bestFit="1" customWidth="1"/>
    <col min="18" max="18" width="33.140625" bestFit="1" customWidth="1"/>
    <col min="20" max="27" width="9.140625" style="31"/>
  </cols>
  <sheetData>
    <row r="1" spans="1:32" ht="30.75" customHeight="1" x14ac:dyDescent="0.25">
      <c r="A1" s="19" t="s">
        <v>349</v>
      </c>
      <c r="B1" s="20" t="s">
        <v>8</v>
      </c>
      <c r="Z1" s="33"/>
      <c r="AA1" s="33" t="s">
        <v>1079</v>
      </c>
      <c r="AB1" s="33" t="s">
        <v>1080</v>
      </c>
      <c r="AC1" s="33" t="s">
        <v>1081</v>
      </c>
      <c r="AD1" s="33" t="s">
        <v>1097</v>
      </c>
      <c r="AE1" s="33" t="s">
        <v>1098</v>
      </c>
      <c r="AF1" s="33"/>
    </row>
    <row r="2" spans="1:32" ht="15.75" x14ac:dyDescent="0.25">
      <c r="C2" s="138"/>
      <c r="D2" s="138" t="s">
        <v>375</v>
      </c>
      <c r="E2" s="146" t="s">
        <v>666</v>
      </c>
      <c r="F2" s="146"/>
      <c r="G2" s="146"/>
      <c r="Z2" s="33"/>
      <c r="AA2" s="33" t="e">
        <f>VLOOKUP($B$1,'Lower Limb Angioplasty'!$B:$AG,30,FALSE)</f>
        <v>#VALUE!</v>
      </c>
      <c r="AB2" s="33" t="str">
        <f>VLOOKUP($B$1,'Lower Limb Angioplasty'!$B:$AG,31,FALSE)</f>
        <v>xx</v>
      </c>
      <c r="AC2" s="33" t="str">
        <f>VLOOKUP($B$1,'Lower Limb Angioplasty'!$B:$AG,32,FALSE)</f>
        <v>xx</v>
      </c>
      <c r="AD2" s="33">
        <f>VLOOKUP($B$1,'Lower Limb Angioplasty'!$B:$AI,34,FALSE)</f>
        <v>0</v>
      </c>
      <c r="AE2" s="33" t="e">
        <f>VLOOKUP($B$1,'Lower Limb Angioplasty'!$B:$AI,33,FALSE)</f>
        <v>#VALUE!</v>
      </c>
      <c r="AF2" s="33"/>
    </row>
    <row r="4" spans="1:32" x14ac:dyDescent="0.25">
      <c r="R4" s="33">
        <f>MATCH(E2,'Lower Limb Angioplasty'!$Y$1:$Z$1,0)</f>
        <v>1</v>
      </c>
    </row>
    <row r="28" spans="2:12" ht="15.75" thickBot="1" x14ac:dyDescent="0.3"/>
    <row r="29" spans="2:12" ht="105.75" thickBot="1" x14ac:dyDescent="0.3">
      <c r="B29" s="21" t="s">
        <v>175</v>
      </c>
      <c r="C29" s="21" t="s">
        <v>176</v>
      </c>
      <c r="D29" s="42" t="s">
        <v>1066</v>
      </c>
      <c r="E29" s="42" t="s">
        <v>1074</v>
      </c>
      <c r="F29" s="43" t="s">
        <v>1067</v>
      </c>
      <c r="G29" s="21" t="s">
        <v>1068</v>
      </c>
      <c r="H29" s="42" t="s">
        <v>1069</v>
      </c>
      <c r="I29" s="43" t="s">
        <v>1070</v>
      </c>
      <c r="J29" s="43" t="s">
        <v>1071</v>
      </c>
      <c r="K29" s="43" t="s">
        <v>1072</v>
      </c>
      <c r="L29" s="21" t="s">
        <v>1073</v>
      </c>
    </row>
    <row r="30" spans="2:12" ht="15.75" thickBot="1" x14ac:dyDescent="0.3">
      <c r="B30" s="23" t="str">
        <f>B1</f>
        <v>Aneurin Bevan University Health Board</v>
      </c>
      <c r="C30" s="25" t="str">
        <f>VLOOKUP($B30,'Lower Limb Angioplasty'!$B:$X,23,FALSE)</f>
        <v>7A6</v>
      </c>
      <c r="D30" s="25">
        <f>VLOOKUP($B30,'Lower Limb Angioplasty'!$B:$X,5,FALSE)</f>
        <v>10</v>
      </c>
      <c r="E30" s="25">
        <f>VLOOKUP($B30,'Lower Limb Angioplasty'!$B:$X,2,FALSE)</f>
        <v>20</v>
      </c>
      <c r="F30" s="26">
        <f>VLOOKUP($B30,'Lower Limb Angioplasty'!$B:$X,12,FALSE)</f>
        <v>0.30000001192092896</v>
      </c>
      <c r="G30" s="24" t="str">
        <f>VLOOKUP($B30,'Lower Limb Angioplasty'!$B:$X,8,FALSE)</f>
        <v>1 (0 - 6)</v>
      </c>
      <c r="H30" s="27">
        <f>VLOOKUP($B30,'Lower Limb Angioplasty'!$B:$X,6,FALSE)</f>
        <v>0</v>
      </c>
      <c r="I30" s="27">
        <f>VLOOKUP($B30,'Lower Limb Angioplasty'!$B:$X,22,FALSE)</f>
        <v>0</v>
      </c>
      <c r="J30" s="44" t="str">
        <f>VLOOKUP($B30,'Lower Limb Angioplasty'!$B:$X,16,FALSE)</f>
        <v>&lt;10</v>
      </c>
      <c r="K30" s="24" t="str">
        <f>VLOOKUP($B30,'Lower Limb Angioplasty'!$B:$X,17,FALSE)</f>
        <v>xx</v>
      </c>
      <c r="L30" s="24" t="str">
        <f>VLOOKUP($B30,'Lower Limb Angioplasty'!$B:$X,18,FALSE)</f>
        <v>xx</v>
      </c>
    </row>
    <row r="31" spans="2:12" ht="15.75" thickBot="1" x14ac:dyDescent="0.3">
      <c r="B31" s="145" t="s">
        <v>350</v>
      </c>
      <c r="C31" s="145"/>
      <c r="D31" s="46">
        <v>5071</v>
      </c>
      <c r="E31" s="46">
        <v>15126</v>
      </c>
      <c r="F31" s="108">
        <v>0.57999999999999996</v>
      </c>
      <c r="G31" s="128" t="s">
        <v>275</v>
      </c>
      <c r="H31" s="129">
        <v>1.7999999999999999E-2</v>
      </c>
      <c r="I31" s="130">
        <v>0.11600000000000001</v>
      </c>
      <c r="J31" s="95">
        <v>1776</v>
      </c>
      <c r="K31" s="72" t="s">
        <v>212</v>
      </c>
      <c r="L31" s="109">
        <v>0.57999999999999996</v>
      </c>
    </row>
  </sheetData>
  <mergeCells count="2">
    <mergeCell ref="B31:C31"/>
    <mergeCell ref="E2:G2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'Lower Limb Angioplasty'!$B$2:$B$91</xm:f>
          </x14:formula1>
          <xm:sqref>B1</xm:sqref>
        </x14:dataValidation>
        <x14:dataValidation type="list" allowBlank="1" showInputMessage="1" showErrorMessage="1">
          <x14:formula1>
            <xm:f>'Lower Limb Angioplasty'!$Y$1:$Z$1</xm:f>
          </x14:formula1>
          <xm:sqref>E2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71.5703125" bestFit="1" customWidth="1"/>
    <col min="3" max="10" width="15.7109375" customWidth="1"/>
    <col min="15" max="15" width="37.28515625" style="31" customWidth="1"/>
    <col min="16" max="31" width="9.140625" style="31"/>
  </cols>
  <sheetData>
    <row r="1" spans="1:30" ht="30.75" customHeight="1" x14ac:dyDescent="0.25">
      <c r="A1" s="19" t="s">
        <v>349</v>
      </c>
      <c r="B1" s="20" t="s">
        <v>8</v>
      </c>
      <c r="AA1" s="120" t="s">
        <v>1152</v>
      </c>
      <c r="AB1" s="121" t="s">
        <v>1154</v>
      </c>
      <c r="AC1" s="121" t="s">
        <v>1155</v>
      </c>
      <c r="AD1" s="122" t="s">
        <v>1153</v>
      </c>
    </row>
    <row r="2" spans="1:30" x14ac:dyDescent="0.25">
      <c r="AA2" s="33">
        <f>VLOOKUP($B$1,'Lower Limb Bypass'!$B:$P,11,FALSE)</f>
        <v>0.46000000834465027</v>
      </c>
      <c r="AB2" s="33">
        <f>VLOOKUP($B$1,'Lower Limb Bypass'!$B:$P,15,FALSE)</f>
        <v>0</v>
      </c>
      <c r="AC2" s="33">
        <f>VLOOKUP($B$1,'Lower Limb Bypass'!$B:$P,14,FALSE)</f>
        <v>3.9999991655349731E-2</v>
      </c>
      <c r="AD2" s="33">
        <f>VLOOKUP($B$1,'Lower Limb Bypass'!$B:$P,13,FALSE)</f>
        <v>40</v>
      </c>
    </row>
    <row r="28" spans="2:10" ht="15.75" thickBot="1" x14ac:dyDescent="0.3"/>
    <row r="29" spans="2:10" ht="75.75" thickBot="1" x14ac:dyDescent="0.3">
      <c r="B29" s="21" t="s">
        <v>175</v>
      </c>
      <c r="C29" s="21" t="s">
        <v>176</v>
      </c>
      <c r="D29" s="42" t="s">
        <v>1066</v>
      </c>
      <c r="E29" s="21" t="s">
        <v>1159</v>
      </c>
      <c r="F29" s="42" t="s">
        <v>1160</v>
      </c>
      <c r="G29" s="43" t="s">
        <v>1161</v>
      </c>
      <c r="H29" s="43" t="s">
        <v>1150</v>
      </c>
      <c r="I29" s="43" t="s">
        <v>1021</v>
      </c>
      <c r="J29" s="21" t="s">
        <v>1151</v>
      </c>
    </row>
    <row r="30" spans="2:10" ht="15.75" thickBot="1" x14ac:dyDescent="0.3">
      <c r="B30" s="23" t="str">
        <f>B1</f>
        <v>Aneurin Bevan University Health Board</v>
      </c>
      <c r="C30" s="25" t="str">
        <f>VLOOKUP($B30,'Lower Limb Bypass'!$B:$M,12,FALSE)</f>
        <v>7A6</v>
      </c>
      <c r="D30" s="44">
        <f>VLOOKUP($B30,'Lower Limb Bypass'!$B:$Q,16,FALSE)</f>
        <v>58</v>
      </c>
      <c r="E30" s="24" t="str">
        <f>VLOOKUP($B30,'Lower Limb Bypass'!$B:$M,3,FALSE)</f>
        <v>7 (3 - 17)</v>
      </c>
      <c r="F30" s="45">
        <f>VLOOKUP($B30,'Lower Limb Bypass'!$B:$M,4,FALSE)/100</f>
        <v>3.5000000000000005E-4</v>
      </c>
      <c r="G30" s="45">
        <f>VLOOKUP($B30,'Lower Limb Bypass'!$B:$M,5,FALSE)/100</f>
        <v>9.8765400000000003E-2</v>
      </c>
      <c r="H30" s="44">
        <f>VLOOKUP($B30,'Lower Limb Bypass'!$B:$M,9,FALSE)</f>
        <v>26</v>
      </c>
      <c r="I30" s="24" t="str">
        <f>VLOOKUP($B30,'Lower Limb Bypass'!$B:$M,10,FALSE)</f>
        <v>7 (2 - 9)</v>
      </c>
      <c r="J30" s="47">
        <f>VLOOKUP($B30,'Lower Limb Bypass'!$B:$M,11,FALSE)</f>
        <v>0.46000000834465027</v>
      </c>
    </row>
    <row r="31" spans="2:10" ht="15.75" thickBot="1" x14ac:dyDescent="0.3">
      <c r="B31" s="145" t="s">
        <v>350</v>
      </c>
      <c r="C31" s="145"/>
      <c r="D31" s="95">
        <v>5071</v>
      </c>
      <c r="E31" s="137" t="s">
        <v>240</v>
      </c>
      <c r="F31" s="45">
        <v>2.8000000000000001E-2</v>
      </c>
      <c r="G31" s="129">
        <v>0.121</v>
      </c>
      <c r="H31" s="118">
        <v>1651</v>
      </c>
      <c r="I31" s="72" t="s">
        <v>1162</v>
      </c>
      <c r="J31" s="108">
        <v>0.59</v>
      </c>
    </row>
    <row r="35" spans="9:9" x14ac:dyDescent="0.25">
      <c r="I35" s="56"/>
    </row>
  </sheetData>
  <mergeCells count="1">
    <mergeCell ref="B31:C3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'Lower Limb Bypass'!$B$2:$B$74</xm:f>
          </x14:formula1>
          <xm:sqref>B1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"/>
  <sheetViews>
    <sheetView showGridLines="0" zoomScaleNormal="100" workbookViewId="0">
      <selection activeCell="B1" sqref="B1"/>
    </sheetView>
  </sheetViews>
  <sheetFormatPr defaultRowHeight="15" x14ac:dyDescent="0.25"/>
  <cols>
    <col min="1" max="1" width="11.28515625" customWidth="1"/>
    <col min="2" max="2" width="53.140625" bestFit="1" customWidth="1"/>
    <col min="3" max="10" width="19.85546875" customWidth="1"/>
    <col min="13" max="13" width="5.85546875" customWidth="1"/>
    <col min="14" max="14" width="3.28515625" customWidth="1"/>
    <col min="15" max="15" width="26.28515625" customWidth="1"/>
    <col min="16" max="16" width="10" customWidth="1"/>
    <col min="17" max="17" width="38.5703125" bestFit="1" customWidth="1"/>
    <col min="18" max="26" width="9.140625" style="31"/>
    <col min="27" max="27" width="9.140625" style="33"/>
    <col min="28" max="28" width="10.7109375" style="33" customWidth="1"/>
    <col min="29" max="29" width="12.140625" style="33" customWidth="1"/>
    <col min="30" max="30" width="9.140625" style="33"/>
    <col min="31" max="67" width="9.140625" style="31"/>
  </cols>
  <sheetData>
    <row r="1" spans="1:30" ht="30.75" customHeight="1" x14ac:dyDescent="0.25">
      <c r="A1" s="66" t="s">
        <v>349</v>
      </c>
      <c r="B1" s="20" t="s">
        <v>8</v>
      </c>
      <c r="AA1" s="120" t="s">
        <v>1000</v>
      </c>
      <c r="AB1" s="121" t="s">
        <v>1001</v>
      </c>
      <c r="AC1" s="121" t="s">
        <v>1002</v>
      </c>
      <c r="AD1" s="122" t="s">
        <v>1003</v>
      </c>
    </row>
    <row r="2" spans="1:30" ht="15.75" x14ac:dyDescent="0.25">
      <c r="E2" s="34" t="s">
        <v>375</v>
      </c>
      <c r="F2" s="146" t="s">
        <v>767</v>
      </c>
      <c r="G2" s="146"/>
      <c r="H2" s="146"/>
      <c r="I2" s="146"/>
      <c r="J2" s="146"/>
      <c r="AA2" s="33">
        <f>VLOOKUP($B$1,'Major Lower Limb Amputation'!$B:$AN,36,FALSE)</f>
        <v>4</v>
      </c>
      <c r="AB2" s="33">
        <f>VLOOKUP($B$1,'Major Lower Limb Amputation'!$B:$AN,37,FALSE)</f>
        <v>2</v>
      </c>
      <c r="AC2" s="33">
        <f>VLOOKUP($B$1,'Major Lower Limb Amputation'!$B:$AN,38,FALSE)</f>
        <v>4</v>
      </c>
      <c r="AD2" s="33">
        <f>VLOOKUP($B$1,'Major Lower Limb Amputation'!$B:$AN,35,FALSE)</f>
        <v>11</v>
      </c>
    </row>
    <row r="3" spans="1:30" x14ac:dyDescent="0.25">
      <c r="AB3" s="124" t="s">
        <v>709</v>
      </c>
      <c r="AC3" s="124"/>
      <c r="AD3" s="124" t="s">
        <v>370</v>
      </c>
    </row>
    <row r="4" spans="1:30" x14ac:dyDescent="0.25">
      <c r="O4" s="33">
        <f>MATCH(F2,'Major Lower Limb Amputation'!$F$7:$G$7,0)</f>
        <v>2</v>
      </c>
      <c r="AB4" s="124">
        <f>VLOOKUP($B$1,'Major Lower Limb Amputation'!$B:$W,22,FALSE)</f>
        <v>0.59</v>
      </c>
      <c r="AC4" s="124"/>
      <c r="AD4" s="124">
        <f>VLOOKUP($B$1,'Major Lower Limb Amputation'!$B:$W,21,FALSE)</f>
        <v>21</v>
      </c>
    </row>
    <row r="5" spans="1:30" ht="30" x14ac:dyDescent="0.25">
      <c r="AA5" s="120" t="s">
        <v>1093</v>
      </c>
      <c r="AB5" s="121" t="s">
        <v>1095</v>
      </c>
      <c r="AC5" s="121" t="s">
        <v>1096</v>
      </c>
      <c r="AD5" s="122" t="s">
        <v>1094</v>
      </c>
    </row>
    <row r="6" spans="1:30" x14ac:dyDescent="0.25">
      <c r="AA6" s="123">
        <f>VLOOKUP($B$1,'Major Lower Limb Amputation'!$B:$AQ,8,FALSE)</f>
        <v>0.68181818723678589</v>
      </c>
      <c r="AB6" s="33">
        <f>VLOOKUP($B$1,'Major Lower Limb Amputation'!$B:$AQ,41,FALSE)</f>
        <v>0</v>
      </c>
      <c r="AC6" s="33">
        <f>VLOOKUP($B$1,'Major Lower Limb Amputation'!$B:$AQ,40,FALSE)</f>
        <v>0.31818181276321411</v>
      </c>
      <c r="AD6" s="33">
        <f>VLOOKUP($B$1,'Major Lower Limb Amputation'!$B:$AQ,42,FALSE)</f>
        <v>18</v>
      </c>
    </row>
    <row r="27" spans="2:15" ht="15.75" thickBot="1" x14ac:dyDescent="0.3"/>
    <row r="28" spans="2:15" ht="90.75" thickBot="1" x14ac:dyDescent="0.3">
      <c r="B28" s="21" t="s">
        <v>175</v>
      </c>
      <c r="C28" s="21" t="s">
        <v>176</v>
      </c>
      <c r="D28" s="22" t="s">
        <v>979</v>
      </c>
      <c r="E28" s="48" t="s">
        <v>980</v>
      </c>
      <c r="F28" s="21" t="s">
        <v>987</v>
      </c>
      <c r="G28" s="22" t="s">
        <v>981</v>
      </c>
      <c r="H28" s="22" t="s">
        <v>982</v>
      </c>
      <c r="I28" s="49" t="s">
        <v>983</v>
      </c>
      <c r="J28" s="22" t="s">
        <v>984</v>
      </c>
    </row>
    <row r="29" spans="2:15" ht="15.75" thickBot="1" x14ac:dyDescent="0.3">
      <c r="B29" s="23" t="str">
        <f>B1</f>
        <v>Aneurin Bevan University Health Board</v>
      </c>
      <c r="C29" s="44" t="str">
        <f>VLOOKUP($B29,'Major Lower Limb Amputation'!$B:$W,16,FALSE)</f>
        <v>7A6</v>
      </c>
      <c r="D29" s="44">
        <f>VLOOKUP($B29,'Major Lower Limb Amputation'!$B:$W,3,FALSE)</f>
        <v>37</v>
      </c>
      <c r="E29" s="24" t="str">
        <f>VLOOKUP($B29,'Major Lower Limb Amputation'!$B:$W,6,FALSE)</f>
        <v>4 (2 - 8)</v>
      </c>
      <c r="F29" s="24" t="str">
        <f>VLOOKUP($B29,'Major Lower Limb Amputation'!$B:$W,10,FALSE)</f>
        <v>14 (9 - 22)</v>
      </c>
      <c r="G29" s="50">
        <f>VLOOKUP($B29,'Major Lower Limb Amputation'!$B:$W,8,FALSE)</f>
        <v>0.68181818723678589</v>
      </c>
      <c r="H29" s="47">
        <f>VLOOKUP($B29,'Major Lower Limb Amputation'!$B:$W,12,FALSE)</f>
        <v>0.86</v>
      </c>
      <c r="I29" s="47">
        <f>VLOOKUP($B29,'Major Lower Limb Amputation'!$B:$W,14,FALSE)</f>
        <v>0.59</v>
      </c>
      <c r="J29" s="45">
        <f>VLOOKUP($B29,'Major Lower Limb Amputation'!$B:$W,15,FALSE)</f>
        <v>4.9000000000000002E-2</v>
      </c>
    </row>
    <row r="30" spans="2:15" ht="15.75" thickBot="1" x14ac:dyDescent="0.3">
      <c r="B30" s="145" t="s">
        <v>350</v>
      </c>
      <c r="C30" s="145"/>
      <c r="D30" s="95">
        <v>3594</v>
      </c>
      <c r="E30" s="72" t="s">
        <v>985</v>
      </c>
      <c r="F30" s="72" t="s">
        <v>986</v>
      </c>
      <c r="G30" s="96">
        <v>0.98</v>
      </c>
      <c r="H30" s="132">
        <v>0.76</v>
      </c>
      <c r="I30" s="133">
        <v>0.69</v>
      </c>
      <c r="J30" s="73">
        <v>6.0999999999999999E-2</v>
      </c>
    </row>
    <row r="32" spans="2:15" ht="15.75" x14ac:dyDescent="0.25">
      <c r="J32" s="138" t="s">
        <v>375</v>
      </c>
      <c r="K32" s="147" t="s">
        <v>775</v>
      </c>
      <c r="L32" s="147"/>
      <c r="M32" s="147"/>
      <c r="N32" s="147"/>
      <c r="O32" s="147"/>
    </row>
    <row r="33" spans="17:17" x14ac:dyDescent="0.25">
      <c r="Q33" s="33">
        <f>MATCH(K32,'Major Lower Limb Amputation'!$L$7:$O$7,0)</f>
        <v>4</v>
      </c>
    </row>
  </sheetData>
  <mergeCells count="3">
    <mergeCell ref="B30:C30"/>
    <mergeCell ref="K32:O32"/>
    <mergeCell ref="F2:J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'Major Lower Limb Amputation'!$L$7:$O$7</xm:f>
          </x14:formula1>
          <xm:sqref>K32</xm:sqref>
        </x14:dataValidation>
        <x14:dataValidation type="list" allowBlank="1" showInputMessage="1" showErrorMessage="1">
          <x14:formula1>
            <xm:f>'Major Lower Limb Amputation'!$B$8:$B$76</xm:f>
          </x14:formula1>
          <xm:sqref>B1</xm:sqref>
        </x14:dataValidation>
        <x14:dataValidation type="list" allowBlank="1" showInputMessage="1" showErrorMessage="1">
          <x14:formula1>
            <xm:f>'Major Lower Limb Amputation'!$F$7:$G$7</xm:f>
          </x14:formula1>
          <xm:sqref>F2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8"/>
  <sheetViews>
    <sheetView showGridLines="0" zoomScaleNormal="10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55.140625" bestFit="1" customWidth="1"/>
    <col min="3" max="6" width="16.140625" customWidth="1"/>
    <col min="7" max="7" width="18.5703125" customWidth="1"/>
    <col min="8" max="8" width="19.85546875" customWidth="1"/>
    <col min="9" max="9" width="16.140625" customWidth="1"/>
    <col min="10" max="10" width="19.85546875" customWidth="1"/>
    <col min="11" max="11" width="16.140625" customWidth="1"/>
    <col min="15" max="15" width="36.7109375" customWidth="1"/>
    <col min="16" max="26" width="9.140625" style="31"/>
    <col min="27" max="31" width="9.140625" style="33"/>
    <col min="32" max="32" width="61" style="33" bestFit="1" customWidth="1"/>
    <col min="33" max="39" width="9.140625" style="33"/>
    <col min="40" max="67" width="9.140625" style="31"/>
  </cols>
  <sheetData>
    <row r="1" spans="1:39" ht="30.75" customHeight="1" x14ac:dyDescent="0.25">
      <c r="A1" s="19" t="s">
        <v>349</v>
      </c>
      <c r="B1" s="20" t="s">
        <v>8</v>
      </c>
      <c r="AA1" s="120" t="s">
        <v>353</v>
      </c>
      <c r="AB1" s="121" t="s">
        <v>354</v>
      </c>
      <c r="AC1" s="121" t="s">
        <v>355</v>
      </c>
      <c r="AD1" s="122" t="s">
        <v>351</v>
      </c>
      <c r="AE1" s="160" t="s">
        <v>176</v>
      </c>
      <c r="AF1" s="160" t="s">
        <v>175</v>
      </c>
      <c r="AG1" s="121" t="s">
        <v>351</v>
      </c>
      <c r="AH1" s="156" t="s">
        <v>665</v>
      </c>
      <c r="AI1" s="156" t="s">
        <v>413</v>
      </c>
      <c r="AJ1" s="156" t="s">
        <v>414</v>
      </c>
      <c r="AK1" s="121" t="s">
        <v>404</v>
      </c>
      <c r="AL1" s="151" t="s">
        <v>405</v>
      </c>
      <c r="AM1" s="151" t="s">
        <v>357</v>
      </c>
    </row>
    <row r="2" spans="1:39" ht="15.75" x14ac:dyDescent="0.25">
      <c r="E2" s="34" t="s">
        <v>375</v>
      </c>
      <c r="F2" s="146" t="s">
        <v>183</v>
      </c>
      <c r="G2" s="146"/>
      <c r="H2" s="146"/>
      <c r="I2" s="146"/>
      <c r="AA2" s="33">
        <f>VLOOKUP($B$1,$AF:$AK,3,FALSE)</f>
        <v>16</v>
      </c>
      <c r="AB2" s="33">
        <f>VLOOKUP($B$1,$AF:$AK,4,FALSE)</f>
        <v>7</v>
      </c>
      <c r="AC2" s="33">
        <f>VLOOKUP($B$1,$AF:$AK,5,FALSE)</f>
        <v>9</v>
      </c>
      <c r="AD2" s="33">
        <f>VLOOKUP($B$1,$AF:$AK,2,FALSE)</f>
        <v>57</v>
      </c>
      <c r="AE2" s="153" t="s">
        <v>13</v>
      </c>
      <c r="AF2" s="153" t="s">
        <v>422</v>
      </c>
      <c r="AG2" s="153">
        <v>1</v>
      </c>
      <c r="AH2" s="123">
        <f>VLOOKUP($AE2,'Carotid Endarterectomy'!$A:$AA,24,FALSE)</f>
        <v>5</v>
      </c>
      <c r="AI2" s="123">
        <f>VLOOKUP($AE2,'Carotid Endarterectomy'!$A:$AA,25,FALSE)</f>
        <v>2</v>
      </c>
      <c r="AJ2" s="123">
        <f>VLOOKUP($AE2,'Carotid Endarterectomy'!$A:$AA,26,FALSE)</f>
        <v>2</v>
      </c>
      <c r="AK2" s="123">
        <f>VLOOKUP($AE2,'Carotid Endarterectomy'!$A:$AA,27,FALSE)</f>
        <v>14</v>
      </c>
      <c r="AL2" s="33">
        <f>VLOOKUP($C29,'CEA Funnel'!$A:$C,2,FALSE)</f>
        <v>113</v>
      </c>
      <c r="AM2" s="33">
        <f>VLOOKUP($C29,'CEA Funnel'!$A:$C,3,FALSE)</f>
        <v>3</v>
      </c>
    </row>
    <row r="3" spans="1:39" x14ac:dyDescent="0.25">
      <c r="AE3" s="153" t="s">
        <v>33</v>
      </c>
      <c r="AF3" s="153" t="s">
        <v>34</v>
      </c>
      <c r="AG3" s="153">
        <v>2</v>
      </c>
      <c r="AH3" s="123">
        <f>VLOOKUP($AE3,'Carotid Endarterectomy'!$A:$AA,24,FALSE)</f>
        <v>6</v>
      </c>
      <c r="AI3" s="123">
        <f>VLOOKUP($AE3,'Carotid Endarterectomy'!$A:$AA,25,FALSE)</f>
        <v>3</v>
      </c>
      <c r="AJ3" s="123">
        <f>VLOOKUP($AE3,'Carotid Endarterectomy'!$A:$AA,26,FALSE)</f>
        <v>9</v>
      </c>
      <c r="AK3" s="123">
        <f>VLOOKUP($AE3,'Carotid Endarterectomy'!$A:$AA,27,FALSE)</f>
        <v>14</v>
      </c>
    </row>
    <row r="4" spans="1:39" x14ac:dyDescent="0.25">
      <c r="O4" s="33">
        <f>MATCH(F2,'Carotid Endarterectomy'!$G$1:$H$1,0)</f>
        <v>2</v>
      </c>
      <c r="AE4" s="153" t="s">
        <v>131</v>
      </c>
      <c r="AF4" s="153" t="s">
        <v>132</v>
      </c>
      <c r="AG4" s="153">
        <v>3</v>
      </c>
      <c r="AH4" s="123">
        <f>VLOOKUP($AE4,'Carotid Endarterectomy'!$A:$AA,24,FALSE)</f>
        <v>6</v>
      </c>
      <c r="AI4" s="123">
        <f>VLOOKUP($AE4,'Carotid Endarterectomy'!$A:$AA,25,FALSE)</f>
        <v>2</v>
      </c>
      <c r="AJ4" s="123">
        <f>VLOOKUP($AE4,'Carotid Endarterectomy'!$A:$AA,26,FALSE)</f>
        <v>3</v>
      </c>
      <c r="AK4" s="123">
        <f>VLOOKUP($AE4,'Carotid Endarterectomy'!$A:$AA,27,FALSE)</f>
        <v>14</v>
      </c>
    </row>
    <row r="5" spans="1:39" x14ac:dyDescent="0.25">
      <c r="AE5" s="153" t="s">
        <v>127</v>
      </c>
      <c r="AF5" s="153" t="s">
        <v>420</v>
      </c>
      <c r="AG5" s="153">
        <v>4</v>
      </c>
      <c r="AH5" s="123">
        <f>VLOOKUP($AE5,'Carotid Endarterectomy'!$A:$AA,24,FALSE)</f>
        <v>7</v>
      </c>
      <c r="AI5" s="123">
        <f>VLOOKUP($AE5,'Carotid Endarterectomy'!$A:$AA,25,FALSE)</f>
        <v>3</v>
      </c>
      <c r="AJ5" s="123">
        <f>VLOOKUP($AE5,'Carotid Endarterectomy'!$A:$AA,26,FALSE)</f>
        <v>8</v>
      </c>
      <c r="AK5" s="123">
        <f>VLOOKUP($AE5,'Carotid Endarterectomy'!$A:$AA,27,FALSE)</f>
        <v>14</v>
      </c>
    </row>
    <row r="6" spans="1:39" x14ac:dyDescent="0.25">
      <c r="AE6" s="153" t="s">
        <v>38</v>
      </c>
      <c r="AF6" s="153" t="s">
        <v>39</v>
      </c>
      <c r="AG6" s="153">
        <v>5</v>
      </c>
      <c r="AH6" s="123">
        <f>VLOOKUP($AE6,'Carotid Endarterectomy'!$A:$AA,24,FALSE)</f>
        <v>8</v>
      </c>
      <c r="AI6" s="123">
        <f>VLOOKUP($AE6,'Carotid Endarterectomy'!$A:$AA,25,FALSE)</f>
        <v>3</v>
      </c>
      <c r="AJ6" s="123">
        <f>VLOOKUP($AE6,'Carotid Endarterectomy'!$A:$AA,26,FALSE)</f>
        <v>3</v>
      </c>
      <c r="AK6" s="123">
        <f>VLOOKUP($AE6,'Carotid Endarterectomy'!$A:$AA,27,FALSE)</f>
        <v>14</v>
      </c>
    </row>
    <row r="7" spans="1:39" x14ac:dyDescent="0.25">
      <c r="AE7" s="153" t="s">
        <v>65</v>
      </c>
      <c r="AF7" s="153" t="s">
        <v>66</v>
      </c>
      <c r="AG7" s="153">
        <v>6</v>
      </c>
      <c r="AH7" s="123">
        <f>VLOOKUP($AE7,'Carotid Endarterectomy'!$A:$AA,24,FALSE)</f>
        <v>8</v>
      </c>
      <c r="AI7" s="123">
        <f>VLOOKUP($AE7,'Carotid Endarterectomy'!$A:$AA,25,FALSE)</f>
        <v>3</v>
      </c>
      <c r="AJ7" s="123">
        <f>VLOOKUP($AE7,'Carotid Endarterectomy'!$A:$AA,26,FALSE)</f>
        <v>5</v>
      </c>
      <c r="AK7" s="123">
        <f>VLOOKUP($AE7,'Carotid Endarterectomy'!$A:$AA,27,FALSE)</f>
        <v>14</v>
      </c>
    </row>
    <row r="8" spans="1:39" x14ac:dyDescent="0.25">
      <c r="AE8" s="153" t="s">
        <v>102</v>
      </c>
      <c r="AF8" s="153" t="s">
        <v>103</v>
      </c>
      <c r="AG8" s="153">
        <v>7</v>
      </c>
      <c r="AH8" s="123">
        <f>VLOOKUP($AE8,'Carotid Endarterectomy'!$A:$AA,24,FALSE)</f>
        <v>8</v>
      </c>
      <c r="AI8" s="123">
        <f>VLOOKUP($AE8,'Carotid Endarterectomy'!$A:$AA,25,FALSE)</f>
        <v>2</v>
      </c>
      <c r="AJ8" s="123">
        <f>VLOOKUP($AE8,'Carotid Endarterectomy'!$A:$AA,26,FALSE)</f>
        <v>3</v>
      </c>
      <c r="AK8" s="123">
        <f>VLOOKUP($AE8,'Carotid Endarterectomy'!$A:$AA,27,FALSE)</f>
        <v>14</v>
      </c>
    </row>
    <row r="9" spans="1:39" x14ac:dyDescent="0.25">
      <c r="AE9" s="153" t="s">
        <v>701</v>
      </c>
      <c r="AF9" s="153" t="s">
        <v>702</v>
      </c>
      <c r="AG9" s="153">
        <v>8</v>
      </c>
      <c r="AH9" s="123">
        <f>VLOOKUP($AE9,'Carotid Endarterectomy'!$A:$AA,24,FALSE)</f>
        <v>8</v>
      </c>
      <c r="AI9" s="123">
        <f>VLOOKUP($AE9,'Carotid Endarterectomy'!$A:$AA,25,FALSE)</f>
        <v>2</v>
      </c>
      <c r="AJ9" s="123">
        <f>VLOOKUP($AE9,'Carotid Endarterectomy'!$A:$AA,26,FALSE)</f>
        <v>5</v>
      </c>
      <c r="AK9" s="123">
        <f>VLOOKUP($AE9,'Carotid Endarterectomy'!$A:$AA,27,FALSE)</f>
        <v>14</v>
      </c>
    </row>
    <row r="10" spans="1:39" x14ac:dyDescent="0.25">
      <c r="AE10" s="153" t="s">
        <v>11</v>
      </c>
      <c r="AF10" s="153" t="s">
        <v>12</v>
      </c>
      <c r="AG10" s="153">
        <v>9</v>
      </c>
      <c r="AH10" s="123">
        <f>VLOOKUP($AE10,'Carotid Endarterectomy'!$A:$AA,24,FALSE)</f>
        <v>8</v>
      </c>
      <c r="AI10" s="123">
        <f>VLOOKUP($AE10,'Carotid Endarterectomy'!$A:$AA,25,FALSE)</f>
        <v>1</v>
      </c>
      <c r="AJ10" s="123">
        <f>VLOOKUP($AE10,'Carotid Endarterectomy'!$A:$AA,26,FALSE)</f>
        <v>3</v>
      </c>
      <c r="AK10" s="123">
        <f>VLOOKUP($AE10,'Carotid Endarterectomy'!$A:$AA,27,FALSE)</f>
        <v>14</v>
      </c>
    </row>
    <row r="11" spans="1:39" x14ac:dyDescent="0.25">
      <c r="AE11" s="153" t="s">
        <v>80</v>
      </c>
      <c r="AF11" s="153" t="s">
        <v>81</v>
      </c>
      <c r="AG11" s="153">
        <v>10</v>
      </c>
      <c r="AH11" s="123">
        <f>VLOOKUP($AE11,'Carotid Endarterectomy'!$A:$AA,24,FALSE)</f>
        <v>9</v>
      </c>
      <c r="AI11" s="123">
        <f>VLOOKUP($AE11,'Carotid Endarterectomy'!$A:$AA,25,FALSE)</f>
        <v>3</v>
      </c>
      <c r="AJ11" s="123">
        <f>VLOOKUP($AE11,'Carotid Endarterectomy'!$A:$AA,26,FALSE)</f>
        <v>3</v>
      </c>
      <c r="AK11" s="123">
        <f>VLOOKUP($AE11,'Carotid Endarterectomy'!$A:$AA,27,FALSE)</f>
        <v>14</v>
      </c>
    </row>
    <row r="12" spans="1:39" x14ac:dyDescent="0.25">
      <c r="AE12" s="153" t="s">
        <v>135</v>
      </c>
      <c r="AF12" s="153" t="s">
        <v>136</v>
      </c>
      <c r="AG12" s="153">
        <v>11</v>
      </c>
      <c r="AH12" s="123">
        <f>VLOOKUP($AE12,'Carotid Endarterectomy'!$A:$AA,24,FALSE)</f>
        <v>9</v>
      </c>
      <c r="AI12" s="123">
        <f>VLOOKUP($AE12,'Carotid Endarterectomy'!$A:$AA,25,FALSE)</f>
        <v>3</v>
      </c>
      <c r="AJ12" s="123">
        <f>VLOOKUP($AE12,'Carotid Endarterectomy'!$A:$AA,26,FALSE)</f>
        <v>6</v>
      </c>
      <c r="AK12" s="123">
        <f>VLOOKUP($AE12,'Carotid Endarterectomy'!$A:$AA,27,FALSE)</f>
        <v>14</v>
      </c>
    </row>
    <row r="13" spans="1:39" x14ac:dyDescent="0.25">
      <c r="AE13" s="153" t="s">
        <v>104</v>
      </c>
      <c r="AF13" s="153" t="s">
        <v>105</v>
      </c>
      <c r="AG13" s="153">
        <v>12</v>
      </c>
      <c r="AH13" s="123">
        <f>VLOOKUP($AE13,'Carotid Endarterectomy'!$A:$AA,24,FALSE)</f>
        <v>9</v>
      </c>
      <c r="AI13" s="123">
        <f>VLOOKUP($AE13,'Carotid Endarterectomy'!$A:$AA,25,FALSE)</f>
        <v>2</v>
      </c>
      <c r="AJ13" s="123">
        <f>VLOOKUP($AE13,'Carotid Endarterectomy'!$A:$AA,26,FALSE)</f>
        <v>10</v>
      </c>
      <c r="AK13" s="123">
        <f>VLOOKUP($AE13,'Carotid Endarterectomy'!$A:$AA,27,FALSE)</f>
        <v>14</v>
      </c>
    </row>
    <row r="14" spans="1:39" x14ac:dyDescent="0.25">
      <c r="AE14" s="153" t="s">
        <v>125</v>
      </c>
      <c r="AF14" s="153" t="s">
        <v>126</v>
      </c>
      <c r="AG14" s="153">
        <v>13</v>
      </c>
      <c r="AH14" s="123">
        <f>VLOOKUP($AE14,'Carotid Endarterectomy'!$A:$AA,24,FALSE)</f>
        <v>10</v>
      </c>
      <c r="AI14" s="123">
        <f>VLOOKUP($AE14,'Carotid Endarterectomy'!$A:$AA,25,FALSE)</f>
        <v>6</v>
      </c>
      <c r="AJ14" s="123">
        <f>VLOOKUP($AE14,'Carotid Endarterectomy'!$A:$AA,26,FALSE)</f>
        <v>14</v>
      </c>
      <c r="AK14" s="123">
        <f>VLOOKUP($AE14,'Carotid Endarterectomy'!$A:$AA,27,FALSE)</f>
        <v>14</v>
      </c>
    </row>
    <row r="15" spans="1:39" x14ac:dyDescent="0.25">
      <c r="AE15" s="153" t="s">
        <v>159</v>
      </c>
      <c r="AF15" s="153" t="s">
        <v>160</v>
      </c>
      <c r="AG15" s="153">
        <v>14</v>
      </c>
      <c r="AH15" s="123">
        <f>VLOOKUP($AE15,'Carotid Endarterectomy'!$A:$AA,24,FALSE)</f>
        <v>10</v>
      </c>
      <c r="AI15" s="123">
        <f>VLOOKUP($AE15,'Carotid Endarterectomy'!$A:$AA,25,FALSE)</f>
        <v>3</v>
      </c>
      <c r="AJ15" s="123">
        <f>VLOOKUP($AE15,'Carotid Endarterectomy'!$A:$AA,26,FALSE)</f>
        <v>3</v>
      </c>
      <c r="AK15" s="123">
        <f>VLOOKUP($AE15,'Carotid Endarterectomy'!$A:$AA,27,FALSE)</f>
        <v>14</v>
      </c>
    </row>
    <row r="16" spans="1:39" x14ac:dyDescent="0.25">
      <c r="AE16" s="153" t="s">
        <v>106</v>
      </c>
      <c r="AF16" s="153" t="s">
        <v>107</v>
      </c>
      <c r="AG16" s="153">
        <v>15</v>
      </c>
      <c r="AH16" s="123">
        <f>VLOOKUP($AE16,'Carotid Endarterectomy'!$A:$AA,24,FALSE)</f>
        <v>10</v>
      </c>
      <c r="AI16" s="123">
        <f>VLOOKUP($AE16,'Carotid Endarterectomy'!$A:$AA,25,FALSE)</f>
        <v>2</v>
      </c>
      <c r="AJ16" s="123">
        <f>VLOOKUP($AE16,'Carotid Endarterectomy'!$A:$AA,26,FALSE)</f>
        <v>3</v>
      </c>
      <c r="AK16" s="123">
        <f>VLOOKUP($AE16,'Carotid Endarterectomy'!$A:$AA,27,FALSE)</f>
        <v>14</v>
      </c>
    </row>
    <row r="17" spans="2:37" x14ac:dyDescent="0.25">
      <c r="AE17" s="153" t="s">
        <v>3</v>
      </c>
      <c r="AF17" s="153" t="s">
        <v>4</v>
      </c>
      <c r="AG17" s="153">
        <v>16</v>
      </c>
      <c r="AH17" s="123">
        <f>VLOOKUP($AE17,'Carotid Endarterectomy'!$A:$AA,24,FALSE)</f>
        <v>10</v>
      </c>
      <c r="AI17" s="123">
        <f>VLOOKUP($AE17,'Carotid Endarterectomy'!$A:$AA,25,FALSE)</f>
        <v>2</v>
      </c>
      <c r="AJ17" s="123">
        <f>VLOOKUP($AE17,'Carotid Endarterectomy'!$A:$AA,26,FALSE)</f>
        <v>5</v>
      </c>
      <c r="AK17" s="123">
        <f>VLOOKUP($AE17,'Carotid Endarterectomy'!$A:$AA,27,FALSE)</f>
        <v>14</v>
      </c>
    </row>
    <row r="18" spans="2:37" x14ac:dyDescent="0.25">
      <c r="AE18" s="153" t="s">
        <v>114</v>
      </c>
      <c r="AF18" s="153" t="s">
        <v>347</v>
      </c>
      <c r="AG18" s="153">
        <v>17</v>
      </c>
      <c r="AH18" s="123">
        <f>VLOOKUP($AE18,'Carotid Endarterectomy'!$A:$AA,24,FALSE)</f>
        <v>10</v>
      </c>
      <c r="AI18" s="123">
        <f>VLOOKUP($AE18,'Carotid Endarterectomy'!$A:$AA,25,FALSE)</f>
        <v>2</v>
      </c>
      <c r="AJ18" s="123">
        <f>VLOOKUP($AE18,'Carotid Endarterectomy'!$A:$AA,26,FALSE)</f>
        <v>8</v>
      </c>
      <c r="AK18" s="123">
        <f>VLOOKUP($AE18,'Carotid Endarterectomy'!$A:$AA,27,FALSE)</f>
        <v>14</v>
      </c>
    </row>
    <row r="19" spans="2:37" x14ac:dyDescent="0.25">
      <c r="AE19" s="153" t="s">
        <v>84</v>
      </c>
      <c r="AF19" s="153" t="s">
        <v>85</v>
      </c>
      <c r="AG19" s="153">
        <v>18</v>
      </c>
      <c r="AH19" s="123">
        <f>VLOOKUP($AE19,'Carotid Endarterectomy'!$A:$AA,24,FALSE)</f>
        <v>11</v>
      </c>
      <c r="AI19" s="123">
        <f>VLOOKUP($AE19,'Carotid Endarterectomy'!$A:$AA,25,FALSE)</f>
        <v>5</v>
      </c>
      <c r="AJ19" s="123">
        <f>VLOOKUP($AE19,'Carotid Endarterectomy'!$A:$AA,26,FALSE)</f>
        <v>4</v>
      </c>
      <c r="AK19" s="123">
        <f>VLOOKUP($AE19,'Carotid Endarterectomy'!$A:$AA,27,FALSE)</f>
        <v>14</v>
      </c>
    </row>
    <row r="20" spans="2:37" x14ac:dyDescent="0.25">
      <c r="AE20" s="153" t="s">
        <v>115</v>
      </c>
      <c r="AF20" s="153" t="s">
        <v>424</v>
      </c>
      <c r="AG20" s="153">
        <v>19</v>
      </c>
      <c r="AH20" s="123">
        <f>VLOOKUP($AE20,'Carotid Endarterectomy'!$A:$AA,24,FALSE)</f>
        <v>11</v>
      </c>
      <c r="AI20" s="123">
        <f>VLOOKUP($AE20,'Carotid Endarterectomy'!$A:$AA,25,FALSE)</f>
        <v>5</v>
      </c>
      <c r="AJ20" s="123">
        <f>VLOOKUP($AE20,'Carotid Endarterectomy'!$A:$AA,26,FALSE)</f>
        <v>5</v>
      </c>
      <c r="AK20" s="123">
        <f>VLOOKUP($AE20,'Carotid Endarterectomy'!$A:$AA,27,FALSE)</f>
        <v>14</v>
      </c>
    </row>
    <row r="21" spans="2:37" x14ac:dyDescent="0.25">
      <c r="AE21" s="153" t="s">
        <v>137</v>
      </c>
      <c r="AF21" s="153" t="s">
        <v>138</v>
      </c>
      <c r="AG21" s="153">
        <v>20</v>
      </c>
      <c r="AH21" s="123">
        <f>VLOOKUP($AE21,'Carotid Endarterectomy'!$A:$AA,24,FALSE)</f>
        <v>11</v>
      </c>
      <c r="AI21" s="123">
        <f>VLOOKUP($AE21,'Carotid Endarterectomy'!$A:$AA,25,FALSE)</f>
        <v>5</v>
      </c>
      <c r="AJ21" s="123">
        <f>VLOOKUP($AE21,'Carotid Endarterectomy'!$A:$AA,26,FALSE)</f>
        <v>6</v>
      </c>
      <c r="AK21" s="123">
        <f>VLOOKUP($AE21,'Carotid Endarterectomy'!$A:$AA,27,FALSE)</f>
        <v>14</v>
      </c>
    </row>
    <row r="22" spans="2:37" x14ac:dyDescent="0.25">
      <c r="AE22" s="153" t="s">
        <v>123</v>
      </c>
      <c r="AF22" s="153" t="s">
        <v>124</v>
      </c>
      <c r="AG22" s="153">
        <v>21</v>
      </c>
      <c r="AH22" s="123">
        <f>VLOOKUP($AE22,'Carotid Endarterectomy'!$A:$AA,24,FALSE)</f>
        <v>11</v>
      </c>
      <c r="AI22" s="123">
        <f>VLOOKUP($AE22,'Carotid Endarterectomy'!$A:$AA,25,FALSE)</f>
        <v>5</v>
      </c>
      <c r="AJ22" s="123">
        <f>VLOOKUP($AE22,'Carotid Endarterectomy'!$A:$AA,26,FALSE)</f>
        <v>34</v>
      </c>
      <c r="AK22" s="123">
        <f>VLOOKUP($AE22,'Carotid Endarterectomy'!$A:$AA,27,FALSE)</f>
        <v>14</v>
      </c>
    </row>
    <row r="23" spans="2:37" x14ac:dyDescent="0.25">
      <c r="AE23" s="153" t="s">
        <v>689</v>
      </c>
      <c r="AF23" s="153" t="s">
        <v>690</v>
      </c>
      <c r="AG23" s="153">
        <v>22</v>
      </c>
      <c r="AH23" s="123">
        <f>VLOOKUP($AE23,'Carotid Endarterectomy'!$A:$AA,24,FALSE)</f>
        <v>11</v>
      </c>
      <c r="AI23" s="123">
        <f>VLOOKUP($AE23,'Carotid Endarterectomy'!$A:$AA,25,FALSE)</f>
        <v>4</v>
      </c>
      <c r="AJ23" s="123">
        <f>VLOOKUP($AE23,'Carotid Endarterectomy'!$A:$AA,26,FALSE)</f>
        <v>7</v>
      </c>
      <c r="AK23" s="123">
        <f>VLOOKUP($AE23,'Carotid Endarterectomy'!$A:$AA,27,FALSE)</f>
        <v>14</v>
      </c>
    </row>
    <row r="24" spans="2:37" x14ac:dyDescent="0.25">
      <c r="AE24" s="153" t="s">
        <v>9</v>
      </c>
      <c r="AF24" s="153" t="s">
        <v>10</v>
      </c>
      <c r="AG24" s="153">
        <v>23</v>
      </c>
      <c r="AH24" s="123">
        <f>VLOOKUP($AE24,'Carotid Endarterectomy'!$A:$AA,24,FALSE)</f>
        <v>11</v>
      </c>
      <c r="AI24" s="123">
        <f>VLOOKUP($AE24,'Carotid Endarterectomy'!$A:$AA,25,FALSE)</f>
        <v>4</v>
      </c>
      <c r="AJ24" s="123">
        <f>VLOOKUP($AE24,'Carotid Endarterectomy'!$A:$AA,26,FALSE)</f>
        <v>15</v>
      </c>
      <c r="AK24" s="123">
        <f>VLOOKUP($AE24,'Carotid Endarterectomy'!$A:$AA,27,FALSE)</f>
        <v>14</v>
      </c>
    </row>
    <row r="25" spans="2:37" x14ac:dyDescent="0.25">
      <c r="AE25" s="153" t="s">
        <v>19</v>
      </c>
      <c r="AF25" s="153" t="s">
        <v>680</v>
      </c>
      <c r="AG25" s="153">
        <v>24</v>
      </c>
      <c r="AH25" s="123">
        <f>VLOOKUP($AE25,'Carotid Endarterectomy'!$A:$AA,24,FALSE)</f>
        <v>11</v>
      </c>
      <c r="AI25" s="123">
        <f>VLOOKUP($AE25,'Carotid Endarterectomy'!$A:$AA,25,FALSE)</f>
        <v>3</v>
      </c>
      <c r="AJ25" s="123">
        <f>VLOOKUP($AE25,'Carotid Endarterectomy'!$A:$AA,26,FALSE)</f>
        <v>3</v>
      </c>
      <c r="AK25" s="123">
        <f>VLOOKUP($AE25,'Carotid Endarterectomy'!$A:$AA,27,FALSE)</f>
        <v>14</v>
      </c>
    </row>
    <row r="26" spans="2:37" x14ac:dyDescent="0.25">
      <c r="AE26" s="153" t="s">
        <v>165</v>
      </c>
      <c r="AF26" s="153" t="s">
        <v>166</v>
      </c>
      <c r="AG26" s="153">
        <v>25</v>
      </c>
      <c r="AH26" s="123">
        <f>VLOOKUP($AE26,'Carotid Endarterectomy'!$A:$AA,24,FALSE)</f>
        <v>11</v>
      </c>
      <c r="AI26" s="123">
        <f>VLOOKUP($AE26,'Carotid Endarterectomy'!$A:$AA,25,FALSE)</f>
        <v>3</v>
      </c>
      <c r="AJ26" s="123">
        <f>VLOOKUP($AE26,'Carotid Endarterectomy'!$A:$AA,26,FALSE)</f>
        <v>3</v>
      </c>
      <c r="AK26" s="123">
        <f>VLOOKUP($AE26,'Carotid Endarterectomy'!$A:$AA,27,FALSE)</f>
        <v>14</v>
      </c>
    </row>
    <row r="27" spans="2:37" ht="15.75" thickBot="1" x14ac:dyDescent="0.3">
      <c r="AE27" s="153" t="s">
        <v>86</v>
      </c>
      <c r="AF27" s="153" t="s">
        <v>694</v>
      </c>
      <c r="AG27" s="153">
        <v>26</v>
      </c>
      <c r="AH27" s="123">
        <f>VLOOKUP($AE27,'Carotid Endarterectomy'!$A:$AA,24,FALSE)</f>
        <v>11</v>
      </c>
      <c r="AI27" s="123">
        <f>VLOOKUP($AE27,'Carotid Endarterectomy'!$A:$AA,25,FALSE)</f>
        <v>3</v>
      </c>
      <c r="AJ27" s="123">
        <f>VLOOKUP($AE27,'Carotid Endarterectomy'!$A:$AA,26,FALSE)</f>
        <v>5</v>
      </c>
      <c r="AK27" s="123">
        <f>VLOOKUP($AE27,'Carotid Endarterectomy'!$A:$AA,27,FALSE)</f>
        <v>14</v>
      </c>
    </row>
    <row r="28" spans="2:37" ht="60.75" thickBot="1" x14ac:dyDescent="0.3">
      <c r="B28" s="21" t="s">
        <v>175</v>
      </c>
      <c r="C28" s="21" t="s">
        <v>176</v>
      </c>
      <c r="D28" s="22" t="s">
        <v>177</v>
      </c>
      <c r="E28" s="21" t="s">
        <v>182</v>
      </c>
      <c r="F28" s="22" t="s">
        <v>178</v>
      </c>
      <c r="G28" s="22" t="s">
        <v>179</v>
      </c>
      <c r="H28" s="22" t="s">
        <v>180</v>
      </c>
      <c r="I28" s="21" t="s">
        <v>713</v>
      </c>
      <c r="J28" s="21" t="s">
        <v>183</v>
      </c>
      <c r="K28" s="21" t="s">
        <v>193</v>
      </c>
      <c r="AE28" s="153" t="s">
        <v>141</v>
      </c>
      <c r="AF28" s="153" t="s">
        <v>142</v>
      </c>
      <c r="AG28" s="153">
        <v>27</v>
      </c>
      <c r="AH28" s="123">
        <f>VLOOKUP($AE28,'Carotid Endarterectomy'!$A:$AA,24,FALSE)</f>
        <v>11</v>
      </c>
      <c r="AI28" s="123">
        <f>VLOOKUP($AE28,'Carotid Endarterectomy'!$A:$AA,25,FALSE)</f>
        <v>3</v>
      </c>
      <c r="AJ28" s="123">
        <f>VLOOKUP($AE28,'Carotid Endarterectomy'!$A:$AA,26,FALSE)</f>
        <v>5</v>
      </c>
      <c r="AK28" s="123">
        <f>VLOOKUP($AE28,'Carotid Endarterectomy'!$A:$AA,27,FALSE)</f>
        <v>14</v>
      </c>
    </row>
    <row r="29" spans="2:37" ht="15.75" thickBot="1" x14ac:dyDescent="0.3">
      <c r="B29" s="23" t="str">
        <f>B1</f>
        <v>Aneurin Bevan University Health Board</v>
      </c>
      <c r="C29" s="24" t="str">
        <f>VLOOKUP($B29,'Carotid Endarterectomy'!$B:$K,10,FALSE)</f>
        <v>7A6</v>
      </c>
      <c r="D29" s="25">
        <f>VLOOKUP($B29,'Carotid Endarterectomy'!$B:$J,2,FALSE)</f>
        <v>19</v>
      </c>
      <c r="E29" s="25">
        <f>VLOOKUP($B29,'Carotid Endarterectomy'!$B:$K,3,FALSE)</f>
        <v>19</v>
      </c>
      <c r="F29" s="26">
        <f>VLOOKUP($B29,'Carotid Endarterectomy'!$B:$K,4,FALSE)</f>
        <v>0.4210526</v>
      </c>
      <c r="G29" s="26">
        <f>VLOOKUP($B29,'Carotid Endarterectomy'!$B:$K,5,FALSE)</f>
        <v>0.68421050000000005</v>
      </c>
      <c r="H29" s="26">
        <f>VLOOKUP($B29,'Carotid Endarterectomy'!$B:$K,6,FALSE)</f>
        <v>0.4736842</v>
      </c>
      <c r="I29" s="27">
        <f>VLOOKUP($B29,'Carotid Endarterectomy'!$B:$K,9,FALSE)/100</f>
        <v>3.0085500000000001E-2</v>
      </c>
      <c r="J29" s="24" t="str">
        <f>VLOOKUP($B29,'Carotid Endarterectomy'!$B:$K,7,FALSE)</f>
        <v>16 (9 - 25)</v>
      </c>
      <c r="K29" s="24" t="str">
        <f>VLOOKUP($B29,'Carotid Endarterectomy'!$B:$K,8,FALSE)</f>
        <v>1 (1 - 4)</v>
      </c>
      <c r="AE29" s="153" t="s">
        <v>121</v>
      </c>
      <c r="AF29" s="153" t="s">
        <v>122</v>
      </c>
      <c r="AG29" s="153">
        <v>28</v>
      </c>
      <c r="AH29" s="123">
        <f>VLOOKUP($AE29,'Carotid Endarterectomy'!$A:$AA,24,FALSE)</f>
        <v>11</v>
      </c>
      <c r="AI29" s="123">
        <f>VLOOKUP($AE29,'Carotid Endarterectomy'!$A:$AA,25,FALSE)</f>
        <v>3</v>
      </c>
      <c r="AJ29" s="123">
        <f>VLOOKUP($AE29,'Carotid Endarterectomy'!$A:$AA,26,FALSE)</f>
        <v>6</v>
      </c>
      <c r="AK29" s="123">
        <f>VLOOKUP($AE29,'Carotid Endarterectomy'!$A:$AA,27,FALSE)</f>
        <v>14</v>
      </c>
    </row>
    <row r="30" spans="2:37" ht="15.75" thickBot="1" x14ac:dyDescent="0.3">
      <c r="B30" s="145" t="s">
        <v>350</v>
      </c>
      <c r="C30" s="145"/>
      <c r="D30" s="61">
        <v>2991</v>
      </c>
      <c r="E30" s="61">
        <v>2862</v>
      </c>
      <c r="F30" s="64">
        <v>0.74</v>
      </c>
      <c r="G30" s="64">
        <v>0.53</v>
      </c>
      <c r="H30" s="64">
        <v>0.62</v>
      </c>
      <c r="I30" s="63">
        <v>2.1999999999999999E-2</v>
      </c>
      <c r="J30" s="62" t="s">
        <v>466</v>
      </c>
      <c r="K30" s="62" t="s">
        <v>276</v>
      </c>
      <c r="AE30" s="153" t="s">
        <v>67</v>
      </c>
      <c r="AF30" s="153" t="s">
        <v>68</v>
      </c>
      <c r="AG30" s="153">
        <v>29</v>
      </c>
      <c r="AH30" s="123">
        <f>VLOOKUP($AE30,'Carotid Endarterectomy'!$A:$AA,24,FALSE)</f>
        <v>11</v>
      </c>
      <c r="AI30" s="123">
        <f>VLOOKUP($AE30,'Carotid Endarterectomy'!$A:$AA,25,FALSE)</f>
        <v>3</v>
      </c>
      <c r="AJ30" s="123">
        <f>VLOOKUP($AE30,'Carotid Endarterectomy'!$A:$AA,26,FALSE)</f>
        <v>6</v>
      </c>
      <c r="AK30" s="123">
        <f>VLOOKUP($AE30,'Carotid Endarterectomy'!$A:$AA,27,FALSE)</f>
        <v>14</v>
      </c>
    </row>
    <row r="31" spans="2:37" x14ac:dyDescent="0.25">
      <c r="AE31" s="153" t="s">
        <v>677</v>
      </c>
      <c r="AF31" s="153" t="s">
        <v>678</v>
      </c>
      <c r="AG31" s="153">
        <v>30</v>
      </c>
      <c r="AH31" s="123">
        <f>VLOOKUP($AE31,'Carotid Endarterectomy'!$A:$AA,24,FALSE)</f>
        <v>11</v>
      </c>
      <c r="AI31" s="123">
        <f>VLOOKUP($AE31,'Carotid Endarterectomy'!$A:$AA,25,FALSE)</f>
        <v>2</v>
      </c>
      <c r="AJ31" s="123">
        <f>VLOOKUP($AE31,'Carotid Endarterectomy'!$A:$AA,26,FALSE)</f>
        <v>3</v>
      </c>
      <c r="AK31" s="123">
        <f>VLOOKUP($AE31,'Carotid Endarterectomy'!$A:$AA,27,FALSE)</f>
        <v>14</v>
      </c>
    </row>
    <row r="32" spans="2:37" x14ac:dyDescent="0.25">
      <c r="AE32" s="153" t="s">
        <v>163</v>
      </c>
      <c r="AF32" s="153" t="s">
        <v>164</v>
      </c>
      <c r="AG32" s="153">
        <v>31</v>
      </c>
      <c r="AH32" s="123">
        <f>VLOOKUP($AE32,'Carotid Endarterectomy'!$A:$AA,24,FALSE)</f>
        <v>11</v>
      </c>
      <c r="AI32" s="123">
        <f>VLOOKUP($AE32,'Carotid Endarterectomy'!$A:$AA,25,FALSE)</f>
        <v>2</v>
      </c>
      <c r="AJ32" s="123">
        <f>VLOOKUP($AE32,'Carotid Endarterectomy'!$A:$AA,26,FALSE)</f>
        <v>13</v>
      </c>
      <c r="AK32" s="123">
        <f>VLOOKUP($AE32,'Carotid Endarterectomy'!$A:$AA,27,FALSE)</f>
        <v>14</v>
      </c>
    </row>
    <row r="33" spans="8:37" x14ac:dyDescent="0.25">
      <c r="H33" s="56"/>
      <c r="AE33" s="153" t="s">
        <v>88</v>
      </c>
      <c r="AF33" s="153" t="s">
        <v>89</v>
      </c>
      <c r="AG33" s="153">
        <v>32</v>
      </c>
      <c r="AH33" s="123">
        <f>VLOOKUP($AE33,'Carotid Endarterectomy'!$A:$AA,24,FALSE)</f>
        <v>12</v>
      </c>
      <c r="AI33" s="123">
        <f>VLOOKUP($AE33,'Carotid Endarterectomy'!$A:$AA,25,FALSE)</f>
        <v>6</v>
      </c>
      <c r="AJ33" s="123">
        <f>VLOOKUP($AE33,'Carotid Endarterectomy'!$A:$AA,26,FALSE)</f>
        <v>4</v>
      </c>
      <c r="AK33" s="123">
        <f>VLOOKUP($AE33,'Carotid Endarterectomy'!$A:$AA,27,FALSE)</f>
        <v>14</v>
      </c>
    </row>
    <row r="34" spans="8:37" x14ac:dyDescent="0.25">
      <c r="H34" s="56"/>
      <c r="AE34" s="153" t="s">
        <v>74</v>
      </c>
      <c r="AF34" s="153" t="s">
        <v>75</v>
      </c>
      <c r="AG34" s="153">
        <v>33</v>
      </c>
      <c r="AH34" s="123">
        <f>VLOOKUP($AE34,'Carotid Endarterectomy'!$A:$AA,24,FALSE)</f>
        <v>12</v>
      </c>
      <c r="AI34" s="123">
        <f>VLOOKUP($AE34,'Carotid Endarterectomy'!$A:$AA,25,FALSE)</f>
        <v>5</v>
      </c>
      <c r="AJ34" s="123">
        <f>VLOOKUP($AE34,'Carotid Endarterectomy'!$A:$AA,26,FALSE)</f>
        <v>3</v>
      </c>
      <c r="AK34" s="123">
        <f>VLOOKUP($AE34,'Carotid Endarterectomy'!$A:$AA,27,FALSE)</f>
        <v>14</v>
      </c>
    </row>
    <row r="35" spans="8:37" x14ac:dyDescent="0.25">
      <c r="AE35" s="153" t="s">
        <v>73</v>
      </c>
      <c r="AF35" s="153" t="s">
        <v>197</v>
      </c>
      <c r="AG35" s="153">
        <v>34</v>
      </c>
      <c r="AH35" s="123">
        <f>VLOOKUP($AE35,'Carotid Endarterectomy'!$A:$AA,24,FALSE)</f>
        <v>12</v>
      </c>
      <c r="AI35" s="123">
        <f>VLOOKUP($AE35,'Carotid Endarterectomy'!$A:$AA,25,FALSE)</f>
        <v>5</v>
      </c>
      <c r="AJ35" s="123">
        <f>VLOOKUP($AE35,'Carotid Endarterectomy'!$A:$AA,26,FALSE)</f>
        <v>22</v>
      </c>
      <c r="AK35" s="123">
        <f>VLOOKUP($AE35,'Carotid Endarterectomy'!$A:$AA,27,FALSE)</f>
        <v>14</v>
      </c>
    </row>
    <row r="36" spans="8:37" x14ac:dyDescent="0.25">
      <c r="AE36" s="153" t="s">
        <v>167</v>
      </c>
      <c r="AF36" s="153" t="s">
        <v>168</v>
      </c>
      <c r="AG36" s="153">
        <v>35</v>
      </c>
      <c r="AH36" s="123">
        <f>VLOOKUP($AE36,'Carotid Endarterectomy'!$A:$AA,24,FALSE)</f>
        <v>12</v>
      </c>
      <c r="AI36" s="123">
        <f>VLOOKUP($AE36,'Carotid Endarterectomy'!$A:$AA,25,FALSE)</f>
        <v>4</v>
      </c>
      <c r="AJ36" s="123">
        <f>VLOOKUP($AE36,'Carotid Endarterectomy'!$A:$AA,26,FALSE)</f>
        <v>5</v>
      </c>
      <c r="AK36" s="123">
        <f>VLOOKUP($AE36,'Carotid Endarterectomy'!$A:$AA,27,FALSE)</f>
        <v>14</v>
      </c>
    </row>
    <row r="37" spans="8:37" x14ac:dyDescent="0.25">
      <c r="AE37" s="153" t="s">
        <v>151</v>
      </c>
      <c r="AF37" s="153" t="s">
        <v>152</v>
      </c>
      <c r="AG37" s="153">
        <v>36</v>
      </c>
      <c r="AH37" s="123">
        <f>VLOOKUP($AE37,'Carotid Endarterectomy'!$A:$AA,24,FALSE)</f>
        <v>12</v>
      </c>
      <c r="AI37" s="123">
        <f>VLOOKUP($AE37,'Carotid Endarterectomy'!$A:$AA,25,FALSE)</f>
        <v>4</v>
      </c>
      <c r="AJ37" s="123">
        <f>VLOOKUP($AE37,'Carotid Endarterectomy'!$A:$AA,26,FALSE)</f>
        <v>6</v>
      </c>
      <c r="AK37" s="123">
        <f>VLOOKUP($AE37,'Carotid Endarterectomy'!$A:$AA,27,FALSE)</f>
        <v>14</v>
      </c>
    </row>
    <row r="38" spans="8:37" x14ac:dyDescent="0.25">
      <c r="AE38" s="153" t="s">
        <v>149</v>
      </c>
      <c r="AF38" s="153" t="s">
        <v>150</v>
      </c>
      <c r="AG38" s="153">
        <v>37</v>
      </c>
      <c r="AH38" s="123">
        <f>VLOOKUP($AE38,'Carotid Endarterectomy'!$A:$AA,24,FALSE)</f>
        <v>12</v>
      </c>
      <c r="AI38" s="123">
        <f>VLOOKUP($AE38,'Carotid Endarterectomy'!$A:$AA,25,FALSE)</f>
        <v>4</v>
      </c>
      <c r="AJ38" s="123">
        <f>VLOOKUP($AE38,'Carotid Endarterectomy'!$A:$AA,26,FALSE)</f>
        <v>9</v>
      </c>
      <c r="AK38" s="123">
        <f>VLOOKUP($AE38,'Carotid Endarterectomy'!$A:$AA,27,FALSE)</f>
        <v>14</v>
      </c>
    </row>
    <row r="39" spans="8:37" x14ac:dyDescent="0.25">
      <c r="AE39" s="153" t="s">
        <v>63</v>
      </c>
      <c r="AF39" s="153" t="s">
        <v>64</v>
      </c>
      <c r="AG39" s="153">
        <v>38</v>
      </c>
      <c r="AH39" s="123">
        <f>VLOOKUP($AE39,'Carotid Endarterectomy'!$A:$AA,24,FALSE)</f>
        <v>12</v>
      </c>
      <c r="AI39" s="123">
        <f>VLOOKUP($AE39,'Carotid Endarterectomy'!$A:$AA,25,FALSE)</f>
        <v>4</v>
      </c>
      <c r="AJ39" s="123">
        <f>VLOOKUP($AE39,'Carotid Endarterectomy'!$A:$AA,26,FALSE)</f>
        <v>9</v>
      </c>
      <c r="AK39" s="123">
        <f>VLOOKUP($AE39,'Carotid Endarterectomy'!$A:$AA,27,FALSE)</f>
        <v>14</v>
      </c>
    </row>
    <row r="40" spans="8:37" x14ac:dyDescent="0.25">
      <c r="AE40" s="153" t="s">
        <v>133</v>
      </c>
      <c r="AF40" s="153" t="s">
        <v>134</v>
      </c>
      <c r="AG40" s="153">
        <v>39</v>
      </c>
      <c r="AH40" s="123">
        <f>VLOOKUP($AE40,'Carotid Endarterectomy'!$A:$AA,24,FALSE)</f>
        <v>12</v>
      </c>
      <c r="AI40" s="123">
        <f>VLOOKUP($AE40,'Carotid Endarterectomy'!$A:$AA,25,FALSE)</f>
        <v>4</v>
      </c>
      <c r="AJ40" s="123">
        <f>VLOOKUP($AE40,'Carotid Endarterectomy'!$A:$AA,26,FALSE)</f>
        <v>10</v>
      </c>
      <c r="AK40" s="123">
        <f>VLOOKUP($AE40,'Carotid Endarterectomy'!$A:$AA,27,FALSE)</f>
        <v>14</v>
      </c>
    </row>
    <row r="41" spans="8:37" x14ac:dyDescent="0.25">
      <c r="AE41" s="153" t="s">
        <v>71</v>
      </c>
      <c r="AF41" s="153" t="s">
        <v>72</v>
      </c>
      <c r="AG41" s="153">
        <v>40</v>
      </c>
      <c r="AH41" s="123">
        <f>VLOOKUP($AE41,'Carotid Endarterectomy'!$A:$AA,24,FALSE)</f>
        <v>12</v>
      </c>
      <c r="AI41" s="123">
        <f>VLOOKUP($AE41,'Carotid Endarterectomy'!$A:$AA,25,FALSE)</f>
        <v>4</v>
      </c>
      <c r="AJ41" s="123">
        <f>VLOOKUP($AE41,'Carotid Endarterectomy'!$A:$AA,26,FALSE)</f>
        <v>11</v>
      </c>
      <c r="AK41" s="123">
        <f>VLOOKUP($AE41,'Carotid Endarterectomy'!$A:$AA,27,FALSE)</f>
        <v>14</v>
      </c>
    </row>
    <row r="42" spans="8:37" x14ac:dyDescent="0.25">
      <c r="AE42" s="153" t="s">
        <v>674</v>
      </c>
      <c r="AF42" s="153" t="s">
        <v>675</v>
      </c>
      <c r="AG42" s="153">
        <v>41</v>
      </c>
      <c r="AH42" s="123">
        <f>VLOOKUP($AE42,'Carotid Endarterectomy'!$A:$AA,24,FALSE)</f>
        <v>12</v>
      </c>
      <c r="AI42" s="123">
        <f>VLOOKUP($AE42,'Carotid Endarterectomy'!$A:$AA,25,FALSE)</f>
        <v>2</v>
      </c>
      <c r="AJ42" s="123">
        <f>VLOOKUP($AE42,'Carotid Endarterectomy'!$A:$AA,26,FALSE)</f>
        <v>5</v>
      </c>
      <c r="AK42" s="123">
        <f>VLOOKUP($AE42,'Carotid Endarterectomy'!$A:$AA,27,FALSE)</f>
        <v>14</v>
      </c>
    </row>
    <row r="43" spans="8:37" x14ac:dyDescent="0.25">
      <c r="AE43" s="153" t="s">
        <v>173</v>
      </c>
      <c r="AF43" s="153" t="s">
        <v>174</v>
      </c>
      <c r="AG43" s="153">
        <v>42</v>
      </c>
      <c r="AH43" s="123">
        <f>VLOOKUP($AE43,'Carotid Endarterectomy'!$A:$AA,24,FALSE)</f>
        <v>13</v>
      </c>
      <c r="AI43" s="123">
        <f>VLOOKUP($AE43,'Carotid Endarterectomy'!$A:$AA,25,FALSE)</f>
        <v>6</v>
      </c>
      <c r="AJ43" s="123">
        <f>VLOOKUP($AE43,'Carotid Endarterectomy'!$A:$AA,26,FALSE)</f>
        <v>12</v>
      </c>
      <c r="AK43" s="123">
        <f>VLOOKUP($AE43,'Carotid Endarterectomy'!$A:$AA,27,FALSE)</f>
        <v>14</v>
      </c>
    </row>
    <row r="44" spans="8:37" x14ac:dyDescent="0.25">
      <c r="AE44" s="153" t="s">
        <v>42</v>
      </c>
      <c r="AF44" s="153" t="s">
        <v>43</v>
      </c>
      <c r="AG44" s="153">
        <v>43</v>
      </c>
      <c r="AH44" s="123">
        <f>VLOOKUP($AE44,'Carotid Endarterectomy'!$A:$AA,24,FALSE)</f>
        <v>13</v>
      </c>
      <c r="AI44" s="123">
        <f>VLOOKUP($AE44,'Carotid Endarterectomy'!$A:$AA,25,FALSE)</f>
        <v>5</v>
      </c>
      <c r="AJ44" s="123">
        <f>VLOOKUP($AE44,'Carotid Endarterectomy'!$A:$AA,26,FALSE)</f>
        <v>7</v>
      </c>
      <c r="AK44" s="123">
        <f>VLOOKUP($AE44,'Carotid Endarterectomy'!$A:$AA,27,FALSE)</f>
        <v>14</v>
      </c>
    </row>
    <row r="45" spans="8:37" x14ac:dyDescent="0.25">
      <c r="AE45" s="153" t="s">
        <v>55</v>
      </c>
      <c r="AF45" s="153" t="s">
        <v>56</v>
      </c>
      <c r="AG45" s="153">
        <v>44</v>
      </c>
      <c r="AH45" s="123">
        <f>VLOOKUP($AE45,'Carotid Endarterectomy'!$A:$AA,24,FALSE)</f>
        <v>13</v>
      </c>
      <c r="AI45" s="123">
        <f>VLOOKUP($AE45,'Carotid Endarterectomy'!$A:$AA,25,FALSE)</f>
        <v>3</v>
      </c>
      <c r="AJ45" s="123">
        <f>VLOOKUP($AE45,'Carotid Endarterectomy'!$A:$AA,26,FALSE)</f>
        <v>2</v>
      </c>
      <c r="AK45" s="123">
        <f>VLOOKUP($AE45,'Carotid Endarterectomy'!$A:$AA,27,FALSE)</f>
        <v>14</v>
      </c>
    </row>
    <row r="46" spans="8:37" x14ac:dyDescent="0.25">
      <c r="AE46" s="153" t="s">
        <v>153</v>
      </c>
      <c r="AF46" s="153" t="s">
        <v>154</v>
      </c>
      <c r="AG46" s="153">
        <v>45</v>
      </c>
      <c r="AH46" s="123">
        <f>VLOOKUP($AE46,'Carotid Endarterectomy'!$A:$AA,24,FALSE)</f>
        <v>13</v>
      </c>
      <c r="AI46" s="123">
        <f>VLOOKUP($AE46,'Carotid Endarterectomy'!$A:$AA,25,FALSE)</f>
        <v>3</v>
      </c>
      <c r="AJ46" s="123">
        <f>VLOOKUP($AE46,'Carotid Endarterectomy'!$A:$AA,26,FALSE)</f>
        <v>6</v>
      </c>
      <c r="AK46" s="123">
        <f>VLOOKUP($AE46,'Carotid Endarterectomy'!$A:$AA,27,FALSE)</f>
        <v>14</v>
      </c>
    </row>
    <row r="47" spans="8:37" x14ac:dyDescent="0.25">
      <c r="AE47" s="153" t="s">
        <v>112</v>
      </c>
      <c r="AF47" s="153" t="s">
        <v>113</v>
      </c>
      <c r="AG47" s="153">
        <v>46</v>
      </c>
      <c r="AH47" s="123">
        <f>VLOOKUP($AE47,'Carotid Endarterectomy'!$A:$AA,24,FALSE)</f>
        <v>14</v>
      </c>
      <c r="AI47" s="123">
        <f>VLOOKUP($AE47,'Carotid Endarterectomy'!$A:$AA,25,FALSE)</f>
        <v>7</v>
      </c>
      <c r="AJ47" s="123">
        <f>VLOOKUP($AE47,'Carotid Endarterectomy'!$A:$AA,26,FALSE)</f>
        <v>19</v>
      </c>
      <c r="AK47" s="123">
        <f>VLOOKUP($AE47,'Carotid Endarterectomy'!$A:$AA,27,FALSE)</f>
        <v>14</v>
      </c>
    </row>
    <row r="48" spans="8:37" x14ac:dyDescent="0.25">
      <c r="AE48" s="153" t="s">
        <v>45</v>
      </c>
      <c r="AF48" s="153" t="s">
        <v>417</v>
      </c>
      <c r="AG48" s="153">
        <v>47</v>
      </c>
      <c r="AH48" s="123">
        <f>VLOOKUP($AE48,'Carotid Endarterectomy'!$A:$AA,24,FALSE)</f>
        <v>14</v>
      </c>
      <c r="AI48" s="123">
        <f>VLOOKUP($AE48,'Carotid Endarterectomy'!$A:$AA,25,FALSE)</f>
        <v>6</v>
      </c>
      <c r="AJ48" s="123">
        <f>VLOOKUP($AE48,'Carotid Endarterectomy'!$A:$AA,26,FALSE)</f>
        <v>14</v>
      </c>
      <c r="AK48" s="123">
        <f>VLOOKUP($AE48,'Carotid Endarterectomy'!$A:$AA,27,FALSE)</f>
        <v>14</v>
      </c>
    </row>
    <row r="49" spans="31:37" x14ac:dyDescent="0.25">
      <c r="AE49" s="153" t="s">
        <v>2</v>
      </c>
      <c r="AF49" s="153" t="s">
        <v>196</v>
      </c>
      <c r="AG49" s="153">
        <v>48</v>
      </c>
      <c r="AH49" s="123">
        <f>VLOOKUP($AE49,'Carotid Endarterectomy'!$A:$AA,24,FALSE)</f>
        <v>14</v>
      </c>
      <c r="AI49" s="123">
        <f>VLOOKUP($AE49,'Carotid Endarterectomy'!$A:$AA,25,FALSE)</f>
        <v>5</v>
      </c>
      <c r="AJ49" s="123">
        <f>VLOOKUP($AE49,'Carotid Endarterectomy'!$A:$AA,26,FALSE)</f>
        <v>9</v>
      </c>
      <c r="AK49" s="123">
        <f>VLOOKUP($AE49,'Carotid Endarterectomy'!$A:$AA,27,FALSE)</f>
        <v>14</v>
      </c>
    </row>
    <row r="50" spans="31:37" x14ac:dyDescent="0.25">
      <c r="AE50" s="153" t="s">
        <v>17</v>
      </c>
      <c r="AF50" s="153" t="s">
        <v>18</v>
      </c>
      <c r="AG50" s="153">
        <v>49</v>
      </c>
      <c r="AH50" s="123">
        <f>VLOOKUP($AE50,'Carotid Endarterectomy'!$A:$AA,24,FALSE)</f>
        <v>14</v>
      </c>
      <c r="AI50" s="123">
        <f>VLOOKUP($AE50,'Carotid Endarterectomy'!$A:$AA,25,FALSE)</f>
        <v>4</v>
      </c>
      <c r="AJ50" s="123">
        <f>VLOOKUP($AE50,'Carotid Endarterectomy'!$A:$AA,26,FALSE)</f>
        <v>7</v>
      </c>
      <c r="AK50" s="123">
        <f>VLOOKUP($AE50,'Carotid Endarterectomy'!$A:$AA,27,FALSE)</f>
        <v>14</v>
      </c>
    </row>
    <row r="51" spans="31:37" x14ac:dyDescent="0.25">
      <c r="AE51" s="153" t="s">
        <v>31</v>
      </c>
      <c r="AF51" s="153" t="s">
        <v>32</v>
      </c>
      <c r="AG51" s="153">
        <v>50</v>
      </c>
      <c r="AH51" s="123">
        <f>VLOOKUP($AE51,'Carotid Endarterectomy'!$A:$AA,24,FALSE)</f>
        <v>14</v>
      </c>
      <c r="AI51" s="123">
        <f>VLOOKUP($AE51,'Carotid Endarterectomy'!$A:$AA,25,FALSE)</f>
        <v>3</v>
      </c>
      <c r="AJ51" s="123">
        <f>VLOOKUP($AE51,'Carotid Endarterectomy'!$A:$AA,26,FALSE)</f>
        <v>8</v>
      </c>
      <c r="AK51" s="123">
        <f>VLOOKUP($AE51,'Carotid Endarterectomy'!$A:$AA,27,FALSE)</f>
        <v>14</v>
      </c>
    </row>
    <row r="52" spans="31:37" x14ac:dyDescent="0.25">
      <c r="AE52" s="153" t="s">
        <v>21</v>
      </c>
      <c r="AF52" s="153" t="s">
        <v>22</v>
      </c>
      <c r="AG52" s="153">
        <v>51</v>
      </c>
      <c r="AH52" s="123">
        <f>VLOOKUP($AE52,'Carotid Endarterectomy'!$A:$AA,24,FALSE)</f>
        <v>15</v>
      </c>
      <c r="AI52" s="123">
        <f>VLOOKUP($AE52,'Carotid Endarterectomy'!$A:$AA,25,FALSE)</f>
        <v>8</v>
      </c>
      <c r="AJ52" s="123">
        <f>VLOOKUP($AE52,'Carotid Endarterectomy'!$A:$AA,26,FALSE)</f>
        <v>20</v>
      </c>
      <c r="AK52" s="123">
        <f>VLOOKUP($AE52,'Carotid Endarterectomy'!$A:$AA,27,FALSE)</f>
        <v>14</v>
      </c>
    </row>
    <row r="53" spans="31:37" x14ac:dyDescent="0.25">
      <c r="AE53" s="153" t="s">
        <v>37</v>
      </c>
      <c r="AF53" s="153" t="s">
        <v>198</v>
      </c>
      <c r="AG53" s="153">
        <v>52</v>
      </c>
      <c r="AH53" s="123">
        <f>VLOOKUP($AE53,'Carotid Endarterectomy'!$A:$AA,24,FALSE)</f>
        <v>15</v>
      </c>
      <c r="AI53" s="123">
        <f>VLOOKUP($AE53,'Carotid Endarterectomy'!$A:$AA,25,FALSE)</f>
        <v>6</v>
      </c>
      <c r="AJ53" s="123">
        <f>VLOOKUP($AE53,'Carotid Endarterectomy'!$A:$AA,26,FALSE)</f>
        <v>13</v>
      </c>
      <c r="AK53" s="123">
        <f>VLOOKUP($AE53,'Carotid Endarterectomy'!$A:$AA,27,FALSE)</f>
        <v>14</v>
      </c>
    </row>
    <row r="54" spans="31:37" x14ac:dyDescent="0.25">
      <c r="AE54" s="153" t="s">
        <v>110</v>
      </c>
      <c r="AF54" s="153" t="s">
        <v>111</v>
      </c>
      <c r="AG54" s="153">
        <v>53</v>
      </c>
      <c r="AH54" s="123">
        <f>VLOOKUP($AE54,'Carotid Endarterectomy'!$A:$AA,24,FALSE)</f>
        <v>15</v>
      </c>
      <c r="AI54" s="123">
        <f>VLOOKUP($AE54,'Carotid Endarterectomy'!$A:$AA,25,FALSE)</f>
        <v>5</v>
      </c>
      <c r="AJ54" s="123">
        <f>VLOOKUP($AE54,'Carotid Endarterectomy'!$A:$AA,26,FALSE)</f>
        <v>10</v>
      </c>
      <c r="AK54" s="123">
        <f>VLOOKUP($AE54,'Carotid Endarterectomy'!$A:$AA,27,FALSE)</f>
        <v>14</v>
      </c>
    </row>
    <row r="55" spans="31:37" x14ac:dyDescent="0.25">
      <c r="AE55" s="153" t="s">
        <v>90</v>
      </c>
      <c r="AF55" s="153" t="s">
        <v>419</v>
      </c>
      <c r="AG55" s="153">
        <v>54</v>
      </c>
      <c r="AH55" s="123">
        <f>VLOOKUP($AE55,'Carotid Endarterectomy'!$A:$AA,24,FALSE)</f>
        <v>15</v>
      </c>
      <c r="AI55" s="123">
        <f>VLOOKUP($AE55,'Carotid Endarterectomy'!$A:$AA,25,FALSE)</f>
        <v>4</v>
      </c>
      <c r="AJ55" s="123">
        <f>VLOOKUP($AE55,'Carotid Endarterectomy'!$A:$AA,26,FALSE)</f>
        <v>10</v>
      </c>
      <c r="AK55" s="123">
        <f>VLOOKUP($AE55,'Carotid Endarterectomy'!$A:$AA,27,FALSE)</f>
        <v>14</v>
      </c>
    </row>
    <row r="56" spans="31:37" x14ac:dyDescent="0.25">
      <c r="AE56" s="153" t="s">
        <v>155</v>
      </c>
      <c r="AF56" s="153" t="s">
        <v>156</v>
      </c>
      <c r="AG56" s="153">
        <v>55</v>
      </c>
      <c r="AH56" s="123">
        <f>VLOOKUP($AE56,'Carotid Endarterectomy'!$A:$AA,24,FALSE)</f>
        <v>15</v>
      </c>
      <c r="AI56" s="123">
        <f>VLOOKUP($AE56,'Carotid Endarterectomy'!$A:$AA,25,FALSE)</f>
        <v>3</v>
      </c>
      <c r="AJ56" s="123">
        <f>VLOOKUP($AE56,'Carotid Endarterectomy'!$A:$AA,26,FALSE)</f>
        <v>5</v>
      </c>
      <c r="AK56" s="123">
        <f>VLOOKUP($AE56,'Carotid Endarterectomy'!$A:$AA,27,FALSE)</f>
        <v>14</v>
      </c>
    </row>
    <row r="57" spans="31:37" x14ac:dyDescent="0.25">
      <c r="AE57" s="153" t="s">
        <v>53</v>
      </c>
      <c r="AF57" s="153" t="s">
        <v>54</v>
      </c>
      <c r="AG57" s="153">
        <v>56</v>
      </c>
      <c r="AH57" s="123">
        <f>VLOOKUP($AE57,'Carotid Endarterectomy'!$A:$AA,24,FALSE)</f>
        <v>16</v>
      </c>
      <c r="AI57" s="123">
        <f>VLOOKUP($AE57,'Carotid Endarterectomy'!$A:$AA,25,FALSE)</f>
        <v>8</v>
      </c>
      <c r="AJ57" s="123">
        <f>VLOOKUP($AE57,'Carotid Endarterectomy'!$A:$AA,26,FALSE)</f>
        <v>8</v>
      </c>
      <c r="AK57" s="123">
        <f>VLOOKUP($AE57,'Carotid Endarterectomy'!$A:$AA,27,FALSE)</f>
        <v>14</v>
      </c>
    </row>
    <row r="58" spans="31:37" x14ac:dyDescent="0.25">
      <c r="AE58" s="153" t="s">
        <v>7</v>
      </c>
      <c r="AF58" s="153" t="s">
        <v>8</v>
      </c>
      <c r="AG58" s="153">
        <v>57</v>
      </c>
      <c r="AH58" s="123">
        <f>VLOOKUP($AE58,'Carotid Endarterectomy'!$A:$AA,24,FALSE)</f>
        <v>16</v>
      </c>
      <c r="AI58" s="123">
        <f>VLOOKUP($AE58,'Carotid Endarterectomy'!$A:$AA,25,FALSE)</f>
        <v>7</v>
      </c>
      <c r="AJ58" s="123">
        <f>VLOOKUP($AE58,'Carotid Endarterectomy'!$A:$AA,26,FALSE)</f>
        <v>9</v>
      </c>
      <c r="AK58" s="123">
        <f>VLOOKUP($AE58,'Carotid Endarterectomy'!$A:$AA,27,FALSE)</f>
        <v>14</v>
      </c>
    </row>
    <row r="59" spans="31:37" x14ac:dyDescent="0.25">
      <c r="AE59" s="153" t="s">
        <v>44</v>
      </c>
      <c r="AF59" s="153" t="s">
        <v>421</v>
      </c>
      <c r="AG59" s="153">
        <v>58</v>
      </c>
      <c r="AH59" s="123">
        <f>VLOOKUP($AE59,'Carotid Endarterectomy'!$A:$AA,24,FALSE)</f>
        <v>16</v>
      </c>
      <c r="AI59" s="123">
        <f>VLOOKUP($AE59,'Carotid Endarterectomy'!$A:$AA,25,FALSE)</f>
        <v>7</v>
      </c>
      <c r="AJ59" s="123">
        <f>VLOOKUP($AE59,'Carotid Endarterectomy'!$A:$AA,26,FALSE)</f>
        <v>9</v>
      </c>
      <c r="AK59" s="123">
        <f>VLOOKUP($AE59,'Carotid Endarterectomy'!$A:$AA,27,FALSE)</f>
        <v>14</v>
      </c>
    </row>
    <row r="60" spans="31:37" x14ac:dyDescent="0.25">
      <c r="AE60" s="153" t="s">
        <v>129</v>
      </c>
      <c r="AF60" s="153" t="s">
        <v>130</v>
      </c>
      <c r="AG60" s="153">
        <v>59</v>
      </c>
      <c r="AH60" s="123">
        <f>VLOOKUP($AE60,'Carotid Endarterectomy'!$A:$AA,24,FALSE)</f>
        <v>16</v>
      </c>
      <c r="AI60" s="123">
        <f>VLOOKUP($AE60,'Carotid Endarterectomy'!$A:$AA,25,FALSE)</f>
        <v>7</v>
      </c>
      <c r="AJ60" s="123">
        <f>VLOOKUP($AE60,'Carotid Endarterectomy'!$A:$AA,26,FALSE)</f>
        <v>15</v>
      </c>
      <c r="AK60" s="123">
        <f>VLOOKUP($AE60,'Carotid Endarterectomy'!$A:$AA,27,FALSE)</f>
        <v>14</v>
      </c>
    </row>
    <row r="61" spans="31:37" x14ac:dyDescent="0.25">
      <c r="AE61" s="153" t="s">
        <v>0</v>
      </c>
      <c r="AF61" s="153" t="s">
        <v>1</v>
      </c>
      <c r="AG61" s="153">
        <v>60</v>
      </c>
      <c r="AH61" s="123">
        <f>VLOOKUP($AE61,'Carotid Endarterectomy'!$A:$AA,24,FALSE)</f>
        <v>16</v>
      </c>
      <c r="AI61" s="123">
        <f>VLOOKUP($AE61,'Carotid Endarterectomy'!$A:$AA,25,FALSE)</f>
        <v>4</v>
      </c>
      <c r="AJ61" s="123">
        <f>VLOOKUP($AE61,'Carotid Endarterectomy'!$A:$AA,26,FALSE)</f>
        <v>20</v>
      </c>
      <c r="AK61" s="123">
        <f>VLOOKUP($AE61,'Carotid Endarterectomy'!$A:$AA,27,FALSE)</f>
        <v>14</v>
      </c>
    </row>
    <row r="62" spans="31:37" x14ac:dyDescent="0.25">
      <c r="AE62" s="153" t="s">
        <v>69</v>
      </c>
      <c r="AF62" s="153" t="s">
        <v>70</v>
      </c>
      <c r="AG62" s="153">
        <v>61</v>
      </c>
      <c r="AH62" s="123">
        <f>VLOOKUP($AE62,'Carotid Endarterectomy'!$A:$AA,24,FALSE)</f>
        <v>17</v>
      </c>
      <c r="AI62" s="123">
        <f>VLOOKUP($AE62,'Carotid Endarterectomy'!$A:$AA,25,FALSE)</f>
        <v>6</v>
      </c>
      <c r="AJ62" s="123">
        <f>VLOOKUP($AE62,'Carotid Endarterectomy'!$A:$AA,26,FALSE)</f>
        <v>10</v>
      </c>
      <c r="AK62" s="123">
        <f>VLOOKUP($AE62,'Carotid Endarterectomy'!$A:$AA,27,FALSE)</f>
        <v>14</v>
      </c>
    </row>
    <row r="63" spans="31:37" x14ac:dyDescent="0.25">
      <c r="AE63" s="153" t="s">
        <v>92</v>
      </c>
      <c r="AF63" s="153" t="s">
        <v>93</v>
      </c>
      <c r="AG63" s="153">
        <v>62</v>
      </c>
      <c r="AH63" s="123">
        <f>VLOOKUP($AE63,'Carotid Endarterectomy'!$A:$AA,24,FALSE)</f>
        <v>20</v>
      </c>
      <c r="AI63" s="123">
        <f>VLOOKUP($AE63,'Carotid Endarterectomy'!$A:$AA,25,FALSE)</f>
        <v>2</v>
      </c>
      <c r="AJ63" s="123">
        <f>VLOOKUP($AE63,'Carotid Endarterectomy'!$A:$AA,26,FALSE)</f>
        <v>0</v>
      </c>
      <c r="AK63" s="123">
        <f>VLOOKUP($AE63,'Carotid Endarterectomy'!$A:$AA,27,FALSE)</f>
        <v>14</v>
      </c>
    </row>
    <row r="64" spans="31:37" x14ac:dyDescent="0.25">
      <c r="AE64" s="153" t="s">
        <v>147</v>
      </c>
      <c r="AF64" s="153" t="s">
        <v>148</v>
      </c>
      <c r="AG64" s="153">
        <v>63</v>
      </c>
      <c r="AH64" s="123">
        <f>VLOOKUP($AE64,'Carotid Endarterectomy'!$A:$AA,24,FALSE)</f>
        <v>21</v>
      </c>
      <c r="AI64" s="123">
        <f>VLOOKUP($AE64,'Carotid Endarterectomy'!$A:$AA,25,FALSE)</f>
        <v>9</v>
      </c>
      <c r="AJ64" s="123">
        <f>VLOOKUP($AE64,'Carotid Endarterectomy'!$A:$AA,26,FALSE)</f>
        <v>19</v>
      </c>
      <c r="AK64" s="123">
        <f>VLOOKUP($AE64,'Carotid Endarterectomy'!$A:$AA,27,FALSE)</f>
        <v>14</v>
      </c>
    </row>
    <row r="65" spans="31:37" x14ac:dyDescent="0.25">
      <c r="AE65" s="153" t="s">
        <v>119</v>
      </c>
      <c r="AF65" s="153" t="s">
        <v>120</v>
      </c>
      <c r="AG65" s="153">
        <v>64</v>
      </c>
      <c r="AH65" s="123">
        <f>VLOOKUP($AE65,'Carotid Endarterectomy'!$A:$AA,24,FALSE)</f>
        <v>22</v>
      </c>
      <c r="AI65" s="123">
        <f>VLOOKUP($AE65,'Carotid Endarterectomy'!$A:$AA,25,FALSE)</f>
        <v>9</v>
      </c>
      <c r="AJ65" s="123">
        <f>VLOOKUP($AE65,'Carotid Endarterectomy'!$A:$AA,26,FALSE)</f>
        <v>11</v>
      </c>
      <c r="AK65" s="123">
        <f>VLOOKUP($AE65,'Carotid Endarterectomy'!$A:$AA,27,FALSE)</f>
        <v>14</v>
      </c>
    </row>
    <row r="66" spans="31:37" x14ac:dyDescent="0.25">
      <c r="AE66" s="153" t="s">
        <v>51</v>
      </c>
      <c r="AF66" s="153" t="s">
        <v>52</v>
      </c>
      <c r="AG66" s="153">
        <v>65</v>
      </c>
      <c r="AH66" s="123">
        <f>VLOOKUP($AE66,'Carotid Endarterectomy'!$A:$AA,24,FALSE)</f>
        <v>22</v>
      </c>
      <c r="AI66" s="123">
        <f>VLOOKUP($AE66,'Carotid Endarterectomy'!$A:$AA,25,FALSE)</f>
        <v>7</v>
      </c>
      <c r="AJ66" s="123">
        <f>VLOOKUP($AE66,'Carotid Endarterectomy'!$A:$AA,26,FALSE)</f>
        <v>13</v>
      </c>
      <c r="AK66" s="123">
        <f>VLOOKUP($AE66,'Carotid Endarterectomy'!$A:$AA,27,FALSE)</f>
        <v>14</v>
      </c>
    </row>
    <row r="67" spans="31:37" x14ac:dyDescent="0.25">
      <c r="AE67" s="153" t="s">
        <v>161</v>
      </c>
      <c r="AF67" s="153" t="s">
        <v>162</v>
      </c>
      <c r="AG67" s="153">
        <v>66</v>
      </c>
      <c r="AH67" s="123">
        <f>VLOOKUP($AE67,'Carotid Endarterectomy'!$A:$AA,24,FALSE)</f>
        <v>24</v>
      </c>
      <c r="AI67" s="123">
        <f>VLOOKUP($AE67,'Carotid Endarterectomy'!$A:$AA,25,FALSE)</f>
        <v>7</v>
      </c>
      <c r="AJ67" s="123">
        <f>VLOOKUP($AE67,'Carotid Endarterectomy'!$A:$AA,26,FALSE)</f>
        <v>27</v>
      </c>
      <c r="AK67" s="123">
        <f>VLOOKUP($AE67,'Carotid Endarterectomy'!$A:$AA,27,FALSE)</f>
        <v>14</v>
      </c>
    </row>
    <row r="68" spans="31:37" x14ac:dyDescent="0.25">
      <c r="AE68" s="153" t="s">
        <v>57</v>
      </c>
      <c r="AF68" s="153" t="s">
        <v>58</v>
      </c>
      <c r="AG68" s="153">
        <v>67</v>
      </c>
      <c r="AH68" s="123">
        <f>VLOOKUP($AE68,'Carotid Endarterectomy'!$A:$AA,24,FALSE)</f>
        <v>26</v>
      </c>
      <c r="AI68" s="123">
        <f>VLOOKUP($AE68,'Carotid Endarterectomy'!$A:$AA,25,FALSE)</f>
        <v>10</v>
      </c>
      <c r="AJ68" s="123">
        <f>VLOOKUP($AE68,'Carotid Endarterectomy'!$A:$AA,26,FALSE)</f>
        <v>11</v>
      </c>
      <c r="AK68" s="123">
        <f>VLOOKUP($AE68,'Carotid Endarterectomy'!$A:$AA,27,FALSE)</f>
        <v>14</v>
      </c>
    </row>
  </sheetData>
  <mergeCells count="2">
    <mergeCell ref="B30:C30"/>
    <mergeCell ref="F2:I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'Carotid Endarterectomy'!$G$1:$H$1</xm:f>
          </x14:formula1>
          <xm:sqref>F2</xm:sqref>
        </x14:dataValidation>
        <x14:dataValidation type="list" allowBlank="1" showInputMessage="1" showErrorMessage="1">
          <x14:formula1>
            <xm:f>'Carotid Endarterectomy'!$B$2:$B$71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AAA Summary</vt:lpstr>
      <vt:lpstr>LL Revascularisation Summary</vt:lpstr>
      <vt:lpstr>Elective Infra-Renal AAA Repair</vt:lpstr>
      <vt:lpstr>AAA 2020 Report</vt:lpstr>
      <vt:lpstr>LL Revasc Data</vt:lpstr>
      <vt:lpstr>Angioplasty Summary</vt:lpstr>
      <vt:lpstr>Bypass Summary</vt:lpstr>
      <vt:lpstr>Amputation Summary</vt:lpstr>
      <vt:lpstr>CEA Summary</vt:lpstr>
      <vt:lpstr>Lower Limb Bypass</vt:lpstr>
      <vt:lpstr>Lower Limb Angioplasty</vt:lpstr>
      <vt:lpstr>Major Lower Limb Amputation</vt:lpstr>
      <vt:lpstr>Amp Funnel</vt:lpstr>
      <vt:lpstr>Bypass Funnel</vt:lpstr>
      <vt:lpstr>Angio Funnel</vt:lpstr>
      <vt:lpstr>Carotid Endarterectomy</vt:lpstr>
      <vt:lpstr>CEA Limits</vt:lpstr>
      <vt:lpstr>CEA Funnel</vt:lpstr>
      <vt:lpstr>AAA 2019 Report</vt:lpstr>
      <vt:lpstr>AAA Limits</vt:lpstr>
      <vt:lpstr>AAA Funnel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2019-09-16T10:41:18Z</dcterms:created>
  <dcterms:modified xsi:type="dcterms:W3CDTF">2021-11-10T17:10:35Z</dcterms:modified>
</cp:coreProperties>
</file>