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64011"/>
  <bookViews>
    <workbookView xWindow="0" yWindow="0" windowWidth="28800" windowHeight="12300" tabRatio="901"/>
  </bookViews>
  <sheets>
    <sheet name="AAA Summary" sheetId="15" r:id="rId1"/>
    <sheet name="Elective Infra-Renal AAA Repair" sheetId="3" state="hidden" r:id="rId2"/>
    <sheet name="Bypass Summary" sheetId="21" r:id="rId3"/>
    <sheet name="Lower Limb Bypass" sheetId="9" state="hidden" r:id="rId4"/>
    <sheet name="Angioplasty Summary" sheetId="23" r:id="rId5"/>
    <sheet name="Lower Limb Angioplasty" sheetId="10" state="hidden" r:id="rId6"/>
    <sheet name="Amputation Summary" sheetId="25" r:id="rId7"/>
    <sheet name="Trusts Overview" sheetId="1" state="hidden" r:id="rId8"/>
    <sheet name="Major Lower Limb Amputation" sheetId="11" state="hidden" r:id="rId9"/>
    <sheet name="Amp Funnel" sheetId="26" state="hidden" r:id="rId10"/>
    <sheet name="Bypass Funnel" sheetId="22" state="hidden" r:id="rId11"/>
    <sheet name="Angio Funnel" sheetId="24" state="hidden" r:id="rId12"/>
    <sheet name="Carotid Endarterectomy" sheetId="2" state="hidden" r:id="rId13"/>
    <sheet name="CEA Summary" sheetId="12" r:id="rId14"/>
    <sheet name="CEA Limits" sheetId="13" state="hidden" r:id="rId15"/>
    <sheet name="CEA Funnel" sheetId="14" state="hidden" r:id="rId16"/>
    <sheet name="AAA 2019 Report" sheetId="27" state="hidden" r:id="rId17"/>
    <sheet name="AAA 2018 Report" sheetId="19" state="hidden" r:id="rId18"/>
    <sheet name="AAA Limits" sheetId="17" state="hidden" r:id="rId19"/>
    <sheet name="AAA Funnel" sheetId="18" state="hidden" r:id="rId20"/>
  </sheets>
  <externalReferences>
    <externalReference r:id="rId21"/>
  </externalReferences>
  <definedNames>
    <definedName name="_xlnm._FilterDatabase" localSheetId="12" hidden="1">'Carotid Endarterectomy'!$A$1:$J$76</definedName>
    <definedName name="_xlnm._FilterDatabase" localSheetId="1" hidden="1">'Elective Infra-Renal AAA Repair'!$A$7:$O$82</definedName>
    <definedName name="_xlnm._FilterDatabase" localSheetId="5" hidden="1">'Lower Limb Angioplasty'!$A$1:$AC$91</definedName>
    <definedName name="_xlnm._FilterDatabase" localSheetId="3" hidden="1">'Lower Limb Bypass'!$A$1:$J$77</definedName>
    <definedName name="_xlnm._FilterDatabase" localSheetId="8" hidden="1">'Major Lower Limb Amputation'!$A$7:$AC$82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1" l="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F37" i="11"/>
  <c r="AF38" i="11"/>
  <c r="AF39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F76" i="11"/>
  <c r="AF77" i="11"/>
  <c r="AF78" i="11"/>
  <c r="AF79" i="11"/>
  <c r="AF80" i="11"/>
  <c r="AF81" i="11"/>
  <c r="AF82" i="11"/>
  <c r="AF8" i="11"/>
  <c r="AD2" i="23"/>
  <c r="R4" i="23"/>
  <c r="AM3" i="10"/>
  <c r="AM4" i="10"/>
  <c r="AM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M49" i="10"/>
  <c r="AM50" i="10"/>
  <c r="AM51" i="10"/>
  <c r="AM52" i="10"/>
  <c r="AM53" i="10"/>
  <c r="AM54" i="10"/>
  <c r="AM55" i="10"/>
  <c r="AM56" i="10"/>
  <c r="AM57" i="10"/>
  <c r="AM58" i="10"/>
  <c r="AM59" i="10"/>
  <c r="AM60" i="10"/>
  <c r="AM61" i="10"/>
  <c r="AM62" i="10"/>
  <c r="AM63" i="10"/>
  <c r="AM64" i="10"/>
  <c r="AM65" i="10"/>
  <c r="AM66" i="10"/>
  <c r="AM67" i="10"/>
  <c r="AM68" i="10"/>
  <c r="AM69" i="10"/>
  <c r="AM70" i="10"/>
  <c r="AM71" i="10"/>
  <c r="AM72" i="10"/>
  <c r="AM73" i="10"/>
  <c r="AM74" i="10"/>
  <c r="AM75" i="10"/>
  <c r="AM76" i="10"/>
  <c r="AM77" i="10"/>
  <c r="AM78" i="10"/>
  <c r="AM79" i="10"/>
  <c r="AM80" i="10"/>
  <c r="AM81" i="10"/>
  <c r="AM82" i="10"/>
  <c r="AM83" i="10"/>
  <c r="AM84" i="10"/>
  <c r="AM85" i="10"/>
  <c r="AM86" i="10"/>
  <c r="AM87" i="10"/>
  <c r="AM88" i="10"/>
  <c r="AM89" i="10"/>
  <c r="AM90" i="10"/>
  <c r="AM91" i="10"/>
  <c r="AM92" i="10"/>
  <c r="AM93" i="10"/>
  <c r="AM94" i="10"/>
  <c r="AM95" i="10"/>
  <c r="AM96" i="10"/>
  <c r="AM97" i="10"/>
  <c r="AM98" i="10"/>
  <c r="AM99" i="10"/>
  <c r="AM100" i="10"/>
  <c r="AM101" i="10"/>
  <c r="AM102" i="10"/>
  <c r="AM2" i="10"/>
  <c r="AL3" i="10"/>
  <c r="AL4" i="10"/>
  <c r="AL5" i="10"/>
  <c r="AL6" i="10"/>
  <c r="AL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L38" i="10"/>
  <c r="AL39" i="10"/>
  <c r="AL40" i="10"/>
  <c r="AL41" i="10"/>
  <c r="AL42" i="10"/>
  <c r="AL43" i="10"/>
  <c r="AL44" i="10"/>
  <c r="AL45" i="10"/>
  <c r="AL46" i="10"/>
  <c r="AL47" i="10"/>
  <c r="AL48" i="10"/>
  <c r="AL49" i="10"/>
  <c r="AL50" i="10"/>
  <c r="AL51" i="10"/>
  <c r="AL52" i="10"/>
  <c r="AL53" i="10"/>
  <c r="AL54" i="10"/>
  <c r="AL55" i="10"/>
  <c r="AL56" i="10"/>
  <c r="AL57" i="10"/>
  <c r="AL58" i="10"/>
  <c r="AL59" i="10"/>
  <c r="AL60" i="10"/>
  <c r="AL61" i="10"/>
  <c r="AL62" i="10"/>
  <c r="AL63" i="10"/>
  <c r="AL64" i="10"/>
  <c r="AL65" i="10"/>
  <c r="AL66" i="10"/>
  <c r="AL67" i="10"/>
  <c r="AL68" i="10"/>
  <c r="AL69" i="10"/>
  <c r="AL70" i="10"/>
  <c r="AL71" i="10"/>
  <c r="AL72" i="10"/>
  <c r="AL73" i="10"/>
  <c r="AL74" i="10"/>
  <c r="AL75" i="10"/>
  <c r="AL76" i="10"/>
  <c r="AL77" i="10"/>
  <c r="AL78" i="10"/>
  <c r="AL79" i="10"/>
  <c r="AL80" i="10"/>
  <c r="AL81" i="10"/>
  <c r="AL82" i="10"/>
  <c r="AL83" i="10"/>
  <c r="AL84" i="10"/>
  <c r="AL85" i="10"/>
  <c r="AL86" i="10"/>
  <c r="AL87" i="10"/>
  <c r="AL88" i="10"/>
  <c r="AL89" i="10"/>
  <c r="AL90" i="10"/>
  <c r="AL91" i="10"/>
  <c r="AL92" i="10"/>
  <c r="AL93" i="10"/>
  <c r="AL94" i="10"/>
  <c r="AL95" i="10"/>
  <c r="AL96" i="10"/>
  <c r="AL97" i="10"/>
  <c r="AL98" i="10"/>
  <c r="AL99" i="10"/>
  <c r="AL100" i="10"/>
  <c r="AL101" i="10"/>
  <c r="AL102" i="10"/>
  <c r="AL2" i="10"/>
  <c r="AI3" i="10"/>
  <c r="AI4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54" i="10"/>
  <c r="AI55" i="10"/>
  <c r="AI56" i="10"/>
  <c r="AI57" i="10"/>
  <c r="AI58" i="10"/>
  <c r="AI59" i="10"/>
  <c r="AI60" i="10"/>
  <c r="AI61" i="10"/>
  <c r="AI62" i="10"/>
  <c r="AI63" i="10"/>
  <c r="AI64" i="10"/>
  <c r="AI65" i="10"/>
  <c r="AI66" i="10"/>
  <c r="AI67" i="10"/>
  <c r="AI68" i="10"/>
  <c r="AI69" i="10"/>
  <c r="AI70" i="10"/>
  <c r="AI71" i="10"/>
  <c r="AI72" i="10"/>
  <c r="AI73" i="10"/>
  <c r="AI74" i="10"/>
  <c r="AI75" i="10"/>
  <c r="AI76" i="10"/>
  <c r="AI77" i="10"/>
  <c r="AI78" i="10"/>
  <c r="AI79" i="10"/>
  <c r="AI80" i="10"/>
  <c r="AI81" i="10"/>
  <c r="AI82" i="10"/>
  <c r="AI83" i="10"/>
  <c r="AI84" i="10"/>
  <c r="AI85" i="10"/>
  <c r="AI86" i="10"/>
  <c r="AI87" i="10"/>
  <c r="AI88" i="10"/>
  <c r="AI89" i="10"/>
  <c r="AI90" i="10"/>
  <c r="AI91" i="10"/>
  <c r="AI92" i="10"/>
  <c r="AI93" i="10"/>
  <c r="AI94" i="10"/>
  <c r="AI95" i="10"/>
  <c r="AI96" i="10"/>
  <c r="AI97" i="10"/>
  <c r="AI98" i="10"/>
  <c r="AI99" i="10"/>
  <c r="AI100" i="10"/>
  <c r="AI101" i="10"/>
  <c r="AI102" i="10"/>
  <c r="AI2" i="10"/>
  <c r="AH3" i="10"/>
  <c r="AH4" i="10"/>
  <c r="AH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3" i="10"/>
  <c r="AH54" i="10"/>
  <c r="AH55" i="10"/>
  <c r="AH56" i="10"/>
  <c r="AH57" i="10"/>
  <c r="AH58" i="10"/>
  <c r="AH59" i="10"/>
  <c r="AH60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4" i="10"/>
  <c r="AH75" i="10"/>
  <c r="AH76" i="10"/>
  <c r="AH77" i="10"/>
  <c r="AH78" i="10"/>
  <c r="AH79" i="10"/>
  <c r="AH80" i="10"/>
  <c r="AH81" i="10"/>
  <c r="AH82" i="10"/>
  <c r="AH83" i="10"/>
  <c r="AH84" i="10"/>
  <c r="AH85" i="10"/>
  <c r="AH86" i="10"/>
  <c r="AH87" i="10"/>
  <c r="AH88" i="10"/>
  <c r="AH89" i="10"/>
  <c r="AH90" i="10"/>
  <c r="AH91" i="10"/>
  <c r="AH92" i="10"/>
  <c r="AH93" i="10"/>
  <c r="AH94" i="10"/>
  <c r="AH95" i="10"/>
  <c r="AH96" i="10"/>
  <c r="AH97" i="10"/>
  <c r="AH98" i="10"/>
  <c r="AH99" i="10"/>
  <c r="AH100" i="10"/>
  <c r="AH101" i="10"/>
  <c r="AH102" i="10"/>
  <c r="AH2" i="10"/>
  <c r="AS3" i="10" l="1"/>
  <c r="AS7" i="10"/>
  <c r="AK2" i="23" s="1"/>
  <c r="AS11" i="10"/>
  <c r="AS15" i="10"/>
  <c r="AS19" i="10"/>
  <c r="AK19" i="23" s="1"/>
  <c r="AS23" i="10"/>
  <c r="AS27" i="10"/>
  <c r="AK51" i="23" s="1"/>
  <c r="AS31" i="10"/>
  <c r="AS35" i="10"/>
  <c r="AK15" i="23" s="1"/>
  <c r="AS39" i="10"/>
  <c r="AK59" i="23" s="1"/>
  <c r="AS43" i="10"/>
  <c r="AK41" i="23" s="1"/>
  <c r="AS47" i="10"/>
  <c r="AS51" i="10"/>
  <c r="AK22" i="23" s="1"/>
  <c r="AS55" i="10"/>
  <c r="AS59" i="10"/>
  <c r="AS63" i="10"/>
  <c r="AK9" i="23" s="1"/>
  <c r="AS67" i="10"/>
  <c r="AK16" i="23" s="1"/>
  <c r="AS71" i="10"/>
  <c r="AK24" i="23" s="1"/>
  <c r="AS75" i="10"/>
  <c r="AS79" i="10"/>
  <c r="AK56" i="23" s="1"/>
  <c r="AS83" i="10"/>
  <c r="AK44" i="23" s="1"/>
  <c r="AS87" i="10"/>
  <c r="AS91" i="10"/>
  <c r="AS95" i="10"/>
  <c r="AK38" i="23" s="1"/>
  <c r="AS99" i="10"/>
  <c r="AR3" i="10"/>
  <c r="AR7" i="10"/>
  <c r="AJ2" i="23" s="1"/>
  <c r="AR11" i="10"/>
  <c r="AR15" i="10"/>
  <c r="AR19" i="10"/>
  <c r="AJ19" i="23" s="1"/>
  <c r="AR23" i="10"/>
  <c r="AR27" i="10"/>
  <c r="AJ51" i="23" s="1"/>
  <c r="AR31" i="10"/>
  <c r="AR35" i="10"/>
  <c r="AJ15" i="23" s="1"/>
  <c r="AR39" i="10"/>
  <c r="AJ59" i="23" s="1"/>
  <c r="AR43" i="10"/>
  <c r="AJ41" i="23" s="1"/>
  <c r="AR47" i="10"/>
  <c r="AR51" i="10"/>
  <c r="AJ22" i="23" s="1"/>
  <c r="AR55" i="10"/>
  <c r="AR59" i="10"/>
  <c r="AR63" i="10"/>
  <c r="AJ9" i="23" s="1"/>
  <c r="AR67" i="10"/>
  <c r="AJ16" i="23" s="1"/>
  <c r="AR71" i="10"/>
  <c r="AJ24" i="23" s="1"/>
  <c r="AR75" i="10"/>
  <c r="AR79" i="10"/>
  <c r="AJ56" i="23" s="1"/>
  <c r="AR83" i="10"/>
  <c r="AJ44" i="23" s="1"/>
  <c r="AR87" i="10"/>
  <c r="AR91" i="10"/>
  <c r="AR95" i="10"/>
  <c r="AJ38" i="23" s="1"/>
  <c r="AR99" i="10"/>
  <c r="AS2" i="10"/>
  <c r="AQ5" i="10"/>
  <c r="AI48" i="23" s="1"/>
  <c r="AQ9" i="10"/>
  <c r="AQ13" i="10"/>
  <c r="AQ17" i="10"/>
  <c r="AI45" i="23" s="1"/>
  <c r="AQ21" i="10"/>
  <c r="AI50" i="23" s="1"/>
  <c r="AQ25" i="10"/>
  <c r="AI6" i="23" s="1"/>
  <c r="AQ29" i="10"/>
  <c r="AI58" i="23" s="1"/>
  <c r="AQ33" i="10"/>
  <c r="AQ37" i="10"/>
  <c r="AI28" i="23" s="1"/>
  <c r="AQ41" i="10"/>
  <c r="AI29" i="23" s="1"/>
  <c r="AQ45" i="10"/>
  <c r="AQ49" i="10"/>
  <c r="AI31" i="23" s="1"/>
  <c r="AQ53" i="10"/>
  <c r="AQ57" i="10"/>
  <c r="AI21" i="23" s="1"/>
  <c r="AQ61" i="10"/>
  <c r="AQ65" i="10"/>
  <c r="AQ69" i="10"/>
  <c r="AQ73" i="10"/>
  <c r="AQ77" i="10"/>
  <c r="AI17" i="23" s="1"/>
  <c r="AQ81" i="10"/>
  <c r="AI10" i="23" s="1"/>
  <c r="AQ85" i="10"/>
  <c r="AI8" i="23" s="1"/>
  <c r="AQ89" i="10"/>
  <c r="AQ93" i="10"/>
  <c r="AQ97" i="10"/>
  <c r="AI23" i="23" s="1"/>
  <c r="AQ101" i="10"/>
  <c r="AI57" i="23" s="1"/>
  <c r="AP4" i="10"/>
  <c r="AH42" i="23" s="1"/>
  <c r="AP8" i="10"/>
  <c r="AH39" i="23" s="1"/>
  <c r="AP12" i="10"/>
  <c r="AP16" i="10"/>
  <c r="AH34" i="23" s="1"/>
  <c r="AP20" i="10"/>
  <c r="AP24" i="10"/>
  <c r="AH46" i="23" s="1"/>
  <c r="AS4" i="10"/>
  <c r="AK42" i="23" s="1"/>
  <c r="AS8" i="10"/>
  <c r="AK39" i="23" s="1"/>
  <c r="AS12" i="10"/>
  <c r="AS16" i="10"/>
  <c r="AK34" i="23" s="1"/>
  <c r="AS20" i="10"/>
  <c r="AS24" i="10"/>
  <c r="AK46" i="23" s="1"/>
  <c r="AS28" i="10"/>
  <c r="AK26" i="23" s="1"/>
  <c r="AS32" i="10"/>
  <c r="AK33" i="23" s="1"/>
  <c r="AS36" i="10"/>
  <c r="AK13" i="23" s="1"/>
  <c r="AS40" i="10"/>
  <c r="AK30" i="23" s="1"/>
  <c r="AS44" i="10"/>
  <c r="AS48" i="10"/>
  <c r="AS52" i="10"/>
  <c r="AK12" i="23" s="1"/>
  <c r="AS56" i="10"/>
  <c r="AS60" i="10"/>
  <c r="AS64" i="10"/>
  <c r="AK27" i="23" s="1"/>
  <c r="AS68" i="10"/>
  <c r="AS72" i="10"/>
  <c r="AK40" i="23" s="1"/>
  <c r="AS76" i="10"/>
  <c r="AK14" i="23" s="1"/>
  <c r="AS80" i="10"/>
  <c r="AS84" i="10"/>
  <c r="AK54" i="23" s="1"/>
  <c r="AS88" i="10"/>
  <c r="AK53" i="23" s="1"/>
  <c r="AS92" i="10"/>
  <c r="AK37" i="23" s="1"/>
  <c r="AS96" i="10"/>
  <c r="AK4" i="23" s="1"/>
  <c r="AS100" i="10"/>
  <c r="AK32" i="23" s="1"/>
  <c r="AR4" i="10"/>
  <c r="AJ42" i="23" s="1"/>
  <c r="AR8" i="10"/>
  <c r="AJ39" i="23" s="1"/>
  <c r="AR12" i="10"/>
  <c r="AR16" i="10"/>
  <c r="AJ34" i="23" s="1"/>
  <c r="AR20" i="10"/>
  <c r="AR24" i="10"/>
  <c r="AJ46" i="23" s="1"/>
  <c r="AR28" i="10"/>
  <c r="AJ26" i="23" s="1"/>
  <c r="AR32" i="10"/>
  <c r="AJ33" i="23" s="1"/>
  <c r="AR36" i="10"/>
  <c r="AJ13" i="23" s="1"/>
  <c r="AR40" i="10"/>
  <c r="AJ30" i="23" s="1"/>
  <c r="AR44" i="10"/>
  <c r="AR48" i="10"/>
  <c r="AR52" i="10"/>
  <c r="AJ12" i="23" s="1"/>
  <c r="AR56" i="10"/>
  <c r="AR60" i="10"/>
  <c r="AR64" i="10"/>
  <c r="AJ27" i="23" s="1"/>
  <c r="AR68" i="10"/>
  <c r="AR72" i="10"/>
  <c r="AJ40" i="23" s="1"/>
  <c r="AR76" i="10"/>
  <c r="AJ14" i="23" s="1"/>
  <c r="AR80" i="10"/>
  <c r="AR84" i="10"/>
  <c r="AJ54" i="23" s="1"/>
  <c r="AR88" i="10"/>
  <c r="AJ53" i="23" s="1"/>
  <c r="AR92" i="10"/>
  <c r="AJ37" i="23" s="1"/>
  <c r="AR96" i="10"/>
  <c r="AJ4" i="23" s="1"/>
  <c r="AR100" i="10"/>
  <c r="AJ32" i="23" s="1"/>
  <c r="AR2" i="10"/>
  <c r="AQ6" i="10"/>
  <c r="AQ10" i="10"/>
  <c r="AQ14" i="10"/>
  <c r="AQ18" i="10"/>
  <c r="AQ22" i="10"/>
  <c r="AQ26" i="10"/>
  <c r="AI5" i="23" s="1"/>
  <c r="AQ30" i="10"/>
  <c r="AI20" i="23" s="1"/>
  <c r="AQ34" i="10"/>
  <c r="AI7" i="23" s="1"/>
  <c r="AQ38" i="10"/>
  <c r="AI47" i="23" s="1"/>
  <c r="AQ42" i="10"/>
  <c r="AI52" i="23" s="1"/>
  <c r="AQ46" i="10"/>
  <c r="AI35" i="23" s="1"/>
  <c r="AQ50" i="10"/>
  <c r="AI3" i="23" s="1"/>
  <c r="AQ54" i="10"/>
  <c r="AQ58" i="10"/>
  <c r="AI25" i="23" s="1"/>
  <c r="AQ62" i="10"/>
  <c r="AQ66" i="10"/>
  <c r="AQ70" i="10"/>
  <c r="AQ74" i="10"/>
  <c r="AI55" i="23" s="1"/>
  <c r="AQ78" i="10"/>
  <c r="AQ82" i="10"/>
  <c r="AQ86" i="10"/>
  <c r="AI18" i="23" s="1"/>
  <c r="AQ90" i="10"/>
  <c r="AI36" i="23" s="1"/>
  <c r="AQ94" i="10"/>
  <c r="AI43" i="23" s="1"/>
  <c r="AQ98" i="10"/>
  <c r="AI49" i="23" s="1"/>
  <c r="AQ102" i="10"/>
  <c r="AI11" i="23" s="1"/>
  <c r="AP5" i="10"/>
  <c r="AH48" i="23" s="1"/>
  <c r="AP9" i="10"/>
  <c r="AP13" i="10"/>
  <c r="AP17" i="10"/>
  <c r="AH45" i="23" s="1"/>
  <c r="AP21" i="10"/>
  <c r="AH50" i="23" s="1"/>
  <c r="AP25" i="10"/>
  <c r="AH6" i="23" s="1"/>
  <c r="AP29" i="10"/>
  <c r="AH58" i="23" s="1"/>
  <c r="AP33" i="10"/>
  <c r="AP37" i="10"/>
  <c r="AH28" i="23" s="1"/>
  <c r="AS5" i="10"/>
  <c r="AK48" i="23" s="1"/>
  <c r="AS9" i="10"/>
  <c r="AS13" i="10"/>
  <c r="AS17" i="10"/>
  <c r="AK45" i="23" s="1"/>
  <c r="AS21" i="10"/>
  <c r="AK50" i="23" s="1"/>
  <c r="AS25" i="10"/>
  <c r="AK6" i="23" s="1"/>
  <c r="AS29" i="10"/>
  <c r="AK58" i="23" s="1"/>
  <c r="AS33" i="10"/>
  <c r="AS37" i="10"/>
  <c r="AK28" i="23" s="1"/>
  <c r="AS41" i="10"/>
  <c r="AK29" i="23" s="1"/>
  <c r="AS45" i="10"/>
  <c r="AS49" i="10"/>
  <c r="AK31" i="23" s="1"/>
  <c r="AS53" i="10"/>
  <c r="AS57" i="10"/>
  <c r="AK21" i="23" s="1"/>
  <c r="AS61" i="10"/>
  <c r="AS65" i="10"/>
  <c r="AS69" i="10"/>
  <c r="AS73" i="10"/>
  <c r="AS77" i="10"/>
  <c r="AK17" i="23" s="1"/>
  <c r="AS81" i="10"/>
  <c r="AK10" i="23" s="1"/>
  <c r="AS85" i="10"/>
  <c r="AK8" i="23" s="1"/>
  <c r="AS89" i="10"/>
  <c r="AS93" i="10"/>
  <c r="AS97" i="10"/>
  <c r="AK23" i="23" s="1"/>
  <c r="AS101" i="10"/>
  <c r="AK57" i="23" s="1"/>
  <c r="AR5" i="10"/>
  <c r="AJ48" i="23" s="1"/>
  <c r="AR9" i="10"/>
  <c r="AR13" i="10"/>
  <c r="AR17" i="10"/>
  <c r="AJ45" i="23" s="1"/>
  <c r="AR21" i="10"/>
  <c r="AJ50" i="23" s="1"/>
  <c r="AR25" i="10"/>
  <c r="AJ6" i="23" s="1"/>
  <c r="AR29" i="10"/>
  <c r="AJ58" i="23" s="1"/>
  <c r="AR33" i="10"/>
  <c r="AR37" i="10"/>
  <c r="AJ28" i="23" s="1"/>
  <c r="AR41" i="10"/>
  <c r="AJ29" i="23" s="1"/>
  <c r="AR45" i="10"/>
  <c r="AR49" i="10"/>
  <c r="AJ31" i="23" s="1"/>
  <c r="AR53" i="10"/>
  <c r="AR57" i="10"/>
  <c r="AJ21" i="23" s="1"/>
  <c r="AR61" i="10"/>
  <c r="AR65" i="10"/>
  <c r="AR69" i="10"/>
  <c r="AR73" i="10"/>
  <c r="AR77" i="10"/>
  <c r="AJ17" i="23" s="1"/>
  <c r="AR81" i="10"/>
  <c r="AJ10" i="23" s="1"/>
  <c r="AR85" i="10"/>
  <c r="AJ8" i="23" s="1"/>
  <c r="AR89" i="10"/>
  <c r="AR93" i="10"/>
  <c r="AR97" i="10"/>
  <c r="AJ23" i="23" s="1"/>
  <c r="AR101" i="10"/>
  <c r="AJ57" i="23" s="1"/>
  <c r="AQ3" i="10"/>
  <c r="AQ7" i="10"/>
  <c r="AI2" i="23" s="1"/>
  <c r="AQ11" i="10"/>
  <c r="AQ15" i="10"/>
  <c r="AQ19" i="10"/>
  <c r="AI19" i="23" s="1"/>
  <c r="AQ23" i="10"/>
  <c r="AQ27" i="10"/>
  <c r="AI51" i="23" s="1"/>
  <c r="AQ31" i="10"/>
  <c r="AQ35" i="10"/>
  <c r="AI15" i="23" s="1"/>
  <c r="AQ39" i="10"/>
  <c r="AI59" i="23" s="1"/>
  <c r="AQ43" i="10"/>
  <c r="AI41" i="23" s="1"/>
  <c r="AQ47" i="10"/>
  <c r="AQ51" i="10"/>
  <c r="AI22" i="23" s="1"/>
  <c r="AQ55" i="10"/>
  <c r="AQ59" i="10"/>
  <c r="AQ63" i="10"/>
  <c r="AI9" i="23" s="1"/>
  <c r="AQ67" i="10"/>
  <c r="AI16" i="23" s="1"/>
  <c r="AQ71" i="10"/>
  <c r="AI24" i="23" s="1"/>
  <c r="AQ75" i="10"/>
  <c r="AQ79" i="10"/>
  <c r="AI56" i="23" s="1"/>
  <c r="AQ83" i="10"/>
  <c r="AI44" i="23" s="1"/>
  <c r="AQ87" i="10"/>
  <c r="AQ91" i="10"/>
  <c r="AQ95" i="10"/>
  <c r="AI38" i="23" s="1"/>
  <c r="AQ99" i="10"/>
  <c r="AQ2" i="10"/>
  <c r="AP6" i="10"/>
  <c r="AP10" i="10"/>
  <c r="AP14" i="10"/>
  <c r="AP18" i="10"/>
  <c r="AP22" i="10"/>
  <c r="AP26" i="10"/>
  <c r="AH5" i="23" s="1"/>
  <c r="AP30" i="10"/>
  <c r="AH20" i="23" s="1"/>
  <c r="AP34" i="10"/>
  <c r="AH7" i="23" s="1"/>
  <c r="AP38" i="10"/>
  <c r="AH47" i="23" s="1"/>
  <c r="AS6" i="10"/>
  <c r="AS10" i="10"/>
  <c r="AS14" i="10"/>
  <c r="AS18" i="10"/>
  <c r="AS22" i="10"/>
  <c r="AS26" i="10"/>
  <c r="AK5" i="23" s="1"/>
  <c r="AS30" i="10"/>
  <c r="AK20" i="23" s="1"/>
  <c r="AS34" i="10"/>
  <c r="AK7" i="23" s="1"/>
  <c r="AS38" i="10"/>
  <c r="AK47" i="23" s="1"/>
  <c r="AS42" i="10"/>
  <c r="AK52" i="23" s="1"/>
  <c r="AS46" i="10"/>
  <c r="AK35" i="23" s="1"/>
  <c r="AS50" i="10"/>
  <c r="AK3" i="23" s="1"/>
  <c r="AS54" i="10"/>
  <c r="AS58" i="10"/>
  <c r="AK25" i="23" s="1"/>
  <c r="AS62" i="10"/>
  <c r="AS66" i="10"/>
  <c r="AS70" i="10"/>
  <c r="AS74" i="10"/>
  <c r="AK55" i="23" s="1"/>
  <c r="AS78" i="10"/>
  <c r="AS82" i="10"/>
  <c r="AS86" i="10"/>
  <c r="AK18" i="23" s="1"/>
  <c r="AS90" i="10"/>
  <c r="AK36" i="23" s="1"/>
  <c r="AS94" i="10"/>
  <c r="AK43" i="23" s="1"/>
  <c r="AS98" i="10"/>
  <c r="AK49" i="23" s="1"/>
  <c r="AS102" i="10"/>
  <c r="AK11" i="23" s="1"/>
  <c r="AR6" i="10"/>
  <c r="AR10" i="10"/>
  <c r="AR14" i="10"/>
  <c r="AR18" i="10"/>
  <c r="AR22" i="10"/>
  <c r="AR26" i="10"/>
  <c r="AJ5" i="23" s="1"/>
  <c r="AR30" i="10"/>
  <c r="AJ20" i="23" s="1"/>
  <c r="AR34" i="10"/>
  <c r="AJ7" i="23" s="1"/>
  <c r="AR38" i="10"/>
  <c r="AJ47" i="23" s="1"/>
  <c r="AR42" i="10"/>
  <c r="AJ52" i="23" s="1"/>
  <c r="AR46" i="10"/>
  <c r="AJ35" i="23" s="1"/>
  <c r="AR50" i="10"/>
  <c r="AJ3" i="23" s="1"/>
  <c r="AR54" i="10"/>
  <c r="AR58" i="10"/>
  <c r="AJ25" i="23" s="1"/>
  <c r="AR62" i="10"/>
  <c r="AR66" i="10"/>
  <c r="AR70" i="10"/>
  <c r="AR74" i="10"/>
  <c r="AJ55" i="23" s="1"/>
  <c r="AR78" i="10"/>
  <c r="AR82" i="10"/>
  <c r="AR86" i="10"/>
  <c r="AJ18" i="23" s="1"/>
  <c r="AR90" i="10"/>
  <c r="AJ36" i="23" s="1"/>
  <c r="AR94" i="10"/>
  <c r="AJ43" i="23" s="1"/>
  <c r="AR98" i="10"/>
  <c r="AJ49" i="23" s="1"/>
  <c r="AR102" i="10"/>
  <c r="AJ11" i="23" s="1"/>
  <c r="AQ4" i="10"/>
  <c r="AI42" i="23" s="1"/>
  <c r="AQ8" i="10"/>
  <c r="AI39" i="23" s="1"/>
  <c r="AQ12" i="10"/>
  <c r="AQ16" i="10"/>
  <c r="AI34" i="23" s="1"/>
  <c r="AQ20" i="10"/>
  <c r="AQ24" i="10"/>
  <c r="AI46" i="23" s="1"/>
  <c r="AQ28" i="10"/>
  <c r="AI26" i="23" s="1"/>
  <c r="AQ32" i="10"/>
  <c r="AI33" i="23" s="1"/>
  <c r="AQ36" i="10"/>
  <c r="AI13" i="23" s="1"/>
  <c r="AQ40" i="10"/>
  <c r="AI30" i="23" s="1"/>
  <c r="AQ44" i="10"/>
  <c r="AQ48" i="10"/>
  <c r="AQ52" i="10"/>
  <c r="AI12" i="23" s="1"/>
  <c r="AQ56" i="10"/>
  <c r="AQ60" i="10"/>
  <c r="AQ64" i="10"/>
  <c r="AI27" i="23" s="1"/>
  <c r="AQ68" i="10"/>
  <c r="AQ72" i="10"/>
  <c r="AI40" i="23" s="1"/>
  <c r="AQ76" i="10"/>
  <c r="AI14" i="23" s="1"/>
  <c r="AQ80" i="10"/>
  <c r="AQ84" i="10"/>
  <c r="AI54" i="23" s="1"/>
  <c r="AQ88" i="10"/>
  <c r="AI53" i="23" s="1"/>
  <c r="AQ92" i="10"/>
  <c r="AI37" i="23" s="1"/>
  <c r="AQ96" i="10"/>
  <c r="AI4" i="23" s="1"/>
  <c r="AQ100" i="10"/>
  <c r="AI32" i="23" s="1"/>
  <c r="AP3" i="10"/>
  <c r="AP7" i="10"/>
  <c r="AH2" i="23" s="1"/>
  <c r="AP11" i="10"/>
  <c r="AP15" i="10"/>
  <c r="AP19" i="10"/>
  <c r="AH19" i="23" s="1"/>
  <c r="AP23" i="10"/>
  <c r="AP27" i="10"/>
  <c r="AH51" i="23" s="1"/>
  <c r="AP31" i="10"/>
  <c r="AP35" i="10"/>
  <c r="AH15" i="23" s="1"/>
  <c r="AP39" i="10"/>
  <c r="AH59" i="23" s="1"/>
  <c r="AP100" i="10"/>
  <c r="AH32" i="23" s="1"/>
  <c r="AP96" i="10"/>
  <c r="AH4" i="23" s="1"/>
  <c r="AP92" i="10"/>
  <c r="AH37" i="23" s="1"/>
  <c r="AP88" i="10"/>
  <c r="AH53" i="23" s="1"/>
  <c r="AP84" i="10"/>
  <c r="AH54" i="23" s="1"/>
  <c r="AP80" i="10"/>
  <c r="AP76" i="10"/>
  <c r="AH14" i="23" s="1"/>
  <c r="AP72" i="10"/>
  <c r="AH40" i="23" s="1"/>
  <c r="AP68" i="10"/>
  <c r="AP64" i="10"/>
  <c r="AH27" i="23" s="1"/>
  <c r="AP60" i="10"/>
  <c r="AP56" i="10"/>
  <c r="AP52" i="10"/>
  <c r="AH12" i="23" s="1"/>
  <c r="AP48" i="10"/>
  <c r="AP44" i="10"/>
  <c r="AP40" i="10"/>
  <c r="AH30" i="23" s="1"/>
  <c r="AP2" i="10"/>
  <c r="AP99" i="10"/>
  <c r="AP95" i="10"/>
  <c r="AH38" i="23" s="1"/>
  <c r="AP91" i="10"/>
  <c r="AP87" i="10"/>
  <c r="AP83" i="10"/>
  <c r="AH44" i="23" s="1"/>
  <c r="AP79" i="10"/>
  <c r="AH56" i="23" s="1"/>
  <c r="AP75" i="10"/>
  <c r="AP71" i="10"/>
  <c r="AH24" i="23" s="1"/>
  <c r="AP67" i="10"/>
  <c r="AH16" i="23" s="1"/>
  <c r="AP63" i="10"/>
  <c r="AH9" i="23" s="1"/>
  <c r="AP59" i="10"/>
  <c r="AP55" i="10"/>
  <c r="AP51" i="10"/>
  <c r="AH22" i="23" s="1"/>
  <c r="AP47" i="10"/>
  <c r="AP43" i="10"/>
  <c r="AH41" i="23" s="1"/>
  <c r="AP36" i="10"/>
  <c r="AH13" i="23" s="1"/>
  <c r="AP102" i="10"/>
  <c r="AH11" i="23" s="1"/>
  <c r="AP98" i="10"/>
  <c r="AH49" i="23" s="1"/>
  <c r="AP94" i="10"/>
  <c r="AH43" i="23" s="1"/>
  <c r="AP90" i="10"/>
  <c r="AH36" i="23" s="1"/>
  <c r="AP86" i="10"/>
  <c r="AH18" i="23" s="1"/>
  <c r="AP82" i="10"/>
  <c r="AP78" i="10"/>
  <c r="AP74" i="10"/>
  <c r="AH55" i="23" s="1"/>
  <c r="AP70" i="10"/>
  <c r="AP66" i="10"/>
  <c r="AP62" i="10"/>
  <c r="AP58" i="10"/>
  <c r="AH25" i="23" s="1"/>
  <c r="AP54" i="10"/>
  <c r="AP50" i="10"/>
  <c r="AH3" i="23" s="1"/>
  <c r="AP46" i="10"/>
  <c r="AH35" i="23" s="1"/>
  <c r="AP42" i="10"/>
  <c r="AH52" i="23" s="1"/>
  <c r="AP32" i="10"/>
  <c r="AH33" i="23" s="1"/>
  <c r="AP101" i="10"/>
  <c r="AH57" i="23" s="1"/>
  <c r="AP97" i="10"/>
  <c r="AH23" i="23" s="1"/>
  <c r="AP93" i="10"/>
  <c r="AP89" i="10"/>
  <c r="AP85" i="10"/>
  <c r="AH8" i="23" s="1"/>
  <c r="AP81" i="10"/>
  <c r="AH10" i="23" s="1"/>
  <c r="AP77" i="10"/>
  <c r="AH17" i="23" s="1"/>
  <c r="AP73" i="10"/>
  <c r="AP69" i="10"/>
  <c r="AP65" i="10"/>
  <c r="AP61" i="10"/>
  <c r="AP57" i="10"/>
  <c r="AH21" i="23" s="1"/>
  <c r="AP53" i="10"/>
  <c r="AP49" i="10"/>
  <c r="AH31" i="23" s="1"/>
  <c r="AP45" i="10"/>
  <c r="AP41" i="10"/>
  <c r="AH29" i="23" s="1"/>
  <c r="AP28" i="10"/>
  <c r="AH26" i="23" s="1"/>
  <c r="AD2" i="21"/>
  <c r="O4" i="21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2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2" i="9"/>
  <c r="O3" i="9"/>
  <c r="O4" i="9"/>
  <c r="O5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2" i="9"/>
  <c r="N3" i="9"/>
  <c r="N4" i="9"/>
  <c r="N5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2" i="9"/>
  <c r="AC2" i="23" l="1"/>
  <c r="AA2" i="23"/>
  <c r="X3" i="9"/>
  <c r="AJ2" i="21" s="1"/>
  <c r="V57" i="9"/>
  <c r="AH39" i="21" s="1"/>
  <c r="Y2" i="9"/>
  <c r="AK25" i="21" s="1"/>
  <c r="V77" i="9"/>
  <c r="AH3" i="21" s="1"/>
  <c r="V13" i="9"/>
  <c r="AH28" i="21" s="1"/>
  <c r="X50" i="9"/>
  <c r="AJ32" i="21" s="1"/>
  <c r="V73" i="9"/>
  <c r="AH11" i="21" s="1"/>
  <c r="V41" i="9"/>
  <c r="V9" i="9"/>
  <c r="AH67" i="21" s="1"/>
  <c r="W21" i="9"/>
  <c r="AI15" i="21" s="1"/>
  <c r="X34" i="9"/>
  <c r="AJ17" i="21" s="1"/>
  <c r="V25" i="9"/>
  <c r="AH37" i="21" s="1"/>
  <c r="X66" i="9"/>
  <c r="AJ62" i="21" s="1"/>
  <c r="V45" i="9"/>
  <c r="AH18" i="21" s="1"/>
  <c r="W37" i="9"/>
  <c r="AI69" i="21" s="1"/>
  <c r="V61" i="9"/>
  <c r="AH51" i="21" s="1"/>
  <c r="V29" i="9"/>
  <c r="AH26" i="21" s="1"/>
  <c r="W69" i="9"/>
  <c r="AI33" i="21" s="1"/>
  <c r="W5" i="9"/>
  <c r="AI66" i="21" s="1"/>
  <c r="X18" i="9"/>
  <c r="AJ68" i="21" s="1"/>
  <c r="W53" i="9"/>
  <c r="Y74" i="9"/>
  <c r="AK55" i="21" s="1"/>
  <c r="Y70" i="9"/>
  <c r="AK47" i="21" s="1"/>
  <c r="Y66" i="9"/>
  <c r="AK62" i="21" s="1"/>
  <c r="Y62" i="9"/>
  <c r="AK52" i="21" s="1"/>
  <c r="Y58" i="9"/>
  <c r="AK6" i="21" s="1"/>
  <c r="Y54" i="9"/>
  <c r="AK5" i="21" s="1"/>
  <c r="Y50" i="9"/>
  <c r="AK32" i="21" s="1"/>
  <c r="Y46" i="9"/>
  <c r="AK19" i="21" s="1"/>
  <c r="Y42" i="9"/>
  <c r="AK4" i="21" s="1"/>
  <c r="Y38" i="9"/>
  <c r="AK8" i="21" s="1"/>
  <c r="Y34" i="9"/>
  <c r="AK17" i="21" s="1"/>
  <c r="Y30" i="9"/>
  <c r="AK54" i="21" s="1"/>
  <c r="Y26" i="9"/>
  <c r="AK44" i="21" s="1"/>
  <c r="Y22" i="9"/>
  <c r="AK40" i="21" s="1"/>
  <c r="Y18" i="9"/>
  <c r="AK68" i="21" s="1"/>
  <c r="Y14" i="9"/>
  <c r="AK49" i="21" s="1"/>
  <c r="Y10" i="9"/>
  <c r="AK56" i="21" s="1"/>
  <c r="Y6" i="9"/>
  <c r="V69" i="9"/>
  <c r="AH33" i="21" s="1"/>
  <c r="V53" i="9"/>
  <c r="V37" i="9"/>
  <c r="AH69" i="21" s="1"/>
  <c r="V21" i="9"/>
  <c r="AH15" i="21" s="1"/>
  <c r="V5" i="9"/>
  <c r="AH66" i="21" s="1"/>
  <c r="W65" i="9"/>
  <c r="W49" i="9"/>
  <c r="AI13" i="21" s="1"/>
  <c r="W33" i="9"/>
  <c r="AI58" i="21" s="1"/>
  <c r="W17" i="9"/>
  <c r="AI50" i="21" s="1"/>
  <c r="X2" i="9"/>
  <c r="AJ25" i="21" s="1"/>
  <c r="X62" i="9"/>
  <c r="AJ52" i="21" s="1"/>
  <c r="X46" i="9"/>
  <c r="AJ19" i="21" s="1"/>
  <c r="X30" i="9"/>
  <c r="AJ54" i="21" s="1"/>
  <c r="X14" i="9"/>
  <c r="AJ49" i="21" s="1"/>
  <c r="Y77" i="9"/>
  <c r="AK3" i="21" s="1"/>
  <c r="Y73" i="9"/>
  <c r="AK11" i="21" s="1"/>
  <c r="Y69" i="9"/>
  <c r="AK33" i="21" s="1"/>
  <c r="Y65" i="9"/>
  <c r="Y61" i="9"/>
  <c r="AK51" i="21" s="1"/>
  <c r="Y57" i="9"/>
  <c r="AK39" i="21" s="1"/>
  <c r="Y53" i="9"/>
  <c r="Y49" i="9"/>
  <c r="AK13" i="21" s="1"/>
  <c r="Y45" i="9"/>
  <c r="AK18" i="21" s="1"/>
  <c r="Y41" i="9"/>
  <c r="Y37" i="9"/>
  <c r="AK69" i="21" s="1"/>
  <c r="Y33" i="9"/>
  <c r="AK58" i="21" s="1"/>
  <c r="Y29" i="9"/>
  <c r="AK26" i="21" s="1"/>
  <c r="Y25" i="9"/>
  <c r="AK37" i="21" s="1"/>
  <c r="Y21" i="9"/>
  <c r="AK15" i="21" s="1"/>
  <c r="Y17" i="9"/>
  <c r="AK50" i="21" s="1"/>
  <c r="Y13" i="9"/>
  <c r="AK28" i="21" s="1"/>
  <c r="Y9" i="9"/>
  <c r="AK67" i="21" s="1"/>
  <c r="Y5" i="9"/>
  <c r="AK66" i="21" s="1"/>
  <c r="V65" i="9"/>
  <c r="V49" i="9"/>
  <c r="AH13" i="21" s="1"/>
  <c r="V33" i="9"/>
  <c r="AH58" i="21" s="1"/>
  <c r="V17" i="9"/>
  <c r="AH50" i="21" s="1"/>
  <c r="W77" i="9"/>
  <c r="AI3" i="21" s="1"/>
  <c r="W61" i="9"/>
  <c r="AI51" i="21" s="1"/>
  <c r="W45" i="9"/>
  <c r="AI18" i="21" s="1"/>
  <c r="W29" i="9"/>
  <c r="AI26" i="21" s="1"/>
  <c r="W13" i="9"/>
  <c r="AI28" i="21" s="1"/>
  <c r="X74" i="9"/>
  <c r="AJ55" i="21" s="1"/>
  <c r="X58" i="9"/>
  <c r="AJ6" i="21" s="1"/>
  <c r="X42" i="9"/>
  <c r="AJ4" i="21" s="1"/>
  <c r="X26" i="9"/>
  <c r="AJ44" i="21" s="1"/>
  <c r="X10" i="9"/>
  <c r="AJ56" i="21" s="1"/>
  <c r="Y76" i="9"/>
  <c r="AK35" i="21" s="1"/>
  <c r="Y72" i="9"/>
  <c r="AK48" i="21" s="1"/>
  <c r="Y68" i="9"/>
  <c r="AK53" i="21" s="1"/>
  <c r="Y64" i="9"/>
  <c r="AK10" i="21" s="1"/>
  <c r="Y60" i="9"/>
  <c r="AK38" i="21" s="1"/>
  <c r="Y56" i="9"/>
  <c r="AK34" i="21" s="1"/>
  <c r="Y52" i="9"/>
  <c r="AK20" i="21" s="1"/>
  <c r="Y48" i="9"/>
  <c r="AK22" i="21" s="1"/>
  <c r="Y44" i="9"/>
  <c r="AK24" i="21" s="1"/>
  <c r="Y40" i="9"/>
  <c r="AK12" i="21" s="1"/>
  <c r="Y36" i="9"/>
  <c r="AK61" i="21" s="1"/>
  <c r="Y32" i="9"/>
  <c r="AK21" i="21" s="1"/>
  <c r="Y28" i="9"/>
  <c r="AK63" i="21" s="1"/>
  <c r="Y24" i="9"/>
  <c r="AK16" i="21" s="1"/>
  <c r="Y20" i="9"/>
  <c r="AK7" i="21" s="1"/>
  <c r="Y16" i="9"/>
  <c r="AK30" i="21" s="1"/>
  <c r="Y12" i="9"/>
  <c r="AK46" i="21" s="1"/>
  <c r="Y8" i="9"/>
  <c r="AK14" i="21" s="1"/>
  <c r="Y4" i="9"/>
  <c r="AK70" i="21" s="1"/>
  <c r="W73" i="9"/>
  <c r="AI11" i="21" s="1"/>
  <c r="W57" i="9"/>
  <c r="AI39" i="21" s="1"/>
  <c r="W41" i="9"/>
  <c r="W25" i="9"/>
  <c r="AI37" i="21" s="1"/>
  <c r="W9" i="9"/>
  <c r="AI67" i="21" s="1"/>
  <c r="X70" i="9"/>
  <c r="AJ47" i="21" s="1"/>
  <c r="X54" i="9"/>
  <c r="AJ5" i="21" s="1"/>
  <c r="X38" i="9"/>
  <c r="AJ8" i="21" s="1"/>
  <c r="X22" i="9"/>
  <c r="AJ40" i="21" s="1"/>
  <c r="X6" i="9"/>
  <c r="Y75" i="9"/>
  <c r="AK45" i="21" s="1"/>
  <c r="Y71" i="9"/>
  <c r="AK42" i="21" s="1"/>
  <c r="Y67" i="9"/>
  <c r="Y63" i="9"/>
  <c r="AK9" i="21" s="1"/>
  <c r="Y59" i="9"/>
  <c r="AK23" i="21" s="1"/>
  <c r="Y55" i="9"/>
  <c r="AK29" i="21" s="1"/>
  <c r="Y51" i="9"/>
  <c r="Y47" i="9"/>
  <c r="AK27" i="21" s="1"/>
  <c r="Y43" i="9"/>
  <c r="AK59" i="21" s="1"/>
  <c r="Y39" i="9"/>
  <c r="AK31" i="21" s="1"/>
  <c r="Y35" i="9"/>
  <c r="AK65" i="21" s="1"/>
  <c r="Y31" i="9"/>
  <c r="AK60" i="21" s="1"/>
  <c r="Y27" i="9"/>
  <c r="AK57" i="21" s="1"/>
  <c r="Y23" i="9"/>
  <c r="AK43" i="21" s="1"/>
  <c r="Y19" i="9"/>
  <c r="Y15" i="9"/>
  <c r="AK64" i="21" s="1"/>
  <c r="Y11" i="9"/>
  <c r="AK36" i="21" s="1"/>
  <c r="Y7" i="9"/>
  <c r="AK41" i="21" s="1"/>
  <c r="Y3" i="9"/>
  <c r="AK2" i="21" s="1"/>
  <c r="V76" i="9"/>
  <c r="AH35" i="21" s="1"/>
  <c r="V72" i="9"/>
  <c r="AH48" i="21" s="1"/>
  <c r="V68" i="9"/>
  <c r="AH53" i="21" s="1"/>
  <c r="V64" i="9"/>
  <c r="AH10" i="21" s="1"/>
  <c r="V60" i="9"/>
  <c r="AH38" i="21" s="1"/>
  <c r="V56" i="9"/>
  <c r="AH34" i="21" s="1"/>
  <c r="V52" i="9"/>
  <c r="AH20" i="21" s="1"/>
  <c r="V48" i="9"/>
  <c r="AH22" i="21" s="1"/>
  <c r="V44" i="9"/>
  <c r="AH24" i="21" s="1"/>
  <c r="V40" i="9"/>
  <c r="AH12" i="21" s="1"/>
  <c r="V36" i="9"/>
  <c r="AH61" i="21" s="1"/>
  <c r="V32" i="9"/>
  <c r="AH21" i="21" s="1"/>
  <c r="V28" i="9"/>
  <c r="AH63" i="21" s="1"/>
  <c r="V24" i="9"/>
  <c r="AH16" i="21" s="1"/>
  <c r="V20" i="9"/>
  <c r="AH7" i="21" s="1"/>
  <c r="V16" i="9"/>
  <c r="AH30" i="21" s="1"/>
  <c r="V12" i="9"/>
  <c r="AH46" i="21" s="1"/>
  <c r="V8" i="9"/>
  <c r="AH14" i="21" s="1"/>
  <c r="V4" i="9"/>
  <c r="AH70" i="21" s="1"/>
  <c r="W76" i="9"/>
  <c r="AI35" i="21" s="1"/>
  <c r="W72" i="9"/>
  <c r="AI48" i="21" s="1"/>
  <c r="W68" i="9"/>
  <c r="AI53" i="21" s="1"/>
  <c r="W64" i="9"/>
  <c r="AI10" i="21" s="1"/>
  <c r="W60" i="9"/>
  <c r="AI38" i="21" s="1"/>
  <c r="W56" i="9"/>
  <c r="AI34" i="21" s="1"/>
  <c r="W52" i="9"/>
  <c r="AI20" i="21" s="1"/>
  <c r="W48" i="9"/>
  <c r="AI22" i="21" s="1"/>
  <c r="W44" i="9"/>
  <c r="AI24" i="21" s="1"/>
  <c r="W40" i="9"/>
  <c r="AI12" i="21" s="1"/>
  <c r="W36" i="9"/>
  <c r="AI61" i="21" s="1"/>
  <c r="W32" i="9"/>
  <c r="AI21" i="21" s="1"/>
  <c r="W28" i="9"/>
  <c r="AI63" i="21" s="1"/>
  <c r="W24" i="9"/>
  <c r="AI16" i="21" s="1"/>
  <c r="W20" i="9"/>
  <c r="AI7" i="21" s="1"/>
  <c r="W16" i="9"/>
  <c r="AI30" i="21" s="1"/>
  <c r="W12" i="9"/>
  <c r="AI46" i="21" s="1"/>
  <c r="W8" i="9"/>
  <c r="AI14" i="21" s="1"/>
  <c r="W4" i="9"/>
  <c r="AI70" i="21" s="1"/>
  <c r="X77" i="9"/>
  <c r="AJ3" i="21" s="1"/>
  <c r="X73" i="9"/>
  <c r="AJ11" i="21" s="1"/>
  <c r="X69" i="9"/>
  <c r="AJ33" i="21" s="1"/>
  <c r="X65" i="9"/>
  <c r="X61" i="9"/>
  <c r="AJ51" i="21" s="1"/>
  <c r="X57" i="9"/>
  <c r="AJ39" i="21" s="1"/>
  <c r="X53" i="9"/>
  <c r="X49" i="9"/>
  <c r="AJ13" i="21" s="1"/>
  <c r="X45" i="9"/>
  <c r="AJ18" i="21" s="1"/>
  <c r="X41" i="9"/>
  <c r="X37" i="9"/>
  <c r="AJ69" i="21" s="1"/>
  <c r="X33" i="9"/>
  <c r="AJ58" i="21" s="1"/>
  <c r="X29" i="9"/>
  <c r="AJ26" i="21" s="1"/>
  <c r="X25" i="9"/>
  <c r="AJ37" i="21" s="1"/>
  <c r="X21" i="9"/>
  <c r="AJ15" i="21" s="1"/>
  <c r="X17" i="9"/>
  <c r="AJ50" i="21" s="1"/>
  <c r="X13" i="9"/>
  <c r="AJ28" i="21" s="1"/>
  <c r="X9" i="9"/>
  <c r="AJ67" i="21" s="1"/>
  <c r="X5" i="9"/>
  <c r="AJ66" i="21" s="1"/>
  <c r="V75" i="9"/>
  <c r="AH45" i="21" s="1"/>
  <c r="V71" i="9"/>
  <c r="AH42" i="21" s="1"/>
  <c r="V67" i="9"/>
  <c r="V63" i="9"/>
  <c r="AH9" i="21" s="1"/>
  <c r="V59" i="9"/>
  <c r="AH23" i="21" s="1"/>
  <c r="V55" i="9"/>
  <c r="AH29" i="21" s="1"/>
  <c r="V51" i="9"/>
  <c r="V47" i="9"/>
  <c r="AH27" i="21" s="1"/>
  <c r="V43" i="9"/>
  <c r="AH59" i="21" s="1"/>
  <c r="V39" i="9"/>
  <c r="AH31" i="21" s="1"/>
  <c r="V35" i="9"/>
  <c r="AH65" i="21" s="1"/>
  <c r="V31" i="9"/>
  <c r="AH60" i="21" s="1"/>
  <c r="V27" i="9"/>
  <c r="AH57" i="21" s="1"/>
  <c r="V23" i="9"/>
  <c r="AH43" i="21" s="1"/>
  <c r="V19" i="9"/>
  <c r="V15" i="9"/>
  <c r="AH64" i="21" s="1"/>
  <c r="V11" i="9"/>
  <c r="AH36" i="21" s="1"/>
  <c r="V7" i="9"/>
  <c r="AH41" i="21" s="1"/>
  <c r="V3" i="9"/>
  <c r="AH2" i="21" s="1"/>
  <c r="W75" i="9"/>
  <c r="AI45" i="21" s="1"/>
  <c r="W71" i="9"/>
  <c r="AI42" i="21" s="1"/>
  <c r="W67" i="9"/>
  <c r="W63" i="9"/>
  <c r="AI9" i="21" s="1"/>
  <c r="W59" i="9"/>
  <c r="AI23" i="21" s="1"/>
  <c r="W55" i="9"/>
  <c r="AI29" i="21" s="1"/>
  <c r="W51" i="9"/>
  <c r="W47" i="9"/>
  <c r="AI27" i="21" s="1"/>
  <c r="W43" i="9"/>
  <c r="AI59" i="21" s="1"/>
  <c r="W39" i="9"/>
  <c r="AI31" i="21" s="1"/>
  <c r="W35" i="9"/>
  <c r="AI65" i="21" s="1"/>
  <c r="W31" i="9"/>
  <c r="AI60" i="21" s="1"/>
  <c r="W27" i="9"/>
  <c r="AI57" i="21" s="1"/>
  <c r="W23" i="9"/>
  <c r="AI43" i="21" s="1"/>
  <c r="W19" i="9"/>
  <c r="W15" i="9"/>
  <c r="AI64" i="21" s="1"/>
  <c r="W11" i="9"/>
  <c r="AI36" i="21" s="1"/>
  <c r="W7" i="9"/>
  <c r="AI41" i="21" s="1"/>
  <c r="W3" i="9"/>
  <c r="AI2" i="21" s="1"/>
  <c r="X76" i="9"/>
  <c r="AJ35" i="21" s="1"/>
  <c r="X72" i="9"/>
  <c r="AJ48" i="21" s="1"/>
  <c r="X68" i="9"/>
  <c r="AJ53" i="21" s="1"/>
  <c r="X64" i="9"/>
  <c r="AJ10" i="21" s="1"/>
  <c r="X60" i="9"/>
  <c r="AJ38" i="21" s="1"/>
  <c r="X56" i="9"/>
  <c r="AJ34" i="21" s="1"/>
  <c r="X52" i="9"/>
  <c r="AJ20" i="21" s="1"/>
  <c r="X48" i="9"/>
  <c r="AJ22" i="21" s="1"/>
  <c r="X44" i="9"/>
  <c r="AJ24" i="21" s="1"/>
  <c r="X40" i="9"/>
  <c r="AJ12" i="21" s="1"/>
  <c r="X36" i="9"/>
  <c r="AJ61" i="21" s="1"/>
  <c r="X32" i="9"/>
  <c r="AJ21" i="21" s="1"/>
  <c r="X28" i="9"/>
  <c r="AJ63" i="21" s="1"/>
  <c r="X24" i="9"/>
  <c r="AJ16" i="21" s="1"/>
  <c r="X20" i="9"/>
  <c r="AJ7" i="21" s="1"/>
  <c r="X16" i="9"/>
  <c r="AJ30" i="21" s="1"/>
  <c r="X12" i="9"/>
  <c r="AJ46" i="21" s="1"/>
  <c r="X8" i="9"/>
  <c r="AJ14" i="21" s="1"/>
  <c r="X4" i="9"/>
  <c r="AJ70" i="21" s="1"/>
  <c r="V2" i="9"/>
  <c r="AH25" i="21" s="1"/>
  <c r="V74" i="9"/>
  <c r="AH55" i="21" s="1"/>
  <c r="V70" i="9"/>
  <c r="AH47" i="21" s="1"/>
  <c r="V66" i="9"/>
  <c r="AH62" i="21" s="1"/>
  <c r="V62" i="9"/>
  <c r="AH52" i="21" s="1"/>
  <c r="V58" i="9"/>
  <c r="AH6" i="21" s="1"/>
  <c r="V54" i="9"/>
  <c r="AH5" i="21" s="1"/>
  <c r="V50" i="9"/>
  <c r="AH32" i="21" s="1"/>
  <c r="V46" i="9"/>
  <c r="AH19" i="21" s="1"/>
  <c r="V42" i="9"/>
  <c r="AH4" i="21" s="1"/>
  <c r="V38" i="9"/>
  <c r="AH8" i="21" s="1"/>
  <c r="V34" i="9"/>
  <c r="AH17" i="21" s="1"/>
  <c r="V30" i="9"/>
  <c r="AH54" i="21" s="1"/>
  <c r="V26" i="9"/>
  <c r="AH44" i="21" s="1"/>
  <c r="V22" i="9"/>
  <c r="AH40" i="21" s="1"/>
  <c r="V18" i="9"/>
  <c r="AH68" i="21" s="1"/>
  <c r="V14" i="9"/>
  <c r="AH49" i="21" s="1"/>
  <c r="V10" i="9"/>
  <c r="AH56" i="21" s="1"/>
  <c r="V6" i="9"/>
  <c r="W2" i="9"/>
  <c r="AI25" i="21" s="1"/>
  <c r="W74" i="9"/>
  <c r="AI55" i="21" s="1"/>
  <c r="W70" i="9"/>
  <c r="AI47" i="21" s="1"/>
  <c r="W66" i="9"/>
  <c r="AI62" i="21" s="1"/>
  <c r="W62" i="9"/>
  <c r="AI52" i="21" s="1"/>
  <c r="W58" i="9"/>
  <c r="AI6" i="21" s="1"/>
  <c r="W54" i="9"/>
  <c r="AI5" i="21" s="1"/>
  <c r="W50" i="9"/>
  <c r="AI32" i="21" s="1"/>
  <c r="W46" i="9"/>
  <c r="AI19" i="21" s="1"/>
  <c r="W42" i="9"/>
  <c r="AI4" i="21" s="1"/>
  <c r="W38" i="9"/>
  <c r="AI8" i="21" s="1"/>
  <c r="W34" i="9"/>
  <c r="AI17" i="21" s="1"/>
  <c r="W30" i="9"/>
  <c r="AI54" i="21" s="1"/>
  <c r="W26" i="9"/>
  <c r="AI44" i="21" s="1"/>
  <c r="W22" i="9"/>
  <c r="AI40" i="21" s="1"/>
  <c r="W18" i="9"/>
  <c r="AI68" i="21" s="1"/>
  <c r="W14" i="9"/>
  <c r="AI49" i="21" s="1"/>
  <c r="W10" i="9"/>
  <c r="AI56" i="21" s="1"/>
  <c r="W6" i="9"/>
  <c r="X75" i="9"/>
  <c r="AJ45" i="21" s="1"/>
  <c r="X71" i="9"/>
  <c r="AJ42" i="21" s="1"/>
  <c r="X67" i="9"/>
  <c r="X63" i="9"/>
  <c r="AJ9" i="21" s="1"/>
  <c r="X59" i="9"/>
  <c r="AJ23" i="21" s="1"/>
  <c r="X55" i="9"/>
  <c r="AJ29" i="21" s="1"/>
  <c r="X51" i="9"/>
  <c r="X47" i="9"/>
  <c r="AJ27" i="21" s="1"/>
  <c r="X43" i="9"/>
  <c r="AJ59" i="21" s="1"/>
  <c r="X39" i="9"/>
  <c r="AJ31" i="21" s="1"/>
  <c r="X35" i="9"/>
  <c r="AJ65" i="21" s="1"/>
  <c r="X31" i="9"/>
  <c r="AJ60" i="21" s="1"/>
  <c r="X27" i="9"/>
  <c r="AJ57" i="21" s="1"/>
  <c r="X23" i="9"/>
  <c r="AJ43" i="21" s="1"/>
  <c r="X19" i="9"/>
  <c r="X15" i="9"/>
  <c r="AJ64" i="21" s="1"/>
  <c r="X11" i="9"/>
  <c r="AJ36" i="21" s="1"/>
  <c r="X7" i="9"/>
  <c r="AJ41" i="21" s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2" i="2"/>
  <c r="AD2" i="12"/>
  <c r="O4" i="12"/>
  <c r="AA16" i="2" s="1"/>
  <c r="AK64" i="12" s="1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2" i="2"/>
  <c r="AC2" i="21" l="1"/>
  <c r="AB2" i="21"/>
  <c r="AA2" i="21"/>
  <c r="X73" i="2"/>
  <c r="AH63" i="12" s="1"/>
  <c r="X40" i="2"/>
  <c r="AH73" i="12" s="1"/>
  <c r="Y73" i="2"/>
  <c r="AI63" i="12" s="1"/>
  <c r="Y30" i="2"/>
  <c r="AI17" i="12" s="1"/>
  <c r="Z62" i="2"/>
  <c r="AJ47" i="12" s="1"/>
  <c r="Z20" i="2"/>
  <c r="AJ32" i="12" s="1"/>
  <c r="AA52" i="2"/>
  <c r="X65" i="2"/>
  <c r="AH36" i="12" s="1"/>
  <c r="X30" i="2"/>
  <c r="AH17" i="12" s="1"/>
  <c r="Y62" i="2"/>
  <c r="AI47" i="12" s="1"/>
  <c r="Y19" i="2"/>
  <c r="AI4" i="12" s="1"/>
  <c r="Z52" i="2"/>
  <c r="Z9" i="2"/>
  <c r="AJ56" i="12" s="1"/>
  <c r="AA41" i="2"/>
  <c r="AK45" i="12" s="1"/>
  <c r="X57" i="2"/>
  <c r="AH49" i="12" s="1"/>
  <c r="X19" i="2"/>
  <c r="AH4" i="12" s="1"/>
  <c r="Y51" i="2"/>
  <c r="AI7" i="12" s="1"/>
  <c r="Y9" i="2"/>
  <c r="AI56" i="12" s="1"/>
  <c r="Z41" i="2"/>
  <c r="AJ45" i="12" s="1"/>
  <c r="AA73" i="2"/>
  <c r="AK63" i="12" s="1"/>
  <c r="AA31" i="2"/>
  <c r="AK68" i="12" s="1"/>
  <c r="X49" i="2"/>
  <c r="AH28" i="12" s="1"/>
  <c r="X8" i="2"/>
  <c r="AH60" i="12" s="1"/>
  <c r="Y41" i="2"/>
  <c r="AI45" i="12" s="1"/>
  <c r="Z73" i="2"/>
  <c r="AJ63" i="12" s="1"/>
  <c r="Z30" i="2"/>
  <c r="AJ17" i="12" s="1"/>
  <c r="AA63" i="2"/>
  <c r="AK21" i="12" s="1"/>
  <c r="AA6" i="2"/>
  <c r="AK27" i="12" s="1"/>
  <c r="AA10" i="2"/>
  <c r="AK52" i="12" s="1"/>
  <c r="AA14" i="2"/>
  <c r="AA18" i="2"/>
  <c r="AK44" i="12" s="1"/>
  <c r="AA22" i="2"/>
  <c r="AK67" i="12" s="1"/>
  <c r="AA26" i="2"/>
  <c r="AK70" i="12" s="1"/>
  <c r="AA30" i="2"/>
  <c r="AK17" i="12" s="1"/>
  <c r="AA34" i="2"/>
  <c r="AK71" i="12" s="1"/>
  <c r="AA38" i="2"/>
  <c r="AK11" i="12" s="1"/>
  <c r="AA42" i="2"/>
  <c r="AK35" i="12" s="1"/>
  <c r="AA46" i="2"/>
  <c r="AK25" i="12" s="1"/>
  <c r="AA50" i="2"/>
  <c r="AK18" i="12" s="1"/>
  <c r="AA54" i="2"/>
  <c r="AK26" i="12" s="1"/>
  <c r="AA58" i="2"/>
  <c r="AK58" i="12" s="1"/>
  <c r="AA62" i="2"/>
  <c r="AK47" i="12" s="1"/>
  <c r="AA66" i="2"/>
  <c r="AK38" i="12" s="1"/>
  <c r="AA70" i="2"/>
  <c r="AK57" i="12" s="1"/>
  <c r="AA74" i="2"/>
  <c r="AK29" i="12" s="1"/>
  <c r="Z3" i="2"/>
  <c r="AJ31" i="12" s="1"/>
  <c r="Z7" i="2"/>
  <c r="AJ50" i="12" s="1"/>
  <c r="Z11" i="2"/>
  <c r="AJ15" i="12" s="1"/>
  <c r="Z15" i="2"/>
  <c r="AJ48" i="12" s="1"/>
  <c r="Z19" i="2"/>
  <c r="AJ4" i="12" s="1"/>
  <c r="Z23" i="2"/>
  <c r="AJ8" i="12" s="1"/>
  <c r="Z27" i="2"/>
  <c r="AJ59" i="12" s="1"/>
  <c r="Z31" i="2"/>
  <c r="AJ68" i="12" s="1"/>
  <c r="Z35" i="2"/>
  <c r="AJ66" i="12" s="1"/>
  <c r="Z39" i="2"/>
  <c r="AJ33" i="12" s="1"/>
  <c r="Z43" i="2"/>
  <c r="AJ65" i="12" s="1"/>
  <c r="Z47" i="2"/>
  <c r="AJ34" i="12" s="1"/>
  <c r="Z51" i="2"/>
  <c r="AJ7" i="12" s="1"/>
  <c r="Z55" i="2"/>
  <c r="AJ53" i="12" s="1"/>
  <c r="Z59" i="2"/>
  <c r="AJ13" i="12" s="1"/>
  <c r="Z63" i="2"/>
  <c r="AJ21" i="12" s="1"/>
  <c r="Z67" i="2"/>
  <c r="AJ37" i="12" s="1"/>
  <c r="Z71" i="2"/>
  <c r="AJ6" i="12" s="1"/>
  <c r="Z75" i="2"/>
  <c r="AJ24" i="12" s="1"/>
  <c r="Y4" i="2"/>
  <c r="AI69" i="12" s="1"/>
  <c r="Y8" i="2"/>
  <c r="AI60" i="12" s="1"/>
  <c r="Y12" i="2"/>
  <c r="AI40" i="12" s="1"/>
  <c r="Y16" i="2"/>
  <c r="AI64" i="12" s="1"/>
  <c r="Y20" i="2"/>
  <c r="AI32" i="12" s="1"/>
  <c r="Y24" i="2"/>
  <c r="AI43" i="12" s="1"/>
  <c r="Y28" i="2"/>
  <c r="AI41" i="12" s="1"/>
  <c r="Y32" i="2"/>
  <c r="AI3" i="12" s="1"/>
  <c r="Y36" i="2"/>
  <c r="AI62" i="12" s="1"/>
  <c r="Y40" i="2"/>
  <c r="AI73" i="12" s="1"/>
  <c r="Y44" i="2"/>
  <c r="AI12" i="12" s="1"/>
  <c r="Y48" i="2"/>
  <c r="AI9" i="12" s="1"/>
  <c r="Y52" i="2"/>
  <c r="Y56" i="2"/>
  <c r="AI74" i="12" s="1"/>
  <c r="Y60" i="2"/>
  <c r="AI14" i="12" s="1"/>
  <c r="Y64" i="2"/>
  <c r="AI54" i="12" s="1"/>
  <c r="Y68" i="2"/>
  <c r="AI46" i="12" s="1"/>
  <c r="Y72" i="2"/>
  <c r="AI5" i="12" s="1"/>
  <c r="Y76" i="2"/>
  <c r="AI2" i="12" s="1"/>
  <c r="X5" i="2"/>
  <c r="AH23" i="12" s="1"/>
  <c r="X9" i="2"/>
  <c r="AH56" i="12" s="1"/>
  <c r="X13" i="2"/>
  <c r="AH55" i="12" s="1"/>
  <c r="X17" i="2"/>
  <c r="AH10" i="12" s="1"/>
  <c r="X21" i="2"/>
  <c r="AH42" i="12" s="1"/>
  <c r="X25" i="2"/>
  <c r="AH20" i="12" s="1"/>
  <c r="X29" i="2"/>
  <c r="AH72" i="12" s="1"/>
  <c r="X33" i="2"/>
  <c r="AH22" i="12" s="1"/>
  <c r="X37" i="2"/>
  <c r="AH30" i="12" s="1"/>
  <c r="X41" i="2"/>
  <c r="AH45" i="12" s="1"/>
  <c r="AA7" i="2"/>
  <c r="AK50" i="12" s="1"/>
  <c r="AA12" i="2"/>
  <c r="AK40" i="12" s="1"/>
  <c r="AA17" i="2"/>
  <c r="AK10" i="12" s="1"/>
  <c r="AA23" i="2"/>
  <c r="AK8" i="12" s="1"/>
  <c r="AA28" i="2"/>
  <c r="AK41" i="12" s="1"/>
  <c r="AA33" i="2"/>
  <c r="AK22" i="12" s="1"/>
  <c r="AA39" i="2"/>
  <c r="AK33" i="12" s="1"/>
  <c r="AA44" i="2"/>
  <c r="AK12" i="12" s="1"/>
  <c r="AA49" i="2"/>
  <c r="AK28" i="12" s="1"/>
  <c r="AA55" i="2"/>
  <c r="AK53" i="12" s="1"/>
  <c r="AA60" i="2"/>
  <c r="AK14" i="12" s="1"/>
  <c r="AA65" i="2"/>
  <c r="AK36" i="12" s="1"/>
  <c r="AA71" i="2"/>
  <c r="AK6" i="12" s="1"/>
  <c r="AA76" i="2"/>
  <c r="AK2" i="12" s="1"/>
  <c r="Z6" i="2"/>
  <c r="AJ27" i="12" s="1"/>
  <c r="Z12" i="2"/>
  <c r="AJ40" i="12" s="1"/>
  <c r="Z17" i="2"/>
  <c r="AJ10" i="12" s="1"/>
  <c r="Z22" i="2"/>
  <c r="AJ67" i="12" s="1"/>
  <c r="Z28" i="2"/>
  <c r="AJ41" i="12" s="1"/>
  <c r="Z33" i="2"/>
  <c r="AJ22" i="12" s="1"/>
  <c r="Z38" i="2"/>
  <c r="AJ11" i="12" s="1"/>
  <c r="Z44" i="2"/>
  <c r="AJ12" i="12" s="1"/>
  <c r="Z49" i="2"/>
  <c r="AJ28" i="12" s="1"/>
  <c r="Z54" i="2"/>
  <c r="AJ26" i="12" s="1"/>
  <c r="Z60" i="2"/>
  <c r="AJ14" i="12" s="1"/>
  <c r="Z65" i="2"/>
  <c r="AJ36" i="12" s="1"/>
  <c r="Z70" i="2"/>
  <c r="AJ57" i="12" s="1"/>
  <c r="Z76" i="2"/>
  <c r="AJ2" i="12" s="1"/>
  <c r="Y6" i="2"/>
  <c r="AI27" i="12" s="1"/>
  <c r="Y11" i="2"/>
  <c r="AI15" i="12" s="1"/>
  <c r="Y17" i="2"/>
  <c r="AI10" i="12" s="1"/>
  <c r="Y22" i="2"/>
  <c r="AI67" i="12" s="1"/>
  <c r="Y27" i="2"/>
  <c r="AI59" i="12" s="1"/>
  <c r="Y33" i="2"/>
  <c r="AI22" i="12" s="1"/>
  <c r="Y38" i="2"/>
  <c r="AI11" i="12" s="1"/>
  <c r="Y43" i="2"/>
  <c r="AI65" i="12" s="1"/>
  <c r="Y49" i="2"/>
  <c r="AI28" i="12" s="1"/>
  <c r="Y54" i="2"/>
  <c r="AI26" i="12" s="1"/>
  <c r="Y59" i="2"/>
  <c r="AI13" i="12" s="1"/>
  <c r="Y65" i="2"/>
  <c r="AI36" i="12" s="1"/>
  <c r="Y70" i="2"/>
  <c r="AI57" i="12" s="1"/>
  <c r="Y75" i="2"/>
  <c r="AI24" i="12" s="1"/>
  <c r="X6" i="2"/>
  <c r="AH27" i="12" s="1"/>
  <c r="X11" i="2"/>
  <c r="AH15" i="12" s="1"/>
  <c r="X16" i="2"/>
  <c r="AH64" i="12" s="1"/>
  <c r="X22" i="2"/>
  <c r="AH67" i="12" s="1"/>
  <c r="X27" i="2"/>
  <c r="AH59" i="12" s="1"/>
  <c r="X32" i="2"/>
  <c r="AH3" i="12" s="1"/>
  <c r="X38" i="2"/>
  <c r="AH11" i="12" s="1"/>
  <c r="X43" i="2"/>
  <c r="AH65" i="12" s="1"/>
  <c r="X47" i="2"/>
  <c r="AH34" i="12" s="1"/>
  <c r="X51" i="2"/>
  <c r="AH7" i="12" s="1"/>
  <c r="X55" i="2"/>
  <c r="AH53" i="12" s="1"/>
  <c r="X59" i="2"/>
  <c r="AH13" i="12" s="1"/>
  <c r="X63" i="2"/>
  <c r="AH21" i="12" s="1"/>
  <c r="X67" i="2"/>
  <c r="AH37" i="12" s="1"/>
  <c r="X71" i="2"/>
  <c r="AH6" i="12" s="1"/>
  <c r="X75" i="2"/>
  <c r="AH24" i="12" s="1"/>
  <c r="AA3" i="2"/>
  <c r="AK31" i="12" s="1"/>
  <c r="AA8" i="2"/>
  <c r="AK60" i="12" s="1"/>
  <c r="AA13" i="2"/>
  <c r="AK55" i="12" s="1"/>
  <c r="AA19" i="2"/>
  <c r="AK4" i="12" s="1"/>
  <c r="AA24" i="2"/>
  <c r="AK43" i="12" s="1"/>
  <c r="AA29" i="2"/>
  <c r="AK72" i="12" s="1"/>
  <c r="AA35" i="2"/>
  <c r="AK66" i="12" s="1"/>
  <c r="AA40" i="2"/>
  <c r="AK73" i="12" s="1"/>
  <c r="AA45" i="2"/>
  <c r="AK19" i="12" s="1"/>
  <c r="AA51" i="2"/>
  <c r="AK7" i="12" s="1"/>
  <c r="AA56" i="2"/>
  <c r="AK74" i="12" s="1"/>
  <c r="AA61" i="2"/>
  <c r="AK51" i="12" s="1"/>
  <c r="AA67" i="2"/>
  <c r="AK37" i="12" s="1"/>
  <c r="AA72" i="2"/>
  <c r="AK5" i="12" s="1"/>
  <c r="AA2" i="2"/>
  <c r="AK39" i="12" s="1"/>
  <c r="Z8" i="2"/>
  <c r="AJ60" i="12" s="1"/>
  <c r="Z13" i="2"/>
  <c r="AJ55" i="12" s="1"/>
  <c r="Z18" i="2"/>
  <c r="AJ44" i="12" s="1"/>
  <c r="Z24" i="2"/>
  <c r="AJ43" i="12" s="1"/>
  <c r="Z29" i="2"/>
  <c r="AJ72" i="12" s="1"/>
  <c r="Z34" i="2"/>
  <c r="AJ71" i="12" s="1"/>
  <c r="Z40" i="2"/>
  <c r="AJ73" i="12" s="1"/>
  <c r="Z45" i="2"/>
  <c r="AJ19" i="12" s="1"/>
  <c r="Z50" i="2"/>
  <c r="AJ18" i="12" s="1"/>
  <c r="Z56" i="2"/>
  <c r="AJ74" i="12" s="1"/>
  <c r="Z61" i="2"/>
  <c r="AJ51" i="12" s="1"/>
  <c r="Z66" i="2"/>
  <c r="AJ38" i="12" s="1"/>
  <c r="Z72" i="2"/>
  <c r="AJ5" i="12" s="1"/>
  <c r="Z2" i="2"/>
  <c r="AJ39" i="12" s="1"/>
  <c r="Y7" i="2"/>
  <c r="AI50" i="12" s="1"/>
  <c r="Y13" i="2"/>
  <c r="AI55" i="12" s="1"/>
  <c r="Y18" i="2"/>
  <c r="AI44" i="12" s="1"/>
  <c r="Y23" i="2"/>
  <c r="AI8" i="12" s="1"/>
  <c r="Y29" i="2"/>
  <c r="AI72" i="12" s="1"/>
  <c r="Y34" i="2"/>
  <c r="AI71" i="12" s="1"/>
  <c r="Y39" i="2"/>
  <c r="AI33" i="12" s="1"/>
  <c r="Y45" i="2"/>
  <c r="AI19" i="12" s="1"/>
  <c r="Y50" i="2"/>
  <c r="AI18" i="12" s="1"/>
  <c r="Y55" i="2"/>
  <c r="AI53" i="12" s="1"/>
  <c r="Y61" i="2"/>
  <c r="AI51" i="12" s="1"/>
  <c r="Y66" i="2"/>
  <c r="AI38" i="12" s="1"/>
  <c r="Y71" i="2"/>
  <c r="AI6" i="12" s="1"/>
  <c r="Y2" i="2"/>
  <c r="AI39" i="12" s="1"/>
  <c r="X7" i="2"/>
  <c r="AH50" i="12" s="1"/>
  <c r="X12" i="2"/>
  <c r="AH40" i="12" s="1"/>
  <c r="X18" i="2"/>
  <c r="AH44" i="12" s="1"/>
  <c r="X23" i="2"/>
  <c r="AH8" i="12" s="1"/>
  <c r="X28" i="2"/>
  <c r="AH41" i="12" s="1"/>
  <c r="X34" i="2"/>
  <c r="AH71" i="12" s="1"/>
  <c r="X39" i="2"/>
  <c r="AH33" i="12" s="1"/>
  <c r="X44" i="2"/>
  <c r="AH12" i="12" s="1"/>
  <c r="X48" i="2"/>
  <c r="AH9" i="12" s="1"/>
  <c r="X52" i="2"/>
  <c r="X56" i="2"/>
  <c r="AH74" i="12" s="1"/>
  <c r="X60" i="2"/>
  <c r="AH14" i="12" s="1"/>
  <c r="X64" i="2"/>
  <c r="AH54" i="12" s="1"/>
  <c r="X68" i="2"/>
  <c r="AH46" i="12" s="1"/>
  <c r="X72" i="2"/>
  <c r="AH5" i="12" s="1"/>
  <c r="X76" i="2"/>
  <c r="AH2" i="12" s="1"/>
  <c r="AA4" i="2"/>
  <c r="AK69" i="12" s="1"/>
  <c r="AA9" i="2"/>
  <c r="AK56" i="12" s="1"/>
  <c r="AA15" i="2"/>
  <c r="AK48" i="12" s="1"/>
  <c r="AA20" i="2"/>
  <c r="AK32" i="12" s="1"/>
  <c r="X62" i="2"/>
  <c r="AH47" i="12" s="1"/>
  <c r="X46" i="2"/>
  <c r="AH25" i="12" s="1"/>
  <c r="X26" i="2"/>
  <c r="AH70" i="12" s="1"/>
  <c r="X15" i="2"/>
  <c r="AH48" i="12" s="1"/>
  <c r="Y69" i="2"/>
  <c r="AI61" i="12" s="1"/>
  <c r="Y58" i="2"/>
  <c r="AI58" i="12" s="1"/>
  <c r="Y47" i="2"/>
  <c r="AI34" i="12" s="1"/>
  <c r="Y37" i="2"/>
  <c r="AI30" i="12" s="1"/>
  <c r="Y15" i="2"/>
  <c r="AI48" i="12" s="1"/>
  <c r="Y5" i="2"/>
  <c r="AI23" i="12" s="1"/>
  <c r="Z69" i="2"/>
  <c r="AJ61" i="12" s="1"/>
  <c r="Z58" i="2"/>
  <c r="AJ58" i="12" s="1"/>
  <c r="Z48" i="2"/>
  <c r="AJ9" i="12" s="1"/>
  <c r="Z37" i="2"/>
  <c r="AJ30" i="12" s="1"/>
  <c r="Z26" i="2"/>
  <c r="AJ70" i="12" s="1"/>
  <c r="Z16" i="2"/>
  <c r="AJ64" i="12" s="1"/>
  <c r="Z5" i="2"/>
  <c r="AJ23" i="12" s="1"/>
  <c r="AA69" i="2"/>
  <c r="AK61" i="12" s="1"/>
  <c r="AA59" i="2"/>
  <c r="AK13" i="12" s="1"/>
  <c r="AA48" i="2"/>
  <c r="AK9" i="12" s="1"/>
  <c r="AA37" i="2"/>
  <c r="AK30" i="12" s="1"/>
  <c r="AA27" i="2"/>
  <c r="AK59" i="12" s="1"/>
  <c r="AA11" i="2"/>
  <c r="AK15" i="12" s="1"/>
  <c r="X69" i="2"/>
  <c r="AH61" i="12" s="1"/>
  <c r="X53" i="2"/>
  <c r="AH16" i="12" s="1"/>
  <c r="X35" i="2"/>
  <c r="AH66" i="12" s="1"/>
  <c r="X3" i="2"/>
  <c r="AH31" i="12" s="1"/>
  <c r="Y57" i="2"/>
  <c r="AI49" i="12" s="1"/>
  <c r="Y35" i="2"/>
  <c r="AI66" i="12" s="1"/>
  <c r="Y14" i="2"/>
  <c r="Z68" i="2"/>
  <c r="AJ46" i="12" s="1"/>
  <c r="Z46" i="2"/>
  <c r="AJ25" i="12" s="1"/>
  <c r="Z25" i="2"/>
  <c r="AJ20" i="12" s="1"/>
  <c r="Z14" i="2"/>
  <c r="Z4" i="2"/>
  <c r="AJ69" i="12" s="1"/>
  <c r="AA57" i="2"/>
  <c r="AK49" i="12" s="1"/>
  <c r="AA47" i="2"/>
  <c r="AK34" i="12" s="1"/>
  <c r="AA36" i="2"/>
  <c r="AK62" i="12" s="1"/>
  <c r="AA25" i="2"/>
  <c r="AK20" i="12" s="1"/>
  <c r="AA5" i="2"/>
  <c r="AK23" i="12" s="1"/>
  <c r="X70" i="2"/>
  <c r="AH57" i="12" s="1"/>
  <c r="X54" i="2"/>
  <c r="AH26" i="12" s="1"/>
  <c r="X36" i="2"/>
  <c r="AH62" i="12" s="1"/>
  <c r="X4" i="2"/>
  <c r="AH69" i="12" s="1"/>
  <c r="Y26" i="2"/>
  <c r="AI70" i="12" s="1"/>
  <c r="X2" i="2"/>
  <c r="AH39" i="12" s="1"/>
  <c r="X61" i="2"/>
  <c r="AH51" i="12" s="1"/>
  <c r="X45" i="2"/>
  <c r="AH19" i="12" s="1"/>
  <c r="X24" i="2"/>
  <c r="AH43" i="12" s="1"/>
  <c r="X14" i="2"/>
  <c r="Y67" i="2"/>
  <c r="AI37" i="12" s="1"/>
  <c r="Y46" i="2"/>
  <c r="AI25" i="12" s="1"/>
  <c r="Y25" i="2"/>
  <c r="AI20" i="12" s="1"/>
  <c r="Y3" i="2"/>
  <c r="AI31" i="12" s="1"/>
  <c r="Z57" i="2"/>
  <c r="AJ49" i="12" s="1"/>
  <c r="Z36" i="2"/>
  <c r="AJ62" i="12" s="1"/>
  <c r="AA68" i="2"/>
  <c r="AK46" i="12" s="1"/>
  <c r="X74" i="2"/>
  <c r="AH29" i="12" s="1"/>
  <c r="X66" i="2"/>
  <c r="AH38" i="12" s="1"/>
  <c r="X58" i="2"/>
  <c r="AH58" i="12" s="1"/>
  <c r="X50" i="2"/>
  <c r="AH18" i="12" s="1"/>
  <c r="X42" i="2"/>
  <c r="AH35" i="12" s="1"/>
  <c r="X31" i="2"/>
  <c r="AH68" i="12" s="1"/>
  <c r="X20" i="2"/>
  <c r="AH32" i="12" s="1"/>
  <c r="X10" i="2"/>
  <c r="AH52" i="12" s="1"/>
  <c r="Y74" i="2"/>
  <c r="AI29" i="12" s="1"/>
  <c r="Y63" i="2"/>
  <c r="AI21" i="12" s="1"/>
  <c r="Y53" i="2"/>
  <c r="AI16" i="12" s="1"/>
  <c r="Y42" i="2"/>
  <c r="AI35" i="12" s="1"/>
  <c r="Y31" i="2"/>
  <c r="AI68" i="12" s="1"/>
  <c r="Y21" i="2"/>
  <c r="AI42" i="12" s="1"/>
  <c r="Y10" i="2"/>
  <c r="AI52" i="12" s="1"/>
  <c r="Z74" i="2"/>
  <c r="AJ29" i="12" s="1"/>
  <c r="Z64" i="2"/>
  <c r="AJ54" i="12" s="1"/>
  <c r="Z53" i="2"/>
  <c r="AJ16" i="12" s="1"/>
  <c r="Z42" i="2"/>
  <c r="AJ35" i="12" s="1"/>
  <c r="Z32" i="2"/>
  <c r="AJ3" i="12" s="1"/>
  <c r="Z21" i="2"/>
  <c r="AJ42" i="12" s="1"/>
  <c r="Z10" i="2"/>
  <c r="AJ52" i="12" s="1"/>
  <c r="AA75" i="2"/>
  <c r="AK24" i="12" s="1"/>
  <c r="AA64" i="2"/>
  <c r="AK54" i="12" s="1"/>
  <c r="AA53" i="2"/>
  <c r="AK16" i="12" s="1"/>
  <c r="AA43" i="2"/>
  <c r="AK65" i="12" s="1"/>
  <c r="AA32" i="2"/>
  <c r="AK3" i="12" s="1"/>
  <c r="AA21" i="2"/>
  <c r="AK42" i="12" s="1"/>
  <c r="AD2" i="15"/>
  <c r="AC2" i="12" l="1"/>
  <c r="AA2" i="12"/>
  <c r="AB2" i="12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29" i="3"/>
  <c r="L4" i="15"/>
  <c r="AJ16" i="3" s="1"/>
  <c r="AK16" i="15" s="1"/>
  <c r="AG71" i="3" l="1"/>
  <c r="AH21" i="15" s="1"/>
  <c r="AG39" i="3"/>
  <c r="AH54" i="15" s="1"/>
  <c r="AG79" i="3"/>
  <c r="AH64" i="15" s="1"/>
  <c r="AG15" i="3"/>
  <c r="AH63" i="15" s="1"/>
  <c r="AG63" i="3"/>
  <c r="AH58" i="15" s="1"/>
  <c r="AG31" i="3"/>
  <c r="AH44" i="15" s="1"/>
  <c r="AG47" i="3"/>
  <c r="AH22" i="15" s="1"/>
  <c r="AG55" i="3"/>
  <c r="AH61" i="15" s="1"/>
  <c r="AG23" i="3"/>
  <c r="AH70" i="15" s="1"/>
  <c r="AJ72" i="3"/>
  <c r="AK32" i="15" s="1"/>
  <c r="AJ56" i="3"/>
  <c r="AK47" i="15" s="1"/>
  <c r="AJ40" i="3"/>
  <c r="AK68" i="15" s="1"/>
  <c r="AJ24" i="3"/>
  <c r="AK25" i="15" s="1"/>
  <c r="AG78" i="3"/>
  <c r="AH6" i="15" s="1"/>
  <c r="AG70" i="3"/>
  <c r="AH24" i="15" s="1"/>
  <c r="AG62" i="3"/>
  <c r="AH62" i="15" s="1"/>
  <c r="AG54" i="3"/>
  <c r="AH60" i="15" s="1"/>
  <c r="AG46" i="3"/>
  <c r="AH36" i="15" s="1"/>
  <c r="AG38" i="3"/>
  <c r="AH11" i="15" s="1"/>
  <c r="AG30" i="3"/>
  <c r="AH3" i="15" s="1"/>
  <c r="AG22" i="3"/>
  <c r="AH50" i="15" s="1"/>
  <c r="AG14" i="3"/>
  <c r="AH71" i="15" s="1"/>
  <c r="AI76" i="3"/>
  <c r="AJ49" i="15" s="1"/>
  <c r="AJ68" i="3"/>
  <c r="AK52" i="15" s="1"/>
  <c r="AJ52" i="3"/>
  <c r="AK45" i="15" s="1"/>
  <c r="AJ36" i="3"/>
  <c r="AK5" i="15" s="1"/>
  <c r="AJ20" i="3"/>
  <c r="AK40" i="15" s="1"/>
  <c r="AG8" i="3"/>
  <c r="AH39" i="15" s="1"/>
  <c r="AG75" i="3"/>
  <c r="AH31" i="15" s="1"/>
  <c r="AG67" i="3"/>
  <c r="AH41" i="15" s="1"/>
  <c r="AG59" i="3"/>
  <c r="AH46" i="15" s="1"/>
  <c r="AG51" i="3"/>
  <c r="AH4" i="15" s="1"/>
  <c r="AG43" i="3"/>
  <c r="AG35" i="3"/>
  <c r="AH67" i="15" s="1"/>
  <c r="AG27" i="3"/>
  <c r="AH20" i="15" s="1"/>
  <c r="AG19" i="3"/>
  <c r="AH51" i="15" s="1"/>
  <c r="AG11" i="3"/>
  <c r="AH15" i="15" s="1"/>
  <c r="AJ80" i="3"/>
  <c r="AK13" i="15" s="1"/>
  <c r="AJ64" i="3"/>
  <c r="AK9" i="15" s="1"/>
  <c r="AJ48" i="3"/>
  <c r="AK23" i="15" s="1"/>
  <c r="AJ32" i="3"/>
  <c r="AK34" i="15" s="1"/>
  <c r="AJ9" i="3"/>
  <c r="AK69" i="15" s="1"/>
  <c r="AJ13" i="3"/>
  <c r="AK27" i="15" s="1"/>
  <c r="AJ17" i="3"/>
  <c r="AK55" i="15" s="1"/>
  <c r="AJ21" i="3"/>
  <c r="AK12" i="15" s="1"/>
  <c r="AJ25" i="3"/>
  <c r="AK38" i="15" s="1"/>
  <c r="AJ29" i="3"/>
  <c r="AK8" i="15" s="1"/>
  <c r="AJ33" i="3"/>
  <c r="AK2" i="15" s="1"/>
  <c r="AJ37" i="3"/>
  <c r="AK73" i="15" s="1"/>
  <c r="AJ41" i="3"/>
  <c r="AK18" i="15" s="1"/>
  <c r="AJ45" i="3"/>
  <c r="AK17" i="15" s="1"/>
  <c r="AJ49" i="3"/>
  <c r="AK37" i="15" s="1"/>
  <c r="AJ53" i="3"/>
  <c r="AK53" i="15" s="1"/>
  <c r="AJ57" i="3"/>
  <c r="AK65" i="15" s="1"/>
  <c r="AJ61" i="3"/>
  <c r="AK48" i="15" s="1"/>
  <c r="AJ65" i="3"/>
  <c r="AK59" i="15" s="1"/>
  <c r="AJ69" i="3"/>
  <c r="AK35" i="15" s="1"/>
  <c r="AJ73" i="3"/>
  <c r="AK43" i="15" s="1"/>
  <c r="AJ77" i="3"/>
  <c r="AK30" i="15" s="1"/>
  <c r="AJ81" i="3"/>
  <c r="AK26" i="15" s="1"/>
  <c r="AI10" i="3"/>
  <c r="AJ42" i="15" s="1"/>
  <c r="AI26" i="3"/>
  <c r="AJ14" i="15" s="1"/>
  <c r="AH15" i="3"/>
  <c r="AI63" i="15" s="1"/>
  <c r="AH79" i="3"/>
  <c r="AI64" i="15" s="1"/>
  <c r="AG12" i="3"/>
  <c r="AH66" i="15" s="1"/>
  <c r="AG16" i="3"/>
  <c r="AH16" i="15" s="1"/>
  <c r="AG20" i="3"/>
  <c r="AH40" i="15" s="1"/>
  <c r="AG24" i="3"/>
  <c r="AH25" i="15" s="1"/>
  <c r="AG28" i="3"/>
  <c r="AH72" i="15" s="1"/>
  <c r="AG32" i="3"/>
  <c r="AH34" i="15" s="1"/>
  <c r="AG36" i="3"/>
  <c r="AH5" i="15" s="1"/>
  <c r="AG40" i="3"/>
  <c r="AH68" i="15" s="1"/>
  <c r="AG44" i="3"/>
  <c r="AH76" i="15" s="1"/>
  <c r="AG48" i="3"/>
  <c r="AH23" i="15" s="1"/>
  <c r="AG52" i="3"/>
  <c r="AH45" i="15" s="1"/>
  <c r="AG56" i="3"/>
  <c r="AH47" i="15" s="1"/>
  <c r="AG60" i="3"/>
  <c r="AH10" i="15" s="1"/>
  <c r="AG64" i="3"/>
  <c r="AH9" i="15" s="1"/>
  <c r="AG68" i="3"/>
  <c r="AH52" i="15" s="1"/>
  <c r="AG72" i="3"/>
  <c r="AH32" i="15" s="1"/>
  <c r="AG76" i="3"/>
  <c r="AH49" i="15" s="1"/>
  <c r="AG80" i="3"/>
  <c r="AH13" i="15" s="1"/>
  <c r="AJ15" i="3"/>
  <c r="AK63" i="15" s="1"/>
  <c r="AJ19" i="3"/>
  <c r="AK51" i="15" s="1"/>
  <c r="AJ27" i="3"/>
  <c r="AK20" i="15" s="1"/>
  <c r="AJ35" i="3"/>
  <c r="AK67" i="15" s="1"/>
  <c r="AJ43" i="3"/>
  <c r="AJ51" i="3"/>
  <c r="AK4" i="15" s="1"/>
  <c r="AJ59" i="3"/>
  <c r="AK46" i="15" s="1"/>
  <c r="AJ67" i="3"/>
  <c r="AK41" i="15" s="1"/>
  <c r="AJ75" i="3"/>
  <c r="AK31" i="15" s="1"/>
  <c r="AJ8" i="3"/>
  <c r="AK39" i="15" s="1"/>
  <c r="AJ10" i="3"/>
  <c r="AK42" i="15" s="1"/>
  <c r="AJ14" i="3"/>
  <c r="AK71" i="15" s="1"/>
  <c r="AJ18" i="3"/>
  <c r="AK7" i="15" s="1"/>
  <c r="AJ22" i="3"/>
  <c r="AK50" i="15" s="1"/>
  <c r="AJ26" i="3"/>
  <c r="AK14" i="15" s="1"/>
  <c r="AJ30" i="3"/>
  <c r="AK3" i="15" s="1"/>
  <c r="AJ34" i="3"/>
  <c r="AK74" i="15" s="1"/>
  <c r="AJ38" i="3"/>
  <c r="AK11" i="15" s="1"/>
  <c r="AJ42" i="3"/>
  <c r="AK28" i="15" s="1"/>
  <c r="AJ46" i="3"/>
  <c r="AK36" i="15" s="1"/>
  <c r="AJ50" i="3"/>
  <c r="AK19" i="15" s="1"/>
  <c r="AJ54" i="3"/>
  <c r="AK60" i="15" s="1"/>
  <c r="AJ58" i="3"/>
  <c r="AK56" i="15" s="1"/>
  <c r="AJ62" i="3"/>
  <c r="AK62" i="15" s="1"/>
  <c r="AJ66" i="3"/>
  <c r="AK57" i="15" s="1"/>
  <c r="AJ70" i="3"/>
  <c r="AK24" i="15" s="1"/>
  <c r="AJ74" i="3"/>
  <c r="AK29" i="15" s="1"/>
  <c r="AJ78" i="3"/>
  <c r="AK6" i="15" s="1"/>
  <c r="AJ82" i="3"/>
  <c r="AK33" i="15" s="1"/>
  <c r="AI23" i="3"/>
  <c r="AJ70" i="15" s="1"/>
  <c r="AI39" i="3"/>
  <c r="AJ54" i="15" s="1"/>
  <c r="AI71" i="3"/>
  <c r="AJ21" i="15" s="1"/>
  <c r="AH12" i="3"/>
  <c r="AI66" i="15" s="1"/>
  <c r="AH60" i="3"/>
  <c r="AI10" i="15" s="1"/>
  <c r="AH76" i="3"/>
  <c r="AI49" i="15" s="1"/>
  <c r="AG9" i="3"/>
  <c r="AH69" i="15" s="1"/>
  <c r="AG13" i="3"/>
  <c r="AH27" i="15" s="1"/>
  <c r="AG17" i="3"/>
  <c r="AH55" i="15" s="1"/>
  <c r="AG21" i="3"/>
  <c r="AH12" i="15" s="1"/>
  <c r="AG25" i="3"/>
  <c r="AH38" i="15" s="1"/>
  <c r="AG29" i="3"/>
  <c r="AH8" i="15" s="1"/>
  <c r="AG33" i="3"/>
  <c r="AH2" i="15" s="1"/>
  <c r="AG37" i="3"/>
  <c r="AH73" i="15" s="1"/>
  <c r="AG41" i="3"/>
  <c r="AH18" i="15" s="1"/>
  <c r="AG45" i="3"/>
  <c r="AH17" i="15" s="1"/>
  <c r="AG49" i="3"/>
  <c r="AH37" i="15" s="1"/>
  <c r="AG53" i="3"/>
  <c r="AH53" i="15" s="1"/>
  <c r="AG57" i="3"/>
  <c r="AH65" i="15" s="1"/>
  <c r="AG61" i="3"/>
  <c r="AH48" i="15" s="1"/>
  <c r="AG65" i="3"/>
  <c r="AH59" i="15" s="1"/>
  <c r="AG69" i="3"/>
  <c r="AH35" i="15" s="1"/>
  <c r="AG73" i="3"/>
  <c r="AH43" i="15" s="1"/>
  <c r="AG77" i="3"/>
  <c r="AH30" i="15" s="1"/>
  <c r="AG81" i="3"/>
  <c r="AH26" i="15" s="1"/>
  <c r="AJ11" i="3"/>
  <c r="AK15" i="15" s="1"/>
  <c r="AJ23" i="3"/>
  <c r="AK70" i="15" s="1"/>
  <c r="AJ31" i="3"/>
  <c r="AK44" i="15" s="1"/>
  <c r="AJ39" i="3"/>
  <c r="AK54" i="15" s="1"/>
  <c r="AJ47" i="3"/>
  <c r="AK22" i="15" s="1"/>
  <c r="AJ55" i="3"/>
  <c r="AK61" i="15" s="1"/>
  <c r="AJ63" i="3"/>
  <c r="AK58" i="15" s="1"/>
  <c r="AJ71" i="3"/>
  <c r="AK21" i="15" s="1"/>
  <c r="AJ79" i="3"/>
  <c r="AK64" i="15" s="1"/>
  <c r="AG82" i="3"/>
  <c r="AH33" i="15" s="1"/>
  <c r="AG74" i="3"/>
  <c r="AH29" i="15" s="1"/>
  <c r="AG66" i="3"/>
  <c r="AH57" i="15" s="1"/>
  <c r="AG58" i="3"/>
  <c r="AH56" i="15" s="1"/>
  <c r="AG50" i="3"/>
  <c r="AH19" i="15" s="1"/>
  <c r="AG42" i="3"/>
  <c r="AH28" i="15" s="1"/>
  <c r="AG34" i="3"/>
  <c r="AH74" i="15" s="1"/>
  <c r="AG26" i="3"/>
  <c r="AH14" i="15" s="1"/>
  <c r="AG18" i="3"/>
  <c r="AH7" i="15" s="1"/>
  <c r="AG10" i="3"/>
  <c r="AH42" i="15" s="1"/>
  <c r="AH21" i="3"/>
  <c r="AI12" i="15" s="1"/>
  <c r="AJ76" i="3"/>
  <c r="AK49" i="15" s="1"/>
  <c r="AJ60" i="3"/>
  <c r="AK10" i="15" s="1"/>
  <c r="AJ44" i="3"/>
  <c r="AK76" i="15" s="1"/>
  <c r="AJ28" i="3"/>
  <c r="AK72" i="15" s="1"/>
  <c r="AJ12" i="3"/>
  <c r="AK66" i="15" s="1"/>
  <c r="X9" i="3"/>
  <c r="AI9" i="3" s="1"/>
  <c r="AJ69" i="15" s="1"/>
  <c r="X10" i="3"/>
  <c r="X11" i="3"/>
  <c r="AI11" i="3" s="1"/>
  <c r="AJ15" i="15" s="1"/>
  <c r="X12" i="3"/>
  <c r="AI12" i="3" s="1"/>
  <c r="AJ66" i="15" s="1"/>
  <c r="X13" i="3"/>
  <c r="AI13" i="3" s="1"/>
  <c r="AJ27" i="15" s="1"/>
  <c r="X14" i="3"/>
  <c r="AI14" i="3" s="1"/>
  <c r="AJ71" i="15" s="1"/>
  <c r="X15" i="3"/>
  <c r="AI15" i="3" s="1"/>
  <c r="AJ63" i="15" s="1"/>
  <c r="X16" i="3"/>
  <c r="AI16" i="3" s="1"/>
  <c r="AJ16" i="15" s="1"/>
  <c r="X17" i="3"/>
  <c r="AI17" i="3" s="1"/>
  <c r="AJ55" i="15" s="1"/>
  <c r="X18" i="3"/>
  <c r="AI18" i="3" s="1"/>
  <c r="AJ7" i="15" s="1"/>
  <c r="X19" i="3"/>
  <c r="AI19" i="3" s="1"/>
  <c r="AJ51" i="15" s="1"/>
  <c r="X20" i="3"/>
  <c r="AI20" i="3" s="1"/>
  <c r="AJ40" i="15" s="1"/>
  <c r="X21" i="3"/>
  <c r="AI21" i="3" s="1"/>
  <c r="AJ12" i="15" s="1"/>
  <c r="X22" i="3"/>
  <c r="AI22" i="3" s="1"/>
  <c r="AJ50" i="15" s="1"/>
  <c r="X23" i="3"/>
  <c r="X24" i="3"/>
  <c r="AI24" i="3" s="1"/>
  <c r="AJ25" i="15" s="1"/>
  <c r="X25" i="3"/>
  <c r="AI25" i="3" s="1"/>
  <c r="AJ38" i="15" s="1"/>
  <c r="X26" i="3"/>
  <c r="X27" i="3"/>
  <c r="AI27" i="3" s="1"/>
  <c r="AJ20" i="15" s="1"/>
  <c r="X28" i="3"/>
  <c r="AI28" i="3" s="1"/>
  <c r="AJ72" i="15" s="1"/>
  <c r="X29" i="3"/>
  <c r="AI29" i="3" s="1"/>
  <c r="AJ8" i="15" s="1"/>
  <c r="X30" i="3"/>
  <c r="AI30" i="3" s="1"/>
  <c r="AJ3" i="15" s="1"/>
  <c r="X31" i="3"/>
  <c r="AI31" i="3" s="1"/>
  <c r="AJ44" i="15" s="1"/>
  <c r="X32" i="3"/>
  <c r="AI32" i="3" s="1"/>
  <c r="AJ34" i="15" s="1"/>
  <c r="X33" i="3"/>
  <c r="AI33" i="3" s="1"/>
  <c r="AJ2" i="15" s="1"/>
  <c r="X34" i="3"/>
  <c r="AI34" i="3" s="1"/>
  <c r="AJ74" i="15" s="1"/>
  <c r="X35" i="3"/>
  <c r="AI35" i="3" s="1"/>
  <c r="AJ67" i="15" s="1"/>
  <c r="X36" i="3"/>
  <c r="AI36" i="3" s="1"/>
  <c r="AJ5" i="15" s="1"/>
  <c r="X37" i="3"/>
  <c r="AI37" i="3" s="1"/>
  <c r="AJ73" i="15" s="1"/>
  <c r="X38" i="3"/>
  <c r="AI38" i="3" s="1"/>
  <c r="AJ11" i="15" s="1"/>
  <c r="X39" i="3"/>
  <c r="X40" i="3"/>
  <c r="AI40" i="3" s="1"/>
  <c r="AJ68" i="15" s="1"/>
  <c r="X41" i="3"/>
  <c r="AI41" i="3" s="1"/>
  <c r="AJ18" i="15" s="1"/>
  <c r="X42" i="3"/>
  <c r="AI42" i="3" s="1"/>
  <c r="AJ28" i="15" s="1"/>
  <c r="X43" i="3"/>
  <c r="AI43" i="3" s="1"/>
  <c r="X44" i="3"/>
  <c r="AI44" i="3" s="1"/>
  <c r="AJ76" i="15" s="1"/>
  <c r="X45" i="3"/>
  <c r="AI45" i="3" s="1"/>
  <c r="AJ17" i="15" s="1"/>
  <c r="X46" i="3"/>
  <c r="AI46" i="3" s="1"/>
  <c r="AJ36" i="15" s="1"/>
  <c r="X47" i="3"/>
  <c r="AI47" i="3" s="1"/>
  <c r="AJ22" i="15" s="1"/>
  <c r="X48" i="3"/>
  <c r="AI48" i="3" s="1"/>
  <c r="AJ23" i="15" s="1"/>
  <c r="X49" i="3"/>
  <c r="AI49" i="3" s="1"/>
  <c r="AJ37" i="15" s="1"/>
  <c r="X50" i="3"/>
  <c r="AI50" i="3" s="1"/>
  <c r="AJ19" i="15" s="1"/>
  <c r="X51" i="3"/>
  <c r="AI51" i="3" s="1"/>
  <c r="AJ4" i="15" s="1"/>
  <c r="X52" i="3"/>
  <c r="AI52" i="3" s="1"/>
  <c r="AJ45" i="15" s="1"/>
  <c r="X53" i="3"/>
  <c r="AI53" i="3" s="1"/>
  <c r="AJ53" i="15" s="1"/>
  <c r="X54" i="3"/>
  <c r="AI54" i="3" s="1"/>
  <c r="AJ60" i="15" s="1"/>
  <c r="X55" i="3"/>
  <c r="AI55" i="3" s="1"/>
  <c r="AJ61" i="15" s="1"/>
  <c r="X56" i="3"/>
  <c r="AI56" i="3" s="1"/>
  <c r="AJ47" i="15" s="1"/>
  <c r="X57" i="3"/>
  <c r="AI57" i="3" s="1"/>
  <c r="AJ65" i="15" s="1"/>
  <c r="X58" i="3"/>
  <c r="AI58" i="3" s="1"/>
  <c r="AJ56" i="15" s="1"/>
  <c r="X59" i="3"/>
  <c r="AI59" i="3" s="1"/>
  <c r="AJ46" i="15" s="1"/>
  <c r="X60" i="3"/>
  <c r="AI60" i="3" s="1"/>
  <c r="AJ10" i="15" s="1"/>
  <c r="X61" i="3"/>
  <c r="AI61" i="3" s="1"/>
  <c r="AJ48" i="15" s="1"/>
  <c r="X62" i="3"/>
  <c r="AI62" i="3" s="1"/>
  <c r="AJ62" i="15" s="1"/>
  <c r="X63" i="3"/>
  <c r="AI63" i="3" s="1"/>
  <c r="AJ58" i="15" s="1"/>
  <c r="X64" i="3"/>
  <c r="AI64" i="3" s="1"/>
  <c r="AJ9" i="15" s="1"/>
  <c r="X65" i="3"/>
  <c r="AI65" i="3" s="1"/>
  <c r="AJ59" i="15" s="1"/>
  <c r="X66" i="3"/>
  <c r="AI66" i="3" s="1"/>
  <c r="AJ57" i="15" s="1"/>
  <c r="X67" i="3"/>
  <c r="AI67" i="3" s="1"/>
  <c r="AJ41" i="15" s="1"/>
  <c r="X68" i="3"/>
  <c r="AI68" i="3" s="1"/>
  <c r="AJ52" i="15" s="1"/>
  <c r="X69" i="3"/>
  <c r="AI69" i="3" s="1"/>
  <c r="AJ35" i="15" s="1"/>
  <c r="X70" i="3"/>
  <c r="AI70" i="3" s="1"/>
  <c r="AJ24" i="15" s="1"/>
  <c r="X71" i="3"/>
  <c r="X72" i="3"/>
  <c r="AI72" i="3" s="1"/>
  <c r="AJ32" i="15" s="1"/>
  <c r="X73" i="3"/>
  <c r="AI73" i="3" s="1"/>
  <c r="AJ43" i="15" s="1"/>
  <c r="X74" i="3"/>
  <c r="AI74" i="3" s="1"/>
  <c r="AJ29" i="15" s="1"/>
  <c r="X75" i="3"/>
  <c r="AI75" i="3" s="1"/>
  <c r="AJ31" i="15" s="1"/>
  <c r="X76" i="3"/>
  <c r="X77" i="3"/>
  <c r="AI77" i="3" s="1"/>
  <c r="AJ30" i="15" s="1"/>
  <c r="X78" i="3"/>
  <c r="AI78" i="3" s="1"/>
  <c r="AJ6" i="15" s="1"/>
  <c r="X79" i="3"/>
  <c r="AI79" i="3" s="1"/>
  <c r="AJ64" i="15" s="1"/>
  <c r="X80" i="3"/>
  <c r="AI80" i="3" s="1"/>
  <c r="AJ13" i="15" s="1"/>
  <c r="X81" i="3"/>
  <c r="AI81" i="3" s="1"/>
  <c r="AJ26" i="15" s="1"/>
  <c r="X82" i="3"/>
  <c r="AI82" i="3" s="1"/>
  <c r="AJ33" i="15" s="1"/>
  <c r="X8" i="3"/>
  <c r="AI8" i="3" s="1"/>
  <c r="AJ39" i="15" s="1"/>
  <c r="W9" i="3"/>
  <c r="AH9" i="3" s="1"/>
  <c r="AI69" i="15" s="1"/>
  <c r="W10" i="3"/>
  <c r="AH10" i="3" s="1"/>
  <c r="AI42" i="15" s="1"/>
  <c r="W11" i="3"/>
  <c r="AH11" i="3" s="1"/>
  <c r="AI15" i="15" s="1"/>
  <c r="W12" i="3"/>
  <c r="W13" i="3"/>
  <c r="AH13" i="3" s="1"/>
  <c r="AI27" i="15" s="1"/>
  <c r="W14" i="3"/>
  <c r="AH14" i="3" s="1"/>
  <c r="AI71" i="15" s="1"/>
  <c r="W15" i="3"/>
  <c r="W16" i="3"/>
  <c r="AH16" i="3" s="1"/>
  <c r="AI16" i="15" s="1"/>
  <c r="W17" i="3"/>
  <c r="AH17" i="3" s="1"/>
  <c r="AI55" i="15" s="1"/>
  <c r="W18" i="3"/>
  <c r="AH18" i="3" s="1"/>
  <c r="AI7" i="15" s="1"/>
  <c r="W19" i="3"/>
  <c r="AH19" i="3" s="1"/>
  <c r="AI51" i="15" s="1"/>
  <c r="W20" i="3"/>
  <c r="AH20" i="3" s="1"/>
  <c r="AI40" i="15" s="1"/>
  <c r="W21" i="3"/>
  <c r="W22" i="3"/>
  <c r="AH22" i="3" s="1"/>
  <c r="AI50" i="15" s="1"/>
  <c r="W23" i="3"/>
  <c r="AH23" i="3" s="1"/>
  <c r="AI70" i="15" s="1"/>
  <c r="W24" i="3"/>
  <c r="AH24" i="3" s="1"/>
  <c r="AI25" i="15" s="1"/>
  <c r="W25" i="3"/>
  <c r="AH25" i="3" s="1"/>
  <c r="AI38" i="15" s="1"/>
  <c r="W26" i="3"/>
  <c r="AH26" i="3" s="1"/>
  <c r="AI14" i="15" s="1"/>
  <c r="W27" i="3"/>
  <c r="AH27" i="3" s="1"/>
  <c r="AI20" i="15" s="1"/>
  <c r="W28" i="3"/>
  <c r="AH28" i="3" s="1"/>
  <c r="AI72" i="15" s="1"/>
  <c r="W29" i="3"/>
  <c r="AH29" i="3" s="1"/>
  <c r="AI8" i="15" s="1"/>
  <c r="W30" i="3"/>
  <c r="AH30" i="3" s="1"/>
  <c r="AI3" i="15" s="1"/>
  <c r="W31" i="3"/>
  <c r="AH31" i="3" s="1"/>
  <c r="AI44" i="15" s="1"/>
  <c r="W32" i="3"/>
  <c r="AH32" i="3" s="1"/>
  <c r="AI34" i="15" s="1"/>
  <c r="W33" i="3"/>
  <c r="AH33" i="3" s="1"/>
  <c r="AI2" i="15" s="1"/>
  <c r="W34" i="3"/>
  <c r="AH34" i="3" s="1"/>
  <c r="AI74" i="15" s="1"/>
  <c r="W35" i="3"/>
  <c r="AH35" i="3" s="1"/>
  <c r="AI67" i="15" s="1"/>
  <c r="W36" i="3"/>
  <c r="AH36" i="3" s="1"/>
  <c r="AI5" i="15" s="1"/>
  <c r="W37" i="3"/>
  <c r="AH37" i="3" s="1"/>
  <c r="AI73" i="15" s="1"/>
  <c r="W38" i="3"/>
  <c r="AH38" i="3" s="1"/>
  <c r="AI11" i="15" s="1"/>
  <c r="W39" i="3"/>
  <c r="AH39" i="3" s="1"/>
  <c r="AI54" i="15" s="1"/>
  <c r="W40" i="3"/>
  <c r="AH40" i="3" s="1"/>
  <c r="AI68" i="15" s="1"/>
  <c r="W41" i="3"/>
  <c r="AH41" i="3" s="1"/>
  <c r="AI18" i="15" s="1"/>
  <c r="W42" i="3"/>
  <c r="AH42" i="3" s="1"/>
  <c r="AI28" i="15" s="1"/>
  <c r="W43" i="3"/>
  <c r="AH43" i="3" s="1"/>
  <c r="W44" i="3"/>
  <c r="AH44" i="3" s="1"/>
  <c r="AI76" i="15" s="1"/>
  <c r="W45" i="3"/>
  <c r="AH45" i="3" s="1"/>
  <c r="AI17" i="15" s="1"/>
  <c r="W46" i="3"/>
  <c r="AH46" i="3" s="1"/>
  <c r="AI36" i="15" s="1"/>
  <c r="W47" i="3"/>
  <c r="AH47" i="3" s="1"/>
  <c r="AI22" i="15" s="1"/>
  <c r="W48" i="3"/>
  <c r="AH48" i="3" s="1"/>
  <c r="AI23" i="15" s="1"/>
  <c r="W49" i="3"/>
  <c r="AH49" i="3" s="1"/>
  <c r="AI37" i="15" s="1"/>
  <c r="W50" i="3"/>
  <c r="AH50" i="3" s="1"/>
  <c r="AI19" i="15" s="1"/>
  <c r="W51" i="3"/>
  <c r="AH51" i="3" s="1"/>
  <c r="AI4" i="15" s="1"/>
  <c r="W52" i="3"/>
  <c r="AH52" i="3" s="1"/>
  <c r="AI45" i="15" s="1"/>
  <c r="W53" i="3"/>
  <c r="AH53" i="3" s="1"/>
  <c r="AI53" i="15" s="1"/>
  <c r="W54" i="3"/>
  <c r="AH54" i="3" s="1"/>
  <c r="AI60" i="15" s="1"/>
  <c r="W55" i="3"/>
  <c r="AH55" i="3" s="1"/>
  <c r="AI61" i="15" s="1"/>
  <c r="W56" i="3"/>
  <c r="AH56" i="3" s="1"/>
  <c r="AI47" i="15" s="1"/>
  <c r="W57" i="3"/>
  <c r="AH57" i="3" s="1"/>
  <c r="AI65" i="15" s="1"/>
  <c r="W58" i="3"/>
  <c r="AH58" i="3" s="1"/>
  <c r="AI56" i="15" s="1"/>
  <c r="W59" i="3"/>
  <c r="AH59" i="3" s="1"/>
  <c r="AI46" i="15" s="1"/>
  <c r="W60" i="3"/>
  <c r="W61" i="3"/>
  <c r="AH61" i="3" s="1"/>
  <c r="AI48" i="15" s="1"/>
  <c r="W62" i="3"/>
  <c r="AH62" i="3" s="1"/>
  <c r="AI62" i="15" s="1"/>
  <c r="W63" i="3"/>
  <c r="AH63" i="3" s="1"/>
  <c r="AI58" i="15" s="1"/>
  <c r="W64" i="3"/>
  <c r="AH64" i="3" s="1"/>
  <c r="AI9" i="15" s="1"/>
  <c r="W65" i="3"/>
  <c r="AH65" i="3" s="1"/>
  <c r="AI59" i="15" s="1"/>
  <c r="W66" i="3"/>
  <c r="AH66" i="3" s="1"/>
  <c r="AI57" i="15" s="1"/>
  <c r="W67" i="3"/>
  <c r="AH67" i="3" s="1"/>
  <c r="AI41" i="15" s="1"/>
  <c r="W68" i="3"/>
  <c r="AH68" i="3" s="1"/>
  <c r="AI52" i="15" s="1"/>
  <c r="W69" i="3"/>
  <c r="AH69" i="3" s="1"/>
  <c r="AI35" i="15" s="1"/>
  <c r="W70" i="3"/>
  <c r="AH70" i="3" s="1"/>
  <c r="AI24" i="15" s="1"/>
  <c r="W71" i="3"/>
  <c r="AH71" i="3" s="1"/>
  <c r="AI21" i="15" s="1"/>
  <c r="W72" i="3"/>
  <c r="AH72" i="3" s="1"/>
  <c r="AI32" i="15" s="1"/>
  <c r="W73" i="3"/>
  <c r="AH73" i="3" s="1"/>
  <c r="AI43" i="15" s="1"/>
  <c r="W74" i="3"/>
  <c r="AH74" i="3" s="1"/>
  <c r="AI29" i="15" s="1"/>
  <c r="W75" i="3"/>
  <c r="AH75" i="3" s="1"/>
  <c r="AI31" i="15" s="1"/>
  <c r="W76" i="3"/>
  <c r="W77" i="3"/>
  <c r="AH77" i="3" s="1"/>
  <c r="AI30" i="15" s="1"/>
  <c r="W78" i="3"/>
  <c r="AH78" i="3" s="1"/>
  <c r="AI6" i="15" s="1"/>
  <c r="W79" i="3"/>
  <c r="W80" i="3"/>
  <c r="AH80" i="3" s="1"/>
  <c r="AI13" i="15" s="1"/>
  <c r="W81" i="3"/>
  <c r="AH81" i="3" s="1"/>
  <c r="AI26" i="15" s="1"/>
  <c r="W82" i="3"/>
  <c r="AH82" i="3" s="1"/>
  <c r="AI33" i="15" s="1"/>
  <c r="W8" i="3"/>
  <c r="AH8" i="3" s="1"/>
  <c r="AI39" i="15" s="1"/>
  <c r="AC2" i="15" l="1"/>
  <c r="AA2" i="15"/>
  <c r="AB2" i="15"/>
  <c r="AK75" i="15"/>
  <c r="AI75" i="15"/>
  <c r="AH75" i="15"/>
  <c r="AJ75" i="15"/>
  <c r="H5" i="27"/>
  <c r="G5" i="27"/>
  <c r="F5" i="27"/>
  <c r="E5" i="27"/>
  <c r="H4" i="27"/>
  <c r="G4" i="27"/>
  <c r="F4" i="27"/>
  <c r="E4" i="27"/>
  <c r="H3" i="27"/>
  <c r="G3" i="27"/>
  <c r="F3" i="27"/>
  <c r="E3" i="27"/>
  <c r="H2" i="27"/>
  <c r="P82" i="27" s="1"/>
  <c r="G2" i="27"/>
  <c r="F2" i="27"/>
  <c r="E2" i="27"/>
  <c r="M33" i="27" s="1"/>
  <c r="H1" i="27"/>
  <c r="G1" i="27"/>
  <c r="F1" i="27"/>
  <c r="E1" i="27"/>
  <c r="M15" i="27" l="1"/>
  <c r="M30" i="27"/>
  <c r="M10" i="27"/>
  <c r="M22" i="27"/>
  <c r="M13" i="27"/>
  <c r="M26" i="27"/>
  <c r="M18" i="27"/>
  <c r="M34" i="27"/>
  <c r="M9" i="27"/>
  <c r="M21" i="27"/>
  <c r="M29" i="27"/>
  <c r="M37" i="27"/>
  <c r="N83" i="27"/>
  <c r="M11" i="27"/>
  <c r="M14" i="27"/>
  <c r="M17" i="27"/>
  <c r="M25" i="27"/>
  <c r="O78" i="27"/>
  <c r="O72" i="27"/>
  <c r="O70" i="27"/>
  <c r="O66" i="27"/>
  <c r="O62" i="27"/>
  <c r="O82" i="27"/>
  <c r="O80" i="27"/>
  <c r="O76" i="27"/>
  <c r="O74" i="27"/>
  <c r="O68" i="27"/>
  <c r="O64" i="27"/>
  <c r="O83" i="27"/>
  <c r="O81" i="27"/>
  <c r="O79" i="27"/>
  <c r="O77" i="27"/>
  <c r="O73" i="27"/>
  <c r="O69" i="27"/>
  <c r="O65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5" i="27"/>
  <c r="M79" i="27"/>
  <c r="M71" i="27"/>
  <c r="M67" i="27"/>
  <c r="M63" i="27"/>
  <c r="M83" i="27"/>
  <c r="M81" i="27"/>
  <c r="M77" i="27"/>
  <c r="M75" i="27"/>
  <c r="M73" i="27"/>
  <c r="M69" i="27"/>
  <c r="M65" i="27"/>
  <c r="M82" i="27"/>
  <c r="M80" i="27"/>
  <c r="M78" i="27"/>
  <c r="M76" i="27"/>
  <c r="M72" i="27"/>
  <c r="M68" i="27"/>
  <c r="M64" i="27"/>
  <c r="M74" i="27"/>
  <c r="M70" i="27"/>
  <c r="M66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8" i="27"/>
  <c r="M12" i="27"/>
  <c r="M16" i="27"/>
  <c r="M20" i="27"/>
  <c r="M24" i="27"/>
  <c r="M28" i="27"/>
  <c r="M32" i="27"/>
  <c r="M36" i="27"/>
  <c r="O63" i="27"/>
  <c r="O71" i="27"/>
  <c r="M19" i="27"/>
  <c r="M23" i="27"/>
  <c r="M27" i="27"/>
  <c r="M31" i="27"/>
  <c r="M35" i="27"/>
  <c r="O67" i="27"/>
  <c r="N8" i="27"/>
  <c r="P9" i="27"/>
  <c r="N10" i="27"/>
  <c r="P11" i="27"/>
  <c r="N12" i="27"/>
  <c r="P13" i="27"/>
  <c r="N14" i="27"/>
  <c r="P15" i="27"/>
  <c r="N16" i="27"/>
  <c r="P17" i="27"/>
  <c r="N18" i="27"/>
  <c r="P19" i="27"/>
  <c r="N20" i="27"/>
  <c r="P21" i="27"/>
  <c r="N22" i="27"/>
  <c r="P23" i="27"/>
  <c r="N24" i="27"/>
  <c r="P25" i="27"/>
  <c r="N26" i="27"/>
  <c r="P27" i="27"/>
  <c r="N28" i="27"/>
  <c r="P29" i="27"/>
  <c r="N30" i="27"/>
  <c r="P31" i="27"/>
  <c r="N32" i="27"/>
  <c r="P33" i="27"/>
  <c r="N34" i="27"/>
  <c r="P35" i="27"/>
  <c r="N36" i="27"/>
  <c r="P37" i="27"/>
  <c r="N38" i="27"/>
  <c r="P39" i="27"/>
  <c r="N40" i="27"/>
  <c r="P41" i="27"/>
  <c r="N42" i="27"/>
  <c r="P43" i="27"/>
  <c r="N44" i="27"/>
  <c r="P45" i="27"/>
  <c r="N46" i="27"/>
  <c r="P47" i="27"/>
  <c r="N48" i="27"/>
  <c r="P49" i="27"/>
  <c r="N50" i="27"/>
  <c r="P51" i="27"/>
  <c r="N52" i="27"/>
  <c r="P53" i="27"/>
  <c r="N54" i="27"/>
  <c r="P55" i="27"/>
  <c r="N56" i="27"/>
  <c r="P57" i="27"/>
  <c r="N58" i="27"/>
  <c r="P59" i="27"/>
  <c r="N60" i="27"/>
  <c r="P61" i="27"/>
  <c r="N62" i="27"/>
  <c r="P63" i="27"/>
  <c r="N64" i="27"/>
  <c r="P65" i="27"/>
  <c r="N66" i="27"/>
  <c r="P67" i="27"/>
  <c r="N68" i="27"/>
  <c r="P69" i="27"/>
  <c r="N70" i="27"/>
  <c r="P71" i="27"/>
  <c r="N72" i="27"/>
  <c r="P73" i="27"/>
  <c r="N74" i="27"/>
  <c r="P75" i="27"/>
  <c r="N76" i="27"/>
  <c r="P77" i="27"/>
  <c r="N78" i="27"/>
  <c r="P79" i="27"/>
  <c r="N80" i="27"/>
  <c r="P81" i="27"/>
  <c r="N82" i="27"/>
  <c r="P83" i="27"/>
  <c r="P8" i="27"/>
  <c r="N9" i="27"/>
  <c r="P10" i="27"/>
  <c r="N11" i="27"/>
  <c r="P12" i="27"/>
  <c r="N13" i="27"/>
  <c r="P14" i="27"/>
  <c r="N15" i="27"/>
  <c r="P16" i="27"/>
  <c r="N17" i="27"/>
  <c r="P18" i="27"/>
  <c r="N19" i="27"/>
  <c r="P20" i="27"/>
  <c r="N21" i="27"/>
  <c r="P22" i="27"/>
  <c r="N23" i="27"/>
  <c r="P24" i="27"/>
  <c r="N25" i="27"/>
  <c r="P26" i="27"/>
  <c r="N27" i="27"/>
  <c r="P28" i="27"/>
  <c r="N29" i="27"/>
  <c r="P30" i="27"/>
  <c r="N31" i="27"/>
  <c r="P32" i="27"/>
  <c r="N33" i="27"/>
  <c r="P34" i="27"/>
  <c r="N35" i="27"/>
  <c r="P36" i="27"/>
  <c r="N37" i="27"/>
  <c r="P38" i="27"/>
  <c r="N39" i="27"/>
  <c r="P40" i="27"/>
  <c r="N41" i="27"/>
  <c r="P42" i="27"/>
  <c r="N43" i="27"/>
  <c r="P44" i="27"/>
  <c r="N45" i="27"/>
  <c r="P46" i="27"/>
  <c r="N47" i="27"/>
  <c r="P48" i="27"/>
  <c r="N49" i="27"/>
  <c r="P50" i="27"/>
  <c r="N51" i="27"/>
  <c r="P52" i="27"/>
  <c r="N53" i="27"/>
  <c r="P54" i="27"/>
  <c r="N55" i="27"/>
  <c r="P56" i="27"/>
  <c r="N57" i="27"/>
  <c r="P58" i="27"/>
  <c r="N59" i="27"/>
  <c r="P60" i="27"/>
  <c r="N61" i="27"/>
  <c r="P62" i="27"/>
  <c r="N63" i="27"/>
  <c r="P64" i="27"/>
  <c r="N65" i="27"/>
  <c r="P66" i="27"/>
  <c r="N67" i="27"/>
  <c r="P68" i="27"/>
  <c r="N69" i="27"/>
  <c r="P70" i="27"/>
  <c r="N71" i="27"/>
  <c r="P72" i="27"/>
  <c r="N73" i="27"/>
  <c r="P74" i="27"/>
  <c r="N75" i="27"/>
  <c r="P76" i="27"/>
  <c r="N77" i="27"/>
  <c r="P78" i="27"/>
  <c r="N79" i="27"/>
  <c r="P80" i="27"/>
  <c r="N81" i="27"/>
  <c r="P9" i="3" l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" i="3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2" i="2"/>
  <c r="J3" i="9" l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2" i="9"/>
  <c r="T9" i="11" l="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" i="11"/>
  <c r="K9" i="11" l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" i="11"/>
  <c r="R55" i="23" l="1"/>
  <c r="AC3" i="10" l="1"/>
  <c r="AC7" i="10"/>
  <c r="AC11" i="10"/>
  <c r="AC15" i="10"/>
  <c r="AC19" i="10"/>
  <c r="AC23" i="10"/>
  <c r="AC27" i="10"/>
  <c r="AC31" i="10"/>
  <c r="AC35" i="10"/>
  <c r="AC39" i="10"/>
  <c r="AC43" i="10"/>
  <c r="AC47" i="10"/>
  <c r="AC51" i="10"/>
  <c r="AC55" i="10"/>
  <c r="AC59" i="10"/>
  <c r="AC63" i="10"/>
  <c r="AC67" i="10"/>
  <c r="AC71" i="10"/>
  <c r="AC75" i="10"/>
  <c r="AC79" i="10"/>
  <c r="AC83" i="10"/>
  <c r="AC87" i="10"/>
  <c r="AC91" i="10"/>
  <c r="AC95" i="10"/>
  <c r="AC99" i="10"/>
  <c r="AC2" i="10"/>
  <c r="AB6" i="10"/>
  <c r="AB10" i="10"/>
  <c r="AB14" i="10"/>
  <c r="AB18" i="10"/>
  <c r="AB22" i="10"/>
  <c r="AB26" i="10"/>
  <c r="AB30" i="10"/>
  <c r="AB34" i="10"/>
  <c r="AB38" i="10"/>
  <c r="AB42" i="10"/>
  <c r="AB46" i="10"/>
  <c r="AB50" i="10"/>
  <c r="AB54" i="10"/>
  <c r="AB58" i="10"/>
  <c r="AB62" i="10"/>
  <c r="AB66" i="10"/>
  <c r="AB70" i="10"/>
  <c r="AB74" i="10"/>
  <c r="AB78" i="10"/>
  <c r="AB82" i="10"/>
  <c r="AB86" i="10"/>
  <c r="AB90" i="10"/>
  <c r="AB94" i="10"/>
  <c r="AB98" i="10"/>
  <c r="AB102" i="10"/>
  <c r="AA5" i="10"/>
  <c r="AA9" i="10"/>
  <c r="AA13" i="10"/>
  <c r="AA17" i="10"/>
  <c r="AA21" i="10"/>
  <c r="AA25" i="10"/>
  <c r="AA29" i="10"/>
  <c r="AA33" i="10"/>
  <c r="AA37" i="10"/>
  <c r="AA41" i="10"/>
  <c r="AA45" i="10"/>
  <c r="AA49" i="10"/>
  <c r="AA53" i="10"/>
  <c r="AA57" i="10"/>
  <c r="AA61" i="10"/>
  <c r="AA65" i="10"/>
  <c r="AA69" i="10"/>
  <c r="AA73" i="10"/>
  <c r="AA77" i="10"/>
  <c r="AA81" i="10"/>
  <c r="AA85" i="10"/>
  <c r="AA89" i="10"/>
  <c r="AA93" i="10"/>
  <c r="AA97" i="10"/>
  <c r="AA101" i="10"/>
  <c r="Z4" i="10"/>
  <c r="Z8" i="10"/>
  <c r="Z12" i="10"/>
  <c r="Z16" i="10"/>
  <c r="Z20" i="10"/>
  <c r="Z24" i="10"/>
  <c r="Z28" i="10"/>
  <c r="Z32" i="10"/>
  <c r="Z36" i="10"/>
  <c r="AC4" i="10"/>
  <c r="AC8" i="10"/>
  <c r="AC12" i="10"/>
  <c r="AC16" i="10"/>
  <c r="AC20" i="10"/>
  <c r="AC24" i="10"/>
  <c r="AC28" i="10"/>
  <c r="AC32" i="10"/>
  <c r="AC36" i="10"/>
  <c r="AC40" i="10"/>
  <c r="AC44" i="10"/>
  <c r="AC48" i="10"/>
  <c r="AC52" i="10"/>
  <c r="AC56" i="10"/>
  <c r="AC60" i="10"/>
  <c r="AC64" i="10"/>
  <c r="AC68" i="10"/>
  <c r="AC72" i="10"/>
  <c r="AC76" i="10"/>
  <c r="AC80" i="10"/>
  <c r="AC84" i="10"/>
  <c r="AC88" i="10"/>
  <c r="AC92" i="10"/>
  <c r="AC96" i="10"/>
  <c r="AC100" i="10"/>
  <c r="AB3" i="10"/>
  <c r="AB7" i="10"/>
  <c r="AB11" i="10"/>
  <c r="AB15" i="10"/>
  <c r="AB19" i="10"/>
  <c r="AB23" i="10"/>
  <c r="AB27" i="10"/>
  <c r="AB31" i="10"/>
  <c r="AB35" i="10"/>
  <c r="AB39" i="10"/>
  <c r="AB43" i="10"/>
  <c r="AB47" i="10"/>
  <c r="AB51" i="10"/>
  <c r="AB55" i="10"/>
  <c r="AB59" i="10"/>
  <c r="AB63" i="10"/>
  <c r="AB67" i="10"/>
  <c r="AB71" i="10"/>
  <c r="AB75" i="10"/>
  <c r="AB79" i="10"/>
  <c r="AB83" i="10"/>
  <c r="AB87" i="10"/>
  <c r="AB91" i="10"/>
  <c r="AB95" i="10"/>
  <c r="AB99" i="10"/>
  <c r="AB2" i="10"/>
  <c r="AA6" i="10"/>
  <c r="AA10" i="10"/>
  <c r="AA14" i="10"/>
  <c r="AA18" i="10"/>
  <c r="AA22" i="10"/>
  <c r="AA26" i="10"/>
  <c r="AA30" i="10"/>
  <c r="AA34" i="10"/>
  <c r="AA38" i="10"/>
  <c r="AA42" i="10"/>
  <c r="AA46" i="10"/>
  <c r="AA50" i="10"/>
  <c r="AA54" i="10"/>
  <c r="AA58" i="10"/>
  <c r="AA62" i="10"/>
  <c r="AA66" i="10"/>
  <c r="AA70" i="10"/>
  <c r="AA74" i="10"/>
  <c r="AA78" i="10"/>
  <c r="AA82" i="10"/>
  <c r="AA86" i="10"/>
  <c r="AA90" i="10"/>
  <c r="AA94" i="10"/>
  <c r="AA98" i="10"/>
  <c r="AA102" i="10"/>
  <c r="Z5" i="10"/>
  <c r="Z9" i="10"/>
  <c r="Z13" i="10"/>
  <c r="Z17" i="10"/>
  <c r="Z21" i="10"/>
  <c r="Z25" i="10"/>
  <c r="Z29" i="10"/>
  <c r="AC5" i="10"/>
  <c r="AC9" i="10"/>
  <c r="AC13" i="10"/>
  <c r="AC17" i="10"/>
  <c r="AC21" i="10"/>
  <c r="AC25" i="10"/>
  <c r="AC29" i="10"/>
  <c r="AC33" i="10"/>
  <c r="AC37" i="10"/>
  <c r="AC41" i="10"/>
  <c r="AC45" i="10"/>
  <c r="AC49" i="10"/>
  <c r="AC53" i="10"/>
  <c r="AC57" i="10"/>
  <c r="AC61" i="10"/>
  <c r="AC65" i="10"/>
  <c r="AC69" i="10"/>
  <c r="AC73" i="10"/>
  <c r="AC77" i="10"/>
  <c r="AC81" i="10"/>
  <c r="AC85" i="10"/>
  <c r="AC89" i="10"/>
  <c r="AC93" i="10"/>
  <c r="AC97" i="10"/>
  <c r="AC101" i="10"/>
  <c r="AB4" i="10"/>
  <c r="AB8" i="10"/>
  <c r="AB12" i="10"/>
  <c r="AB16" i="10"/>
  <c r="AB20" i="10"/>
  <c r="AB24" i="10"/>
  <c r="AB28" i="10"/>
  <c r="AB32" i="10"/>
  <c r="AB36" i="10"/>
  <c r="AB40" i="10"/>
  <c r="AB44" i="10"/>
  <c r="AB48" i="10"/>
  <c r="AB52" i="10"/>
  <c r="AB56" i="10"/>
  <c r="AB60" i="10"/>
  <c r="AB64" i="10"/>
  <c r="AB68" i="10"/>
  <c r="AB72" i="10"/>
  <c r="AB76" i="10"/>
  <c r="AB80" i="10"/>
  <c r="AB84" i="10"/>
  <c r="AB88" i="10"/>
  <c r="AB92" i="10"/>
  <c r="AB96" i="10"/>
  <c r="AB100" i="10"/>
  <c r="AA3" i="10"/>
  <c r="AA7" i="10"/>
  <c r="AA11" i="10"/>
  <c r="AA15" i="10"/>
  <c r="AA19" i="10"/>
  <c r="AA23" i="10"/>
  <c r="AA27" i="10"/>
  <c r="AA31" i="10"/>
  <c r="AA35" i="10"/>
  <c r="AA39" i="10"/>
  <c r="AA43" i="10"/>
  <c r="AA47" i="10"/>
  <c r="AA51" i="10"/>
  <c r="AA55" i="10"/>
  <c r="AA59" i="10"/>
  <c r="AA63" i="10"/>
  <c r="AA67" i="10"/>
  <c r="AA71" i="10"/>
  <c r="AA75" i="10"/>
  <c r="AA79" i="10"/>
  <c r="AA83" i="10"/>
  <c r="AA87" i="10"/>
  <c r="AA91" i="10"/>
  <c r="AA95" i="10"/>
  <c r="AA99" i="10"/>
  <c r="AA2" i="10"/>
  <c r="Z6" i="10"/>
  <c r="Z10" i="10"/>
  <c r="Z14" i="10"/>
  <c r="Z18" i="10"/>
  <c r="Z22" i="10"/>
  <c r="Z26" i="10"/>
  <c r="Z30" i="10"/>
  <c r="Z34" i="10"/>
  <c r="Z38" i="10"/>
  <c r="AC6" i="10"/>
  <c r="AC22" i="10"/>
  <c r="AC38" i="10"/>
  <c r="AC54" i="10"/>
  <c r="AC70" i="10"/>
  <c r="AC86" i="10"/>
  <c r="AC102" i="10"/>
  <c r="AB17" i="10"/>
  <c r="AB33" i="10"/>
  <c r="AB49" i="10"/>
  <c r="AB65" i="10"/>
  <c r="AB81" i="10"/>
  <c r="AB97" i="10"/>
  <c r="AA12" i="10"/>
  <c r="AA28" i="10"/>
  <c r="AA44" i="10"/>
  <c r="AA60" i="10"/>
  <c r="AA76" i="10"/>
  <c r="AA92" i="10"/>
  <c r="Z7" i="10"/>
  <c r="Z23" i="10"/>
  <c r="Z35" i="10"/>
  <c r="Z41" i="10"/>
  <c r="Z45" i="10"/>
  <c r="Z49" i="10"/>
  <c r="Z53" i="10"/>
  <c r="Z57" i="10"/>
  <c r="Z61" i="10"/>
  <c r="Z65" i="10"/>
  <c r="Z69" i="10"/>
  <c r="Z73" i="10"/>
  <c r="Z77" i="10"/>
  <c r="Z81" i="10"/>
  <c r="Z85" i="10"/>
  <c r="Z89" i="10"/>
  <c r="Z93" i="10"/>
  <c r="Z97" i="10"/>
  <c r="Z101" i="10"/>
  <c r="AC34" i="10"/>
  <c r="AC66" i="10"/>
  <c r="AC98" i="10"/>
  <c r="AB29" i="10"/>
  <c r="AB77" i="10"/>
  <c r="AA40" i="10"/>
  <c r="AA88" i="10"/>
  <c r="Z33" i="10"/>
  <c r="Z48" i="10"/>
  <c r="Z60" i="10"/>
  <c r="Z72" i="10"/>
  <c r="Z88" i="10"/>
  <c r="Z96" i="10"/>
  <c r="AC10" i="10"/>
  <c r="AC26" i="10"/>
  <c r="AC42" i="10"/>
  <c r="AC58" i="10"/>
  <c r="AC74" i="10"/>
  <c r="AC90" i="10"/>
  <c r="AB5" i="10"/>
  <c r="AB21" i="10"/>
  <c r="AB37" i="10"/>
  <c r="AB53" i="10"/>
  <c r="AB69" i="10"/>
  <c r="AB85" i="10"/>
  <c r="AB101" i="10"/>
  <c r="AA16" i="10"/>
  <c r="AA32" i="10"/>
  <c r="AA48" i="10"/>
  <c r="AA64" i="10"/>
  <c r="AA80" i="10"/>
  <c r="AA96" i="10"/>
  <c r="Z11" i="10"/>
  <c r="Z27" i="10"/>
  <c r="Z37" i="10"/>
  <c r="Z42" i="10"/>
  <c r="Z46" i="10"/>
  <c r="Z50" i="10"/>
  <c r="Z54" i="10"/>
  <c r="Z58" i="10"/>
  <c r="Z62" i="10"/>
  <c r="Z66" i="10"/>
  <c r="Z70" i="10"/>
  <c r="Z74" i="10"/>
  <c r="Z78" i="10"/>
  <c r="Z82" i="10"/>
  <c r="Z86" i="10"/>
  <c r="Z90" i="10"/>
  <c r="Z94" i="10"/>
  <c r="Z98" i="10"/>
  <c r="Z102" i="10"/>
  <c r="AC50" i="10"/>
  <c r="AB61" i="10"/>
  <c r="AA8" i="10"/>
  <c r="AA72" i="10"/>
  <c r="Z19" i="10"/>
  <c r="Z44" i="10"/>
  <c r="Z56" i="10"/>
  <c r="Z68" i="10"/>
  <c r="Z80" i="10"/>
  <c r="Z92" i="10"/>
  <c r="AC14" i="10"/>
  <c r="AC30" i="10"/>
  <c r="AC46" i="10"/>
  <c r="AC62" i="10"/>
  <c r="AC78" i="10"/>
  <c r="AC94" i="10"/>
  <c r="AB9" i="10"/>
  <c r="AB25" i="10"/>
  <c r="AB41" i="10"/>
  <c r="AB57" i="10"/>
  <c r="AB73" i="10"/>
  <c r="AB89" i="10"/>
  <c r="AA4" i="10"/>
  <c r="AA20" i="10"/>
  <c r="AA36" i="10"/>
  <c r="AA52" i="10"/>
  <c r="AA68" i="10"/>
  <c r="AA84" i="10"/>
  <c r="AA100" i="10"/>
  <c r="Z15" i="10"/>
  <c r="Z31" i="10"/>
  <c r="Z39" i="10"/>
  <c r="Z43" i="10"/>
  <c r="Z47" i="10"/>
  <c r="Z51" i="10"/>
  <c r="Z55" i="10"/>
  <c r="Z59" i="10"/>
  <c r="Z63" i="10"/>
  <c r="Z67" i="10"/>
  <c r="Z71" i="10"/>
  <c r="Z75" i="10"/>
  <c r="Z79" i="10"/>
  <c r="Z83" i="10"/>
  <c r="Z87" i="10"/>
  <c r="Z91" i="10"/>
  <c r="Z95" i="10"/>
  <c r="Z99" i="10"/>
  <c r="Z2" i="10"/>
  <c r="AC18" i="10"/>
  <c r="AC82" i="10"/>
  <c r="AB13" i="10"/>
  <c r="AB45" i="10"/>
  <c r="AB93" i="10"/>
  <c r="AA24" i="10"/>
  <c r="AA56" i="10"/>
  <c r="Z3" i="10"/>
  <c r="Z40" i="10"/>
  <c r="Z52" i="10"/>
  <c r="Z64" i="10"/>
  <c r="Z76" i="10"/>
  <c r="Z84" i="10"/>
  <c r="Z100" i="10"/>
  <c r="Q4" i="25"/>
  <c r="AK10" i="11" l="1"/>
  <c r="AK14" i="11"/>
  <c r="AK18" i="11"/>
  <c r="AK22" i="11"/>
  <c r="AK26" i="11"/>
  <c r="AK30" i="11"/>
  <c r="AK34" i="11"/>
  <c r="AK38" i="11"/>
  <c r="AK42" i="11"/>
  <c r="AK46" i="11"/>
  <c r="AK50" i="11"/>
  <c r="AK54" i="11"/>
  <c r="AK58" i="11"/>
  <c r="AK62" i="11"/>
  <c r="AK66" i="11"/>
  <c r="AK70" i="11"/>
  <c r="AK74" i="11"/>
  <c r="AK78" i="11"/>
  <c r="AK82" i="11"/>
  <c r="AK12" i="11"/>
  <c r="AK24" i="11"/>
  <c r="AK32" i="11"/>
  <c r="AK40" i="11"/>
  <c r="AK48" i="11"/>
  <c r="AK56" i="11"/>
  <c r="AK60" i="11"/>
  <c r="AK72" i="11"/>
  <c r="AK80" i="11"/>
  <c r="AK13" i="11"/>
  <c r="AK21" i="11"/>
  <c r="AK29" i="11"/>
  <c r="AK37" i="11"/>
  <c r="AK45" i="11"/>
  <c r="AK57" i="11"/>
  <c r="AK65" i="11"/>
  <c r="AK73" i="11"/>
  <c r="AK77" i="11"/>
  <c r="AK11" i="11"/>
  <c r="AK15" i="11"/>
  <c r="AK19" i="11"/>
  <c r="AK23" i="11"/>
  <c r="AK27" i="11"/>
  <c r="AK31" i="11"/>
  <c r="AK35" i="11"/>
  <c r="AK39" i="11"/>
  <c r="AK43" i="11"/>
  <c r="AK47" i="11"/>
  <c r="AK51" i="11"/>
  <c r="AK55" i="11"/>
  <c r="AK59" i="11"/>
  <c r="AK63" i="11"/>
  <c r="AK67" i="11"/>
  <c r="AK71" i="11"/>
  <c r="AK75" i="11"/>
  <c r="AK79" i="11"/>
  <c r="AK8" i="11"/>
  <c r="AK16" i="11"/>
  <c r="AK20" i="11"/>
  <c r="AK28" i="11"/>
  <c r="AK36" i="11"/>
  <c r="AK44" i="11"/>
  <c r="AK52" i="11"/>
  <c r="AK64" i="11"/>
  <c r="AK68" i="11"/>
  <c r="AK76" i="11"/>
  <c r="AK9" i="11"/>
  <c r="AK17" i="11"/>
  <c r="AK25" i="11"/>
  <c r="AK33" i="11"/>
  <c r="AK41" i="11"/>
  <c r="AK49" i="11"/>
  <c r="AK53" i="11"/>
  <c r="AK61" i="11"/>
  <c r="AK69" i="11"/>
  <c r="AK81" i="11"/>
  <c r="AC9" i="11"/>
  <c r="AC13" i="11"/>
  <c r="AC17" i="11"/>
  <c r="AC21" i="11"/>
  <c r="AC25" i="11"/>
  <c r="AC29" i="11"/>
  <c r="AC33" i="11"/>
  <c r="AC37" i="11"/>
  <c r="AC41" i="11"/>
  <c r="AC45" i="11"/>
  <c r="AC49" i="11"/>
  <c r="AC53" i="11"/>
  <c r="AC57" i="11"/>
  <c r="AC61" i="11"/>
  <c r="AC65" i="11"/>
  <c r="AC69" i="11"/>
  <c r="AC73" i="11"/>
  <c r="AC77" i="11"/>
  <c r="AC81" i="11"/>
  <c r="AC20" i="11"/>
  <c r="AC72" i="11"/>
  <c r="AC10" i="11"/>
  <c r="AC14" i="11"/>
  <c r="AC18" i="11"/>
  <c r="AC22" i="11"/>
  <c r="AC26" i="11"/>
  <c r="AC30" i="11"/>
  <c r="AC34" i="11"/>
  <c r="AC38" i="11"/>
  <c r="AC42" i="11"/>
  <c r="AC46" i="11"/>
  <c r="AC50" i="11"/>
  <c r="AC54" i="11"/>
  <c r="AC58" i="11"/>
  <c r="AC62" i="11"/>
  <c r="AC66" i="11"/>
  <c r="AC70" i="11"/>
  <c r="AC74" i="11"/>
  <c r="AC78" i="11"/>
  <c r="AC82" i="11"/>
  <c r="AC16" i="11"/>
  <c r="AC24" i="11"/>
  <c r="AC32" i="11"/>
  <c r="AC40" i="11"/>
  <c r="AC48" i="11"/>
  <c r="AC56" i="11"/>
  <c r="AC64" i="11"/>
  <c r="AC76" i="11"/>
  <c r="AC11" i="11"/>
  <c r="AC15" i="11"/>
  <c r="AC19" i="11"/>
  <c r="AC23" i="11"/>
  <c r="AC27" i="11"/>
  <c r="AC31" i="11"/>
  <c r="AC35" i="11"/>
  <c r="AC39" i="11"/>
  <c r="AC43" i="11"/>
  <c r="AC47" i="11"/>
  <c r="AC51" i="11"/>
  <c r="AC55" i="11"/>
  <c r="AC59" i="11"/>
  <c r="AC63" i="11"/>
  <c r="AC67" i="11"/>
  <c r="AC71" i="11"/>
  <c r="AC75" i="11"/>
  <c r="AC79" i="11"/>
  <c r="AC8" i="11"/>
  <c r="AC12" i="11"/>
  <c r="AC28" i="11"/>
  <c r="AC36" i="11"/>
  <c r="AC44" i="11"/>
  <c r="AC52" i="11"/>
  <c r="AC60" i="11"/>
  <c r="AC68" i="11"/>
  <c r="AC80" i="11"/>
  <c r="AA9" i="11"/>
  <c r="AA13" i="11"/>
  <c r="AA17" i="11"/>
  <c r="AA21" i="11"/>
  <c r="AA25" i="11"/>
  <c r="AA29" i="11"/>
  <c r="AA33" i="11"/>
  <c r="AA37" i="11"/>
  <c r="AA41" i="11"/>
  <c r="AA45" i="11"/>
  <c r="AA49" i="11"/>
  <c r="AA53" i="11"/>
  <c r="AA57" i="11"/>
  <c r="AA61" i="11"/>
  <c r="AA65" i="11"/>
  <c r="AA69" i="11"/>
  <c r="AA73" i="11"/>
  <c r="AA77" i="11"/>
  <c r="AA81" i="11"/>
  <c r="AA10" i="11"/>
  <c r="AA14" i="11"/>
  <c r="AA18" i="11"/>
  <c r="AA22" i="11"/>
  <c r="AA26" i="11"/>
  <c r="AA30" i="11"/>
  <c r="AA34" i="11"/>
  <c r="AA38" i="11"/>
  <c r="AA42" i="11"/>
  <c r="AA46" i="11"/>
  <c r="AA50" i="11"/>
  <c r="AA54" i="11"/>
  <c r="AA58" i="11"/>
  <c r="AA62" i="11"/>
  <c r="AA66" i="11"/>
  <c r="AA70" i="11"/>
  <c r="AA74" i="11"/>
  <c r="AA78" i="11"/>
  <c r="AA82" i="11"/>
  <c r="AA11" i="11"/>
  <c r="AA15" i="11"/>
  <c r="AA19" i="11"/>
  <c r="AA23" i="11"/>
  <c r="AA27" i="11"/>
  <c r="AA31" i="11"/>
  <c r="AA35" i="11"/>
  <c r="AA39" i="11"/>
  <c r="AA43" i="11"/>
  <c r="AA47" i="11"/>
  <c r="AA51" i="11"/>
  <c r="AA55" i="11"/>
  <c r="AA59" i="11"/>
  <c r="AA63" i="11"/>
  <c r="AA67" i="11"/>
  <c r="AA71" i="11"/>
  <c r="AA75" i="11"/>
  <c r="AA79" i="11"/>
  <c r="AA8" i="11"/>
  <c r="AA2" i="25" s="1"/>
  <c r="AA12" i="11"/>
  <c r="AA16" i="11"/>
  <c r="AA20" i="11"/>
  <c r="AA24" i="11"/>
  <c r="AA28" i="11"/>
  <c r="AA32" i="11"/>
  <c r="AA36" i="11"/>
  <c r="AA40" i="11"/>
  <c r="AA44" i="11"/>
  <c r="AA48" i="11"/>
  <c r="AA52" i="11"/>
  <c r="AA56" i="11"/>
  <c r="AA60" i="11"/>
  <c r="AA64" i="11"/>
  <c r="AA68" i="11"/>
  <c r="AA72" i="11"/>
  <c r="AA76" i="11"/>
  <c r="AA80" i="11"/>
  <c r="AC2" i="25"/>
  <c r="AB12" i="11"/>
  <c r="AB16" i="11"/>
  <c r="AB20" i="11"/>
  <c r="AB24" i="11"/>
  <c r="AB28" i="11"/>
  <c r="AB32" i="11"/>
  <c r="AB36" i="11"/>
  <c r="AB40" i="11"/>
  <c r="AB44" i="11"/>
  <c r="AB48" i="11"/>
  <c r="AB52" i="11"/>
  <c r="AB56" i="11"/>
  <c r="AB60" i="11"/>
  <c r="AB64" i="11"/>
  <c r="AB68" i="11"/>
  <c r="AB72" i="11"/>
  <c r="AB76" i="11"/>
  <c r="AB80" i="11"/>
  <c r="AB9" i="11"/>
  <c r="AB13" i="11"/>
  <c r="AB17" i="11"/>
  <c r="AB21" i="11"/>
  <c r="AB25" i="11"/>
  <c r="AB29" i="11"/>
  <c r="AB33" i="11"/>
  <c r="AB37" i="11"/>
  <c r="AB41" i="11"/>
  <c r="AB45" i="11"/>
  <c r="AB49" i="11"/>
  <c r="AB53" i="11"/>
  <c r="AB57" i="11"/>
  <c r="AB61" i="11"/>
  <c r="AB65" i="11"/>
  <c r="AB69" i="11"/>
  <c r="AB73" i="11"/>
  <c r="AB77" i="11"/>
  <c r="AB81" i="11"/>
  <c r="AB15" i="11"/>
  <c r="AB23" i="11"/>
  <c r="AB31" i="11"/>
  <c r="AB39" i="11"/>
  <c r="AB47" i="11"/>
  <c r="AB55" i="11"/>
  <c r="AB63" i="11"/>
  <c r="AB71" i="11"/>
  <c r="AB79" i="11"/>
  <c r="AB10" i="11"/>
  <c r="AB18" i="11"/>
  <c r="AB26" i="11"/>
  <c r="AB34" i="11"/>
  <c r="AB42" i="11"/>
  <c r="AB50" i="11"/>
  <c r="AB58" i="11"/>
  <c r="AB66" i="11"/>
  <c r="AB74" i="11"/>
  <c r="AB82" i="11"/>
  <c r="AB11" i="11"/>
  <c r="AB19" i="11"/>
  <c r="AB27" i="11"/>
  <c r="AB35" i="11"/>
  <c r="AB43" i="11"/>
  <c r="AB51" i="11"/>
  <c r="AB59" i="11"/>
  <c r="AB67" i="11"/>
  <c r="AB75" i="11"/>
  <c r="AB8" i="11"/>
  <c r="AB2" i="25" s="1"/>
  <c r="AB14" i="11"/>
  <c r="AB22" i="11"/>
  <c r="AB30" i="11"/>
  <c r="AB38" i="11"/>
  <c r="AB46" i="11"/>
  <c r="AB54" i="11"/>
  <c r="AB62" i="11"/>
  <c r="AB70" i="11"/>
  <c r="AB78" i="11"/>
  <c r="Z12" i="11"/>
  <c r="Z16" i="11"/>
  <c r="Z20" i="11"/>
  <c r="Z24" i="11"/>
  <c r="Z28" i="11"/>
  <c r="Z32" i="11"/>
  <c r="Z36" i="11"/>
  <c r="Z40" i="11"/>
  <c r="Z44" i="11"/>
  <c r="Z48" i="11"/>
  <c r="Z52" i="11"/>
  <c r="Z56" i="11"/>
  <c r="Z60" i="11"/>
  <c r="Z64" i="11"/>
  <c r="Z68" i="11"/>
  <c r="Z72" i="11"/>
  <c r="Z76" i="11"/>
  <c r="Z80" i="11"/>
  <c r="Z17" i="11"/>
  <c r="Z33" i="11"/>
  <c r="Z43" i="11"/>
  <c r="Z54" i="11"/>
  <c r="Z65" i="11"/>
  <c r="Z75" i="11"/>
  <c r="Z13" i="11"/>
  <c r="Z18" i="11"/>
  <c r="Z23" i="11"/>
  <c r="Z29" i="11"/>
  <c r="Z34" i="11"/>
  <c r="Z39" i="11"/>
  <c r="Z45" i="11"/>
  <c r="Z50" i="11"/>
  <c r="Z55" i="11"/>
  <c r="Z61" i="11"/>
  <c r="Z66" i="11"/>
  <c r="Z71" i="11"/>
  <c r="Z77" i="11"/>
  <c r="Z82" i="11"/>
  <c r="Z14" i="11"/>
  <c r="Z25" i="11"/>
  <c r="Z30" i="11"/>
  <c r="Z41" i="11"/>
  <c r="Z51" i="11"/>
  <c r="Z62" i="11"/>
  <c r="Z73" i="11"/>
  <c r="Z8" i="11"/>
  <c r="AD2" i="25" s="1"/>
  <c r="Z9" i="11"/>
  <c r="Z19" i="11"/>
  <c r="Z35" i="11"/>
  <c r="Z46" i="11"/>
  <c r="Z57" i="11"/>
  <c r="Z67" i="11"/>
  <c r="Z78" i="11"/>
  <c r="Z10" i="11"/>
  <c r="Z15" i="11"/>
  <c r="Z21" i="11"/>
  <c r="Z26" i="11"/>
  <c r="Z31" i="11"/>
  <c r="Z37" i="11"/>
  <c r="Z42" i="11"/>
  <c r="Z47" i="11"/>
  <c r="Z53" i="11"/>
  <c r="Z58" i="11"/>
  <c r="Z63" i="11"/>
  <c r="Z69" i="11"/>
  <c r="Z74" i="11"/>
  <c r="Z79" i="11"/>
  <c r="Z11" i="11"/>
  <c r="Z22" i="11"/>
  <c r="Z27" i="11"/>
  <c r="Z38" i="11"/>
  <c r="Z49" i="11"/>
  <c r="Z59" i="11"/>
  <c r="Z70" i="11"/>
  <c r="Z81" i="11"/>
  <c r="AC4" i="23"/>
  <c r="AD4" i="23"/>
  <c r="AA4" i="23"/>
  <c r="AB4" i="23"/>
  <c r="Q33" i="25"/>
  <c r="N24" i="11" s="1"/>
  <c r="I5" i="11"/>
  <c r="I4" i="11"/>
  <c r="I3" i="11"/>
  <c r="I2" i="11"/>
  <c r="I1" i="11"/>
  <c r="H5" i="11"/>
  <c r="H4" i="11"/>
  <c r="H3" i="11"/>
  <c r="H2" i="11"/>
  <c r="H1" i="11"/>
  <c r="M73" i="11" l="1"/>
  <c r="L40" i="11"/>
  <c r="L14" i="11"/>
  <c r="L49" i="11"/>
  <c r="L17" i="11"/>
  <c r="L34" i="11"/>
  <c r="L32" i="11"/>
  <c r="L67" i="11"/>
  <c r="L21" i="11"/>
  <c r="L68" i="11"/>
  <c r="L29" i="11"/>
  <c r="L66" i="11"/>
  <c r="L24" i="11"/>
  <c r="M52" i="11"/>
  <c r="M69" i="11"/>
  <c r="M26" i="11"/>
  <c r="M70" i="11"/>
  <c r="M38" i="11"/>
  <c r="M56" i="11"/>
  <c r="M22" i="11"/>
  <c r="M10" i="11"/>
  <c r="M13" i="11"/>
  <c r="M39" i="11"/>
  <c r="L15" i="11"/>
  <c r="L50" i="11"/>
  <c r="L37" i="11"/>
  <c r="L77" i="11"/>
  <c r="L82" i="11"/>
  <c r="L42" i="11"/>
  <c r="L54" i="11"/>
  <c r="L33" i="11"/>
  <c r="L30" i="11"/>
  <c r="L74" i="11"/>
  <c r="L8" i="11"/>
  <c r="M53" i="11"/>
  <c r="M35" i="11"/>
  <c r="M55" i="11"/>
  <c r="M80" i="11"/>
  <c r="M57" i="11"/>
  <c r="M36" i="11"/>
  <c r="M19" i="11"/>
  <c r="M76" i="11"/>
  <c r="L45" i="11"/>
  <c r="L46" i="11"/>
  <c r="L59" i="11"/>
  <c r="L61" i="11"/>
  <c r="L43" i="11"/>
  <c r="L41" i="11"/>
  <c r="L81" i="11"/>
  <c r="L79" i="11"/>
  <c r="L12" i="11"/>
  <c r="L71" i="11"/>
  <c r="L20" i="11"/>
  <c r="M48" i="11"/>
  <c r="M28" i="11"/>
  <c r="M9" i="11"/>
  <c r="M31" i="11"/>
  <c r="M75" i="11"/>
  <c r="M78" i="11"/>
  <c r="M64" i="11"/>
  <c r="M58" i="11"/>
  <c r="M11" i="11"/>
  <c r="L47" i="11"/>
  <c r="L44" i="11"/>
  <c r="L18" i="11"/>
  <c r="L27" i="11"/>
  <c r="L25" i="11"/>
  <c r="L65" i="11"/>
  <c r="L16" i="11"/>
  <c r="L73" i="11"/>
  <c r="M51" i="11"/>
  <c r="M23" i="11"/>
  <c r="M60" i="11"/>
  <c r="M62" i="11"/>
  <c r="M72" i="11"/>
  <c r="M63" i="11"/>
  <c r="M40" i="11"/>
  <c r="L53" i="11"/>
  <c r="L35" i="11"/>
  <c r="L55" i="11"/>
  <c r="L80" i="11"/>
  <c r="L57" i="11"/>
  <c r="L36" i="11"/>
  <c r="L19" i="11"/>
  <c r="L76" i="11"/>
  <c r="M15" i="11"/>
  <c r="M50" i="11"/>
  <c r="M37" i="11"/>
  <c r="M77" i="11"/>
  <c r="M82" i="11"/>
  <c r="M42" i="11"/>
  <c r="M54" i="11"/>
  <c r="M33" i="11"/>
  <c r="M30" i="11"/>
  <c r="M74" i="11"/>
  <c r="M8" i="11"/>
  <c r="L52" i="11"/>
  <c r="L69" i="11"/>
  <c r="L26" i="11"/>
  <c r="L70" i="11"/>
  <c r="L38" i="11"/>
  <c r="L56" i="11"/>
  <c r="L22" i="11"/>
  <c r="L10" i="11"/>
  <c r="L13" i="11"/>
  <c r="L39" i="11"/>
  <c r="M14" i="11"/>
  <c r="M49" i="11"/>
  <c r="M17" i="11"/>
  <c r="M34" i="11"/>
  <c r="M32" i="11"/>
  <c r="M67" i="11"/>
  <c r="M21" i="11"/>
  <c r="M68" i="11"/>
  <c r="M29" i="11"/>
  <c r="M66" i="11"/>
  <c r="M24" i="11"/>
  <c r="L48" i="11"/>
  <c r="L28" i="11"/>
  <c r="L9" i="11"/>
  <c r="L31" i="11"/>
  <c r="L75" i="11"/>
  <c r="L78" i="11"/>
  <c r="L64" i="11"/>
  <c r="L58" i="11"/>
  <c r="L11" i="11"/>
  <c r="M45" i="11"/>
  <c r="M46" i="11"/>
  <c r="M59" i="11"/>
  <c r="M61" i="11"/>
  <c r="M43" i="11"/>
  <c r="M41" i="11"/>
  <c r="M81" i="11"/>
  <c r="M79" i="11"/>
  <c r="M12" i="11"/>
  <c r="M71" i="11"/>
  <c r="M20" i="11"/>
  <c r="L51" i="11"/>
  <c r="L23" i="11"/>
  <c r="L60" i="11"/>
  <c r="L62" i="11"/>
  <c r="L72" i="11"/>
  <c r="L63" i="11"/>
  <c r="M47" i="11"/>
  <c r="M44" i="11"/>
  <c r="M18" i="11"/>
  <c r="M27" i="11"/>
  <c r="M25" i="11"/>
  <c r="M65" i="11"/>
  <c r="M16" i="11"/>
  <c r="N61" i="11"/>
  <c r="N43" i="11"/>
  <c r="N41" i="11"/>
  <c r="N81" i="11"/>
  <c r="N79" i="11"/>
  <c r="N45" i="11"/>
  <c r="N12" i="11"/>
  <c r="N46" i="11"/>
  <c r="N71" i="11"/>
  <c r="N59" i="11"/>
  <c r="N20" i="11"/>
  <c r="N47" i="11"/>
  <c r="N18" i="11"/>
  <c r="N27" i="11"/>
  <c r="N25" i="11"/>
  <c r="N65" i="11"/>
  <c r="N16" i="11"/>
  <c r="N73" i="11"/>
  <c r="N53" i="11"/>
  <c r="N35" i="11"/>
  <c r="N55" i="11"/>
  <c r="N80" i="11"/>
  <c r="N57" i="11"/>
  <c r="N36" i="11"/>
  <c r="N19" i="11"/>
  <c r="N76" i="11"/>
  <c r="N52" i="11"/>
  <c r="N69" i="11"/>
  <c r="N26" i="11"/>
  <c r="N70" i="11"/>
  <c r="N38" i="11"/>
  <c r="N56" i="11"/>
  <c r="N22" i="11"/>
  <c r="N10" i="11"/>
  <c r="N13" i="11"/>
  <c r="N39" i="11"/>
  <c r="N44" i="11"/>
  <c r="N48" i="11"/>
  <c r="N28" i="11"/>
  <c r="N9" i="11"/>
  <c r="N31" i="11"/>
  <c r="N75" i="11"/>
  <c r="N78" i="11"/>
  <c r="N64" i="11"/>
  <c r="N58" i="11"/>
  <c r="N11" i="11"/>
  <c r="N51" i="11"/>
  <c r="N62" i="11"/>
  <c r="N72" i="11"/>
  <c r="N15" i="11"/>
  <c r="N50" i="11"/>
  <c r="N37" i="11"/>
  <c r="N77" i="11"/>
  <c r="N82" i="11"/>
  <c r="N42" i="11"/>
  <c r="N54" i="11"/>
  <c r="N33" i="11"/>
  <c r="N30" i="11"/>
  <c r="N74" i="11"/>
  <c r="N8" i="11"/>
  <c r="AD4" i="25" s="1"/>
  <c r="N23" i="11"/>
  <c r="N60" i="11"/>
  <c r="N63" i="11"/>
  <c r="N40" i="11"/>
  <c r="N14" i="11"/>
  <c r="N49" i="11"/>
  <c r="N17" i="11"/>
  <c r="N34" i="11"/>
  <c r="N32" i="11"/>
  <c r="N67" i="11"/>
  <c r="N21" i="11"/>
  <c r="N68" i="11"/>
  <c r="N29" i="11"/>
  <c r="N66" i="11"/>
  <c r="O55" i="11"/>
  <c r="O80" i="11"/>
  <c r="O57" i="11"/>
  <c r="O36" i="11"/>
  <c r="O19" i="11"/>
  <c r="O76" i="11"/>
  <c r="O52" i="11"/>
  <c r="O69" i="11"/>
  <c r="O26" i="11"/>
  <c r="O70" i="11"/>
  <c r="O38" i="11"/>
  <c r="O56" i="11"/>
  <c r="O22" i="11"/>
  <c r="O10" i="11"/>
  <c r="O13" i="11"/>
  <c r="O39" i="11"/>
  <c r="O51" i="11"/>
  <c r="O23" i="11"/>
  <c r="O60" i="11"/>
  <c r="O62" i="11"/>
  <c r="O72" i="11"/>
  <c r="O63" i="11"/>
  <c r="O40" i="11"/>
  <c r="O53" i="11"/>
  <c r="O9" i="11"/>
  <c r="O64" i="11"/>
  <c r="O50" i="11"/>
  <c r="O77" i="11"/>
  <c r="O82" i="11"/>
  <c r="O42" i="11"/>
  <c r="O33" i="11"/>
  <c r="O30" i="11"/>
  <c r="O74" i="11"/>
  <c r="O8" i="11"/>
  <c r="AB4" i="25" s="1"/>
  <c r="O35" i="11"/>
  <c r="O28" i="11"/>
  <c r="O75" i="11"/>
  <c r="O58" i="11"/>
  <c r="O15" i="11"/>
  <c r="O37" i="11"/>
  <c r="O54" i="11"/>
  <c r="O14" i="11"/>
  <c r="O49" i="11"/>
  <c r="O17" i="11"/>
  <c r="O34" i="11"/>
  <c r="O32" i="11"/>
  <c r="O67" i="11"/>
  <c r="O21" i="11"/>
  <c r="O68" i="11"/>
  <c r="O29" i="11"/>
  <c r="O66" i="11"/>
  <c r="O24" i="11"/>
  <c r="O48" i="11"/>
  <c r="O31" i="11"/>
  <c r="O78" i="11"/>
  <c r="O11" i="11"/>
  <c r="O45" i="11"/>
  <c r="O46" i="11"/>
  <c r="O59" i="11"/>
  <c r="O61" i="11"/>
  <c r="O43" i="11"/>
  <c r="O41" i="11"/>
  <c r="O81" i="11"/>
  <c r="O79" i="11"/>
  <c r="O12" i="11"/>
  <c r="O71" i="11"/>
  <c r="O20" i="11"/>
  <c r="O47" i="11"/>
  <c r="O44" i="11"/>
  <c r="O18" i="11"/>
  <c r="O27" i="11"/>
  <c r="O25" i="11"/>
  <c r="O65" i="11"/>
  <c r="O16" i="11"/>
  <c r="O73" i="11"/>
  <c r="B29" i="25"/>
  <c r="G29" i="25" s="1"/>
  <c r="K29" i="25" l="1"/>
  <c r="C29" i="25"/>
  <c r="J29" i="25"/>
  <c r="I29" i="25"/>
  <c r="H29" i="25"/>
  <c r="F29" i="25"/>
  <c r="E29" i="25"/>
  <c r="D29" i="25"/>
  <c r="AB2" i="23" l="1"/>
  <c r="B30" i="23"/>
  <c r="J30" i="23" l="1"/>
  <c r="M30" i="23"/>
  <c r="C30" i="23"/>
  <c r="H30" i="23"/>
  <c r="D30" i="23"/>
  <c r="I30" i="23"/>
  <c r="E30" i="23"/>
  <c r="K30" i="23"/>
  <c r="G30" i="23"/>
  <c r="L30" i="23"/>
  <c r="F30" i="23"/>
  <c r="B30" i="21"/>
  <c r="J30" i="21" s="1"/>
  <c r="F30" i="21" l="1"/>
  <c r="C30" i="21"/>
  <c r="D30" i="21"/>
  <c r="G30" i="21"/>
  <c r="H30" i="21"/>
  <c r="E30" i="21"/>
  <c r="I30" i="21"/>
  <c r="L35" i="15"/>
  <c r="H5" i="3" l="1"/>
  <c r="H4" i="3"/>
  <c r="H3" i="3"/>
  <c r="H2" i="3"/>
  <c r="H1" i="3"/>
  <c r="G5" i="3"/>
  <c r="G4" i="3"/>
  <c r="G3" i="3"/>
  <c r="G2" i="3"/>
  <c r="G1" i="3"/>
  <c r="F5" i="3"/>
  <c r="F4" i="3"/>
  <c r="F3" i="3"/>
  <c r="F2" i="3"/>
  <c r="F1" i="3"/>
  <c r="E5" i="3"/>
  <c r="E4" i="3"/>
  <c r="E3" i="3"/>
  <c r="E2" i="3"/>
  <c r="E1" i="3"/>
  <c r="H5" i="19"/>
  <c r="G5" i="19"/>
  <c r="F5" i="19"/>
  <c r="E5" i="19"/>
  <c r="H4" i="19"/>
  <c r="G4" i="19"/>
  <c r="F4" i="19"/>
  <c r="E4" i="19"/>
  <c r="H3" i="19"/>
  <c r="G3" i="19"/>
  <c r="F3" i="19"/>
  <c r="E3" i="19"/>
  <c r="H2" i="19"/>
  <c r="P84" i="19" s="1"/>
  <c r="G2" i="19"/>
  <c r="F2" i="19"/>
  <c r="N85" i="19" s="1"/>
  <c r="E2" i="19"/>
  <c r="M76" i="19" s="1"/>
  <c r="H1" i="19"/>
  <c r="G1" i="19"/>
  <c r="F1" i="19"/>
  <c r="E1" i="19"/>
  <c r="T80" i="3" l="1"/>
  <c r="T76" i="3"/>
  <c r="T72" i="3"/>
  <c r="T68" i="3"/>
  <c r="T64" i="3"/>
  <c r="T60" i="3"/>
  <c r="T56" i="3"/>
  <c r="T52" i="3"/>
  <c r="T48" i="3"/>
  <c r="T44" i="3"/>
  <c r="T40" i="3"/>
  <c r="T36" i="3"/>
  <c r="T32" i="3"/>
  <c r="T28" i="3"/>
  <c r="T24" i="3"/>
  <c r="T20" i="3"/>
  <c r="T16" i="3"/>
  <c r="T12" i="3"/>
  <c r="T8" i="3"/>
  <c r="T61" i="3"/>
  <c r="T49" i="3"/>
  <c r="T41" i="3"/>
  <c r="T33" i="3"/>
  <c r="T25" i="3"/>
  <c r="T13" i="3"/>
  <c r="T79" i="3"/>
  <c r="T75" i="3"/>
  <c r="T71" i="3"/>
  <c r="T67" i="3"/>
  <c r="T63" i="3"/>
  <c r="T59" i="3"/>
  <c r="T55" i="3"/>
  <c r="T51" i="3"/>
  <c r="T47" i="3"/>
  <c r="T43" i="3"/>
  <c r="T39" i="3"/>
  <c r="T35" i="3"/>
  <c r="T31" i="3"/>
  <c r="T27" i="3"/>
  <c r="T23" i="3"/>
  <c r="T19" i="3"/>
  <c r="T15" i="3"/>
  <c r="T11" i="3"/>
  <c r="T82" i="3"/>
  <c r="T78" i="3"/>
  <c r="T74" i="3"/>
  <c r="T70" i="3"/>
  <c r="T66" i="3"/>
  <c r="T62" i="3"/>
  <c r="T58" i="3"/>
  <c r="T54" i="3"/>
  <c r="T50" i="3"/>
  <c r="T46" i="3"/>
  <c r="T42" i="3"/>
  <c r="T38" i="3"/>
  <c r="T34" i="3"/>
  <c r="T30" i="3"/>
  <c r="T26" i="3"/>
  <c r="T22" i="3"/>
  <c r="T18" i="3"/>
  <c r="T14" i="3"/>
  <c r="T10" i="3"/>
  <c r="T81" i="3"/>
  <c r="T77" i="3"/>
  <c r="T73" i="3"/>
  <c r="T69" i="3"/>
  <c r="T65" i="3"/>
  <c r="T57" i="3"/>
  <c r="T53" i="3"/>
  <c r="T45" i="3"/>
  <c r="T37" i="3"/>
  <c r="T29" i="3"/>
  <c r="T21" i="3"/>
  <c r="T17" i="3"/>
  <c r="T9" i="3"/>
  <c r="S82" i="3"/>
  <c r="S80" i="3"/>
  <c r="S78" i="3"/>
  <c r="S76" i="3"/>
  <c r="S74" i="3"/>
  <c r="S72" i="3"/>
  <c r="S70" i="3"/>
  <c r="S68" i="3"/>
  <c r="S66" i="3"/>
  <c r="S64" i="3"/>
  <c r="S62" i="3"/>
  <c r="S60" i="3"/>
  <c r="S58" i="3"/>
  <c r="S56" i="3"/>
  <c r="S54" i="3"/>
  <c r="S52" i="3"/>
  <c r="S50" i="3"/>
  <c r="S48" i="3"/>
  <c r="S46" i="3"/>
  <c r="S44" i="3"/>
  <c r="S42" i="3"/>
  <c r="S40" i="3"/>
  <c r="S38" i="3"/>
  <c r="S36" i="3"/>
  <c r="S34" i="3"/>
  <c r="S32" i="3"/>
  <c r="S30" i="3"/>
  <c r="S28" i="3"/>
  <c r="S26" i="3"/>
  <c r="S24" i="3"/>
  <c r="S22" i="3"/>
  <c r="S20" i="3"/>
  <c r="S18" i="3"/>
  <c r="S16" i="3"/>
  <c r="S10" i="3"/>
  <c r="S8" i="3"/>
  <c r="S14" i="3"/>
  <c r="S81" i="3"/>
  <c r="S79" i="3"/>
  <c r="S77" i="3"/>
  <c r="S75" i="3"/>
  <c r="S73" i="3"/>
  <c r="S71" i="3"/>
  <c r="S69" i="3"/>
  <c r="S67" i="3"/>
  <c r="S65" i="3"/>
  <c r="S63" i="3"/>
  <c r="S61" i="3"/>
  <c r="S59" i="3"/>
  <c r="S57" i="3"/>
  <c r="S55" i="3"/>
  <c r="S53" i="3"/>
  <c r="S51" i="3"/>
  <c r="S49" i="3"/>
  <c r="S47" i="3"/>
  <c r="S45" i="3"/>
  <c r="S43" i="3"/>
  <c r="S41" i="3"/>
  <c r="S39" i="3"/>
  <c r="S37" i="3"/>
  <c r="S35" i="3"/>
  <c r="S33" i="3"/>
  <c r="S31" i="3"/>
  <c r="S29" i="3"/>
  <c r="S27" i="3"/>
  <c r="S25" i="3"/>
  <c r="S23" i="3"/>
  <c r="S21" i="3"/>
  <c r="S19" i="3"/>
  <c r="S17" i="3"/>
  <c r="S15" i="3"/>
  <c r="S13" i="3"/>
  <c r="S11" i="3"/>
  <c r="S9" i="3"/>
  <c r="S12" i="3"/>
  <c r="R80" i="3"/>
  <c r="R76" i="3"/>
  <c r="R72" i="3"/>
  <c r="R68" i="3"/>
  <c r="R64" i="3"/>
  <c r="R60" i="3"/>
  <c r="R56" i="3"/>
  <c r="R52" i="3"/>
  <c r="R48" i="3"/>
  <c r="R44" i="3"/>
  <c r="R40" i="3"/>
  <c r="R36" i="3"/>
  <c r="R32" i="3"/>
  <c r="R28" i="3"/>
  <c r="R24" i="3"/>
  <c r="R20" i="3"/>
  <c r="R16" i="3"/>
  <c r="R12" i="3"/>
  <c r="R8" i="3"/>
  <c r="R82" i="3"/>
  <c r="R78" i="3"/>
  <c r="R74" i="3"/>
  <c r="R70" i="3"/>
  <c r="R66" i="3"/>
  <c r="R62" i="3"/>
  <c r="R58" i="3"/>
  <c r="R54" i="3"/>
  <c r="R50" i="3"/>
  <c r="R46" i="3"/>
  <c r="R42" i="3"/>
  <c r="R38" i="3"/>
  <c r="R34" i="3"/>
  <c r="R30" i="3"/>
  <c r="R26" i="3"/>
  <c r="R22" i="3"/>
  <c r="R18" i="3"/>
  <c r="R14" i="3"/>
  <c r="R10" i="3"/>
  <c r="R79" i="3"/>
  <c r="R75" i="3"/>
  <c r="R71" i="3"/>
  <c r="R67" i="3"/>
  <c r="R63" i="3"/>
  <c r="R59" i="3"/>
  <c r="R51" i="3"/>
  <c r="R47" i="3"/>
  <c r="R43" i="3"/>
  <c r="R35" i="3"/>
  <c r="R27" i="3"/>
  <c r="R19" i="3"/>
  <c r="R11" i="3"/>
  <c r="R81" i="3"/>
  <c r="R77" i="3"/>
  <c r="R73" i="3"/>
  <c r="R69" i="3"/>
  <c r="R65" i="3"/>
  <c r="R61" i="3"/>
  <c r="R57" i="3"/>
  <c r="R53" i="3"/>
  <c r="R49" i="3"/>
  <c r="R45" i="3"/>
  <c r="R41" i="3"/>
  <c r="R37" i="3"/>
  <c r="R33" i="3"/>
  <c r="R29" i="3"/>
  <c r="R25" i="3"/>
  <c r="R21" i="3"/>
  <c r="R17" i="3"/>
  <c r="R13" i="3"/>
  <c r="R9" i="3"/>
  <c r="R55" i="3"/>
  <c r="R39" i="3"/>
  <c r="R31" i="3"/>
  <c r="R23" i="3"/>
  <c r="R15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2" i="3"/>
  <c r="Q21" i="3"/>
  <c r="Q19" i="3"/>
  <c r="Q18" i="3"/>
  <c r="Q16" i="3"/>
  <c r="Q14" i="3"/>
  <c r="Q12" i="3"/>
  <c r="Q10" i="3"/>
  <c r="Q8" i="3"/>
  <c r="Q27" i="3"/>
  <c r="Q23" i="3"/>
  <c r="Q20" i="3"/>
  <c r="Q17" i="3"/>
  <c r="Q15" i="3"/>
  <c r="Q13" i="3"/>
  <c r="Q11" i="3"/>
  <c r="Q9" i="3"/>
  <c r="O76" i="19"/>
  <c r="O66" i="19"/>
  <c r="O84" i="19"/>
  <c r="O82" i="19"/>
  <c r="O80" i="19"/>
  <c r="O78" i="19"/>
  <c r="O74" i="19"/>
  <c r="O72" i="19"/>
  <c r="O70" i="19"/>
  <c r="O68" i="19"/>
  <c r="O85" i="19"/>
  <c r="O83" i="19"/>
  <c r="O81" i="19"/>
  <c r="O79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O47" i="19"/>
  <c r="O48" i="19"/>
  <c r="O49" i="19"/>
  <c r="O50" i="19"/>
  <c r="O51" i="19"/>
  <c r="O52" i="19"/>
  <c r="O53" i="19"/>
  <c r="O54" i="19"/>
  <c r="O55" i="19"/>
  <c r="O56" i="19"/>
  <c r="O57" i="19"/>
  <c r="O58" i="19"/>
  <c r="O59" i="19"/>
  <c r="O60" i="19"/>
  <c r="O61" i="19"/>
  <c r="O62" i="19"/>
  <c r="O63" i="19"/>
  <c r="O64" i="19"/>
  <c r="O65" i="19"/>
  <c r="O69" i="19"/>
  <c r="O73" i="19"/>
  <c r="O77" i="19"/>
  <c r="M68" i="19"/>
  <c r="M72" i="19"/>
  <c r="O67" i="19"/>
  <c r="O71" i="19"/>
  <c r="O75" i="19"/>
  <c r="M77" i="19"/>
  <c r="M67" i="19"/>
  <c r="M85" i="19"/>
  <c r="M83" i="19"/>
  <c r="M81" i="19"/>
  <c r="M79" i="19"/>
  <c r="M75" i="19"/>
  <c r="M73" i="19"/>
  <c r="M71" i="19"/>
  <c r="M69" i="19"/>
  <c r="M84" i="19"/>
  <c r="M82" i="19"/>
  <c r="M80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70" i="19"/>
  <c r="M74" i="19"/>
  <c r="M78" i="19"/>
  <c r="N8" i="19"/>
  <c r="P9" i="19"/>
  <c r="N10" i="19"/>
  <c r="P11" i="19"/>
  <c r="N12" i="19"/>
  <c r="P13" i="19"/>
  <c r="N14" i="19"/>
  <c r="P15" i="19"/>
  <c r="N16" i="19"/>
  <c r="P17" i="19"/>
  <c r="N18" i="19"/>
  <c r="P19" i="19"/>
  <c r="N20" i="19"/>
  <c r="P21" i="19"/>
  <c r="N22" i="19"/>
  <c r="P23" i="19"/>
  <c r="N24" i="19"/>
  <c r="P25" i="19"/>
  <c r="N26" i="19"/>
  <c r="P27" i="19"/>
  <c r="N28" i="19"/>
  <c r="P29" i="19"/>
  <c r="N30" i="19"/>
  <c r="P31" i="19"/>
  <c r="N32" i="19"/>
  <c r="P33" i="19"/>
  <c r="N34" i="19"/>
  <c r="P35" i="19"/>
  <c r="N36" i="19"/>
  <c r="P37" i="19"/>
  <c r="N38" i="19"/>
  <c r="P39" i="19"/>
  <c r="N40" i="19"/>
  <c r="P41" i="19"/>
  <c r="N42" i="19"/>
  <c r="P43" i="19"/>
  <c r="N44" i="19"/>
  <c r="P45" i="19"/>
  <c r="N46" i="19"/>
  <c r="P47" i="19"/>
  <c r="N48" i="19"/>
  <c r="P49" i="19"/>
  <c r="N50" i="19"/>
  <c r="P51" i="19"/>
  <c r="N52" i="19"/>
  <c r="P53" i="19"/>
  <c r="N54" i="19"/>
  <c r="P55" i="19"/>
  <c r="N56" i="19"/>
  <c r="P57" i="19"/>
  <c r="N58" i="19"/>
  <c r="P59" i="19"/>
  <c r="N60" i="19"/>
  <c r="P61" i="19"/>
  <c r="N62" i="19"/>
  <c r="P63" i="19"/>
  <c r="N64" i="19"/>
  <c r="P65" i="19"/>
  <c r="N66" i="19"/>
  <c r="P67" i="19"/>
  <c r="N68" i="19"/>
  <c r="P69" i="19"/>
  <c r="N70" i="19"/>
  <c r="P71" i="19"/>
  <c r="N72" i="19"/>
  <c r="P73" i="19"/>
  <c r="N74" i="19"/>
  <c r="P75" i="19"/>
  <c r="N76" i="19"/>
  <c r="P77" i="19"/>
  <c r="N78" i="19"/>
  <c r="P79" i="19"/>
  <c r="N80" i="19"/>
  <c r="P81" i="19"/>
  <c r="N82" i="19"/>
  <c r="P83" i="19"/>
  <c r="N84" i="19"/>
  <c r="P85" i="19"/>
  <c r="P8" i="19"/>
  <c r="N9" i="19"/>
  <c r="P10" i="19"/>
  <c r="N11" i="19"/>
  <c r="P12" i="19"/>
  <c r="N13" i="19"/>
  <c r="P14" i="19"/>
  <c r="N15" i="19"/>
  <c r="P16" i="19"/>
  <c r="N17" i="19"/>
  <c r="P18" i="19"/>
  <c r="N19" i="19"/>
  <c r="P20" i="19"/>
  <c r="N21" i="19"/>
  <c r="P22" i="19"/>
  <c r="N23" i="19"/>
  <c r="P24" i="19"/>
  <c r="N25" i="19"/>
  <c r="P26" i="19"/>
  <c r="N27" i="19"/>
  <c r="P28" i="19"/>
  <c r="N29" i="19"/>
  <c r="P30" i="19"/>
  <c r="N31" i="19"/>
  <c r="P32" i="19"/>
  <c r="N33" i="19"/>
  <c r="P34" i="19"/>
  <c r="N35" i="19"/>
  <c r="P36" i="19"/>
  <c r="N37" i="19"/>
  <c r="P38" i="19"/>
  <c r="N39" i="19"/>
  <c r="P40" i="19"/>
  <c r="N41" i="19"/>
  <c r="P42" i="19"/>
  <c r="N43" i="19"/>
  <c r="P44" i="19"/>
  <c r="N45" i="19"/>
  <c r="P46" i="19"/>
  <c r="N47" i="19"/>
  <c r="P48" i="19"/>
  <c r="N49" i="19"/>
  <c r="P50" i="19"/>
  <c r="N51" i="19"/>
  <c r="P52" i="19"/>
  <c r="N53" i="19"/>
  <c r="P54" i="19"/>
  <c r="N55" i="19"/>
  <c r="P56" i="19"/>
  <c r="N57" i="19"/>
  <c r="P58" i="19"/>
  <c r="N59" i="19"/>
  <c r="P60" i="19"/>
  <c r="N61" i="19"/>
  <c r="P62" i="19"/>
  <c r="N63" i="19"/>
  <c r="P64" i="19"/>
  <c r="N65" i="19"/>
  <c r="P66" i="19"/>
  <c r="N67" i="19"/>
  <c r="P68" i="19"/>
  <c r="N69" i="19"/>
  <c r="P70" i="19"/>
  <c r="N71" i="19"/>
  <c r="P72" i="19"/>
  <c r="N73" i="19"/>
  <c r="P74" i="19"/>
  <c r="N75" i="19"/>
  <c r="P76" i="19"/>
  <c r="N77" i="19"/>
  <c r="P78" i="19"/>
  <c r="N79" i="19"/>
  <c r="P80" i="19"/>
  <c r="N81" i="19"/>
  <c r="P82" i="19"/>
  <c r="N83" i="19"/>
  <c r="V42" i="3" l="1"/>
  <c r="B29" i="15"/>
  <c r="G29" i="15" s="1"/>
  <c r="H29" i="15" l="1"/>
  <c r="I29" i="15"/>
  <c r="C29" i="15"/>
  <c r="AL2" i="15" s="1"/>
  <c r="J29" i="15"/>
  <c r="V12" i="3"/>
  <c r="V16" i="3"/>
  <c r="V20" i="3"/>
  <c r="V24" i="3"/>
  <c r="V28" i="3"/>
  <c r="V32" i="3"/>
  <c r="V36" i="3"/>
  <c r="V40" i="3"/>
  <c r="V44" i="3"/>
  <c r="V48" i="3"/>
  <c r="V52" i="3"/>
  <c r="V56" i="3"/>
  <c r="V60" i="3"/>
  <c r="V64" i="3"/>
  <c r="V68" i="3"/>
  <c r="V72" i="3"/>
  <c r="V76" i="3"/>
  <c r="V80" i="3"/>
  <c r="V8" i="3"/>
  <c r="U12" i="3"/>
  <c r="U16" i="3"/>
  <c r="U20" i="3"/>
  <c r="U24" i="3"/>
  <c r="U28" i="3"/>
  <c r="U32" i="3"/>
  <c r="U36" i="3"/>
  <c r="U40" i="3"/>
  <c r="U44" i="3"/>
  <c r="U48" i="3"/>
  <c r="U52" i="3"/>
  <c r="U56" i="3"/>
  <c r="U60" i="3"/>
  <c r="U64" i="3"/>
  <c r="U68" i="3"/>
  <c r="U72" i="3"/>
  <c r="U76" i="3"/>
  <c r="U80" i="3"/>
  <c r="U8" i="3"/>
  <c r="V15" i="3"/>
  <c r="V27" i="3"/>
  <c r="V39" i="3"/>
  <c r="V51" i="3"/>
  <c r="V63" i="3"/>
  <c r="V75" i="3"/>
  <c r="U11" i="3"/>
  <c r="U19" i="3"/>
  <c r="U31" i="3"/>
  <c r="U47" i="3"/>
  <c r="U55" i="3"/>
  <c r="U59" i="3"/>
  <c r="U71" i="3"/>
  <c r="V9" i="3"/>
  <c r="V13" i="3"/>
  <c r="V17" i="3"/>
  <c r="V21" i="3"/>
  <c r="V25" i="3"/>
  <c r="V29" i="3"/>
  <c r="V33" i="3"/>
  <c r="V37" i="3"/>
  <c r="V41" i="3"/>
  <c r="V45" i="3"/>
  <c r="V49" i="3"/>
  <c r="V53" i="3"/>
  <c r="V57" i="3"/>
  <c r="V61" i="3"/>
  <c r="V65" i="3"/>
  <c r="V69" i="3"/>
  <c r="V73" i="3"/>
  <c r="V77" i="3"/>
  <c r="V81" i="3"/>
  <c r="U9" i="3"/>
  <c r="U13" i="3"/>
  <c r="U17" i="3"/>
  <c r="U21" i="3"/>
  <c r="U25" i="3"/>
  <c r="U29" i="3"/>
  <c r="U33" i="3"/>
  <c r="U37" i="3"/>
  <c r="U41" i="3"/>
  <c r="U45" i="3"/>
  <c r="U49" i="3"/>
  <c r="U53" i="3"/>
  <c r="U57" i="3"/>
  <c r="U61" i="3"/>
  <c r="U65" i="3"/>
  <c r="U69" i="3"/>
  <c r="U73" i="3"/>
  <c r="U77" i="3"/>
  <c r="U81" i="3"/>
  <c r="V19" i="3"/>
  <c r="V31" i="3"/>
  <c r="V47" i="3"/>
  <c r="V55" i="3"/>
  <c r="V71" i="3"/>
  <c r="U23" i="3"/>
  <c r="U35" i="3"/>
  <c r="U43" i="3"/>
  <c r="U67" i="3"/>
  <c r="U79" i="3"/>
  <c r="V10" i="3"/>
  <c r="V14" i="3"/>
  <c r="V18" i="3"/>
  <c r="V22" i="3"/>
  <c r="V26" i="3"/>
  <c r="V30" i="3"/>
  <c r="V34" i="3"/>
  <c r="V38" i="3"/>
  <c r="V46" i="3"/>
  <c r="V50" i="3"/>
  <c r="V54" i="3"/>
  <c r="V58" i="3"/>
  <c r="V62" i="3"/>
  <c r="V66" i="3"/>
  <c r="V70" i="3"/>
  <c r="V74" i="3"/>
  <c r="V78" i="3"/>
  <c r="V82" i="3"/>
  <c r="U10" i="3"/>
  <c r="U14" i="3"/>
  <c r="U18" i="3"/>
  <c r="U22" i="3"/>
  <c r="U26" i="3"/>
  <c r="U30" i="3"/>
  <c r="U34" i="3"/>
  <c r="U38" i="3"/>
  <c r="U42" i="3"/>
  <c r="U46" i="3"/>
  <c r="U50" i="3"/>
  <c r="U54" i="3"/>
  <c r="U58" i="3"/>
  <c r="U62" i="3"/>
  <c r="U66" i="3"/>
  <c r="U70" i="3"/>
  <c r="U74" i="3"/>
  <c r="U78" i="3"/>
  <c r="U82" i="3"/>
  <c r="V11" i="3"/>
  <c r="V23" i="3"/>
  <c r="V35" i="3"/>
  <c r="V43" i="3"/>
  <c r="V59" i="3"/>
  <c r="V67" i="3"/>
  <c r="V79" i="3"/>
  <c r="U15" i="3"/>
  <c r="U27" i="3"/>
  <c r="U39" i="3"/>
  <c r="U51" i="3"/>
  <c r="U63" i="3"/>
  <c r="U75" i="3"/>
  <c r="F29" i="15"/>
  <c r="D29" i="15"/>
  <c r="E29" i="15"/>
  <c r="AD4" i="15" l="1"/>
  <c r="AB4" i="15"/>
  <c r="E47" i="15"/>
  <c r="E39" i="15"/>
  <c r="E43" i="15"/>
  <c r="E35" i="15"/>
  <c r="E46" i="15"/>
  <c r="E38" i="15"/>
  <c r="D46" i="15"/>
  <c r="D38" i="15"/>
  <c r="E42" i="15"/>
  <c r="E34" i="15"/>
  <c r="D42" i="15"/>
  <c r="D34" i="15"/>
  <c r="D33" i="15"/>
  <c r="D41" i="15"/>
  <c r="E45" i="15"/>
  <c r="E33" i="15"/>
  <c r="E41" i="15"/>
  <c r="D37" i="15"/>
  <c r="E37" i="15"/>
  <c r="D45" i="15"/>
  <c r="AM2" i="15"/>
  <c r="D47" i="15"/>
  <c r="D35" i="15"/>
  <c r="D39" i="15"/>
  <c r="D43" i="15"/>
  <c r="B29" i="12" l="1"/>
  <c r="J29" i="12" l="1"/>
  <c r="I29" i="12"/>
  <c r="K29" i="12"/>
  <c r="H29" i="12"/>
  <c r="E29" i="12"/>
  <c r="G29" i="12"/>
  <c r="D29" i="12"/>
  <c r="C29" i="12"/>
  <c r="F29" i="12"/>
  <c r="AL2" i="12" l="1"/>
  <c r="AM2" i="12"/>
</calcChain>
</file>

<file path=xl/sharedStrings.xml><?xml version="1.0" encoding="utf-8"?>
<sst xmlns="http://schemas.openxmlformats.org/spreadsheetml/2006/main" count="5171" uniqueCount="1145">
  <si>
    <t>7A1</t>
  </si>
  <si>
    <t>Betsi Cadwaladr University Health Board</t>
  </si>
  <si>
    <t>No</t>
  </si>
  <si>
    <t>Yes</t>
  </si>
  <si>
    <t>7A3</t>
  </si>
  <si>
    <t>7A4</t>
  </si>
  <si>
    <t>Cardiff and Vale University Health Board</t>
  </si>
  <si>
    <t>7A5</t>
  </si>
  <si>
    <t>Cwm Taf University Health Board</t>
  </si>
  <si>
    <t>7A6</t>
  </si>
  <si>
    <t>Aneurin Bevan University Health Board</t>
  </si>
  <si>
    <t>R0A</t>
  </si>
  <si>
    <t>Manchester University NHS Foundation Trust</t>
  </si>
  <si>
    <t>R1H</t>
  </si>
  <si>
    <t>Barts Health NHS Trust</t>
  </si>
  <si>
    <t>R1K</t>
  </si>
  <si>
    <t>London North West Healthcare NHS Trust</t>
  </si>
  <si>
    <t>RA9</t>
  </si>
  <si>
    <t>Torbay and South Devon NHS Foundation Trust</t>
  </si>
  <si>
    <t>RAE</t>
  </si>
  <si>
    <t>Bradford Teaching Hospitals NHS Foundation Trust</t>
  </si>
  <si>
    <t>RAJ</t>
  </si>
  <si>
    <t>Southend University Hospital NHS Foundation Trust</t>
  </si>
  <si>
    <t>RAL</t>
  </si>
  <si>
    <t>Royal Free London NHS Foundation Trust</t>
  </si>
  <si>
    <t>RBA</t>
  </si>
  <si>
    <t>Taunton and Somerset NHS Foundation Trust</t>
  </si>
  <si>
    <t>RBD</t>
  </si>
  <si>
    <t>Dorset County Hospital NHS Foundation Trust</t>
  </si>
  <si>
    <t>RBN</t>
  </si>
  <si>
    <t>St Helens &amp; Knowsley Teaching Hospitals NHS Trust</t>
  </si>
  <si>
    <t>RBZ</t>
  </si>
  <si>
    <t>Northern Devon Healthcare NHS Trust</t>
  </si>
  <si>
    <t>RC1</t>
  </si>
  <si>
    <t>Bedford Hospital NHS Trust</t>
  </si>
  <si>
    <t>RCB</t>
  </si>
  <si>
    <t>York Teaching Hospital NHS Foundation Trust</t>
  </si>
  <si>
    <t>RDD</t>
  </si>
  <si>
    <t>Basildon and Thurrock University Hospitals NHS Foundation Trust</t>
  </si>
  <si>
    <t>RDE</t>
  </si>
  <si>
    <t>RDU</t>
  </si>
  <si>
    <t>Frimley Health NHS Foundation Trust</t>
  </si>
  <si>
    <t>RDZ</t>
  </si>
  <si>
    <t>Royal Bournemouth and Christchurch Hospitals NHS Foundation Trust</t>
  </si>
  <si>
    <t>REF</t>
  </si>
  <si>
    <t>Royal Cornwall Hospitals NHS Trust</t>
  </si>
  <si>
    <t>REM</t>
  </si>
  <si>
    <t>Aintree University Hospital NHS Foundation Trust</t>
  </si>
  <si>
    <t>RF4</t>
  </si>
  <si>
    <t>Barking, Havering And Redbridge University Hospitals NHS Trust</t>
  </si>
  <si>
    <t>RGN</t>
  </si>
  <si>
    <t>North West Anglia NHS Foundation Trust</t>
  </si>
  <si>
    <t>RGR</t>
  </si>
  <si>
    <t>West Suffolk NHS Foundation Trust</t>
  </si>
  <si>
    <t>RGT</t>
  </si>
  <si>
    <t>Cambridge University Hospitals NHS Foundation Trust</t>
  </si>
  <si>
    <t>RH8</t>
  </si>
  <si>
    <t>Royal Devon and Exeter NHS Foundation Trust</t>
  </si>
  <si>
    <t>RHM</t>
  </si>
  <si>
    <t>University Hospital Southampton NHS Foundation Trust</t>
  </si>
  <si>
    <t>RHQ</t>
  </si>
  <si>
    <t>Sheffield Teaching Hospitals NHS Foundation Trust</t>
  </si>
  <si>
    <t>RHU</t>
  </si>
  <si>
    <t>Portsmouth Hospitals NHS Trust</t>
  </si>
  <si>
    <t>RHW</t>
  </si>
  <si>
    <t>Royal Berkshire NHS Foundation Trust</t>
  </si>
  <si>
    <t>RJ1</t>
  </si>
  <si>
    <t>Guy's and St Thomas' NHS Foundation Trust</t>
  </si>
  <si>
    <t>RJ7</t>
  </si>
  <si>
    <t>St George's University Hospitals NHS Foundation Trust</t>
  </si>
  <si>
    <t>RJE</t>
  </si>
  <si>
    <t>University Hospital of North Midlands NHS Trust</t>
  </si>
  <si>
    <t>RJR</t>
  </si>
  <si>
    <t>Countess of Chester Hospital NHS Foundation Trust</t>
  </si>
  <si>
    <t>RJZ</t>
  </si>
  <si>
    <t>King's College Hospital NHS Foundation Trust</t>
  </si>
  <si>
    <t>RK9</t>
  </si>
  <si>
    <t>RKB</t>
  </si>
  <si>
    <t>University Hospitals Coventry and Warwickshire NHS Trust</t>
  </si>
  <si>
    <t>RL4</t>
  </si>
  <si>
    <t>Royal Wolverhampton Hospitals NHS Trust</t>
  </si>
  <si>
    <t>RLN</t>
  </si>
  <si>
    <t>City Hospitals Sunderland NHS Foundation Trust</t>
  </si>
  <si>
    <t>RM1</t>
  </si>
  <si>
    <t>Norfolk and Norwich University Hospitals NHS Foundation Trust</t>
  </si>
  <si>
    <t>RMC</t>
  </si>
  <si>
    <t>Bolton NHS Foundation Trust</t>
  </si>
  <si>
    <t>RNA</t>
  </si>
  <si>
    <t>The Dudley Group NHS Foundation Trust</t>
  </si>
  <si>
    <t>RNL</t>
  </si>
  <si>
    <t>North Cumbria University Hospitals NHS Trust</t>
  </si>
  <si>
    <t>RNS</t>
  </si>
  <si>
    <t>Northampton General Hospital NHS Trust</t>
  </si>
  <si>
    <t>RP5</t>
  </si>
  <si>
    <t>Doncaster and Bassetlaw Hospitals NHS Foundation Trust</t>
  </si>
  <si>
    <t>RPA</t>
  </si>
  <si>
    <t>Medway NHS Foundation Trust</t>
  </si>
  <si>
    <t>RQ6</t>
  </si>
  <si>
    <t>Royal Liverpool and Broadgreen University Hospitals NHS Trust</t>
  </si>
  <si>
    <t>RQ8</t>
  </si>
  <si>
    <t>Mid Essex Hospital Services NHS Trust</t>
  </si>
  <si>
    <t>RQW</t>
  </si>
  <si>
    <t>Princess Alexandra Hospital NHS Trust</t>
  </si>
  <si>
    <t>RR7</t>
  </si>
  <si>
    <t>Gateshead Health NHS Foundation Trust</t>
  </si>
  <si>
    <t>RR8</t>
  </si>
  <si>
    <t>Leeds Teaching Hospitals NHS Trust</t>
  </si>
  <si>
    <t>RRK</t>
  </si>
  <si>
    <t>University Hospitals Birmingham NHS Foundation Trust</t>
  </si>
  <si>
    <t>RRV</t>
  </si>
  <si>
    <t>University College London Hospitals NHS Foundation Trust</t>
  </si>
  <si>
    <t>RT3</t>
  </si>
  <si>
    <t>Royal Brompton &amp; Harefield NHS Foundation Trust</t>
  </si>
  <si>
    <t>RTD</t>
  </si>
  <si>
    <t>Newcastle upon Tyne Hospitals NHS Foundation Trust</t>
  </si>
  <si>
    <t>RTE</t>
  </si>
  <si>
    <t>Gloucestershire Hospitals NHS Foundation Trust</t>
  </si>
  <si>
    <t>RTG</t>
  </si>
  <si>
    <t>RTH</t>
  </si>
  <si>
    <t>Oxford University Hospitals NHS Trust</t>
  </si>
  <si>
    <t>RTK</t>
  </si>
  <si>
    <t>Ashford And St Peter's Hospitals NHS Foundation Trust</t>
  </si>
  <si>
    <t>RTR</t>
  </si>
  <si>
    <t>South Tees Hospitals NHS Foundation Trust</t>
  </si>
  <si>
    <t>RVJ</t>
  </si>
  <si>
    <t>North Bristol NHS Trust</t>
  </si>
  <si>
    <t>RVV</t>
  </si>
  <si>
    <t>East Kent Hospitals University NHS Foundation Trust</t>
  </si>
  <si>
    <t>RW6</t>
  </si>
  <si>
    <t>Pennine Acute Hospitals NHS Trust</t>
  </si>
  <si>
    <t>RWA</t>
  </si>
  <si>
    <t>Hull and East Yorkshire Hospitals NHS Trust</t>
  </si>
  <si>
    <t>RWD</t>
  </si>
  <si>
    <t>United Lincolnshire Hospitals NHS Trust</t>
  </si>
  <si>
    <t>RWE</t>
  </si>
  <si>
    <t>University Hospitals of Leicester NHS Trust</t>
  </si>
  <si>
    <t>RWG</t>
  </si>
  <si>
    <t>West Hertfordshire Hospitals NHS Trust</t>
  </si>
  <si>
    <t>RWH</t>
  </si>
  <si>
    <t>East and North Hertfordshire NHS Trust</t>
  </si>
  <si>
    <t>RWP</t>
  </si>
  <si>
    <t>Worcestershire Acute Hospitals NHS Trust</t>
  </si>
  <si>
    <t>RWY</t>
  </si>
  <si>
    <t>Calderdale and Huddersfield NHS Foundation Trust</t>
  </si>
  <si>
    <t>RX1</t>
  </si>
  <si>
    <t>Nottingham University Hospitals NHS Trust</t>
  </si>
  <si>
    <t>RXF</t>
  </si>
  <si>
    <t>Mid Yorkshire Hospitals NHS Trust</t>
  </si>
  <si>
    <t>RXH</t>
  </si>
  <si>
    <t>Brighton and Sussex University Hospitals NHS Trust</t>
  </si>
  <si>
    <t>RXN</t>
  </si>
  <si>
    <t>Lancashire Teaching Hospitals NHS Foundation Trust</t>
  </si>
  <si>
    <t>RXP</t>
  </si>
  <si>
    <t>County Durham and Darlington NHS Foundation Trust</t>
  </si>
  <si>
    <t>RXR</t>
  </si>
  <si>
    <t>East Lancashire Hospitals NHS Trust</t>
  </si>
  <si>
    <t>RXW</t>
  </si>
  <si>
    <t>Shrewsbury and Telford Hospital NHS Trust</t>
  </si>
  <si>
    <t>RYJ</t>
  </si>
  <si>
    <t>Imperial College Healthcare NHS Trust</t>
  </si>
  <si>
    <t>SA999</t>
  </si>
  <si>
    <t>NHS Ayrshire &amp; Arran</t>
  </si>
  <si>
    <t>SF999</t>
  </si>
  <si>
    <t>NHS Fife</t>
  </si>
  <si>
    <t>SG999</t>
  </si>
  <si>
    <t>NHS Greater Glasgow and Clyde</t>
  </si>
  <si>
    <t>SH999</t>
  </si>
  <si>
    <t>NHS Highland</t>
  </si>
  <si>
    <t>SL999</t>
  </si>
  <si>
    <t>NHS Lanarkshire</t>
  </si>
  <si>
    <t>SN999</t>
  </si>
  <si>
    <t>NHS Grampian</t>
  </si>
  <si>
    <t>SS999</t>
  </si>
  <si>
    <t>NHS Lothian</t>
  </si>
  <si>
    <t>ST999</t>
  </si>
  <si>
    <t>NHS Tayside</t>
  </si>
  <si>
    <t>SV999</t>
  </si>
  <si>
    <t>NHS Forth Valley</t>
  </si>
  <si>
    <t>SY999</t>
  </si>
  <si>
    <t>NHS Dumfries and Galloway</t>
  </si>
  <si>
    <t>ZT001</t>
  </si>
  <si>
    <t>Belfast Health and Social Care Trust</t>
  </si>
  <si>
    <t>Trust Code</t>
  </si>
  <si>
    <t>Trust Name</t>
  </si>
  <si>
    <t>Performs CEA</t>
  </si>
  <si>
    <t>Performs AAA Repairs</t>
  </si>
  <si>
    <t>Performs Lower Limb Bypass</t>
  </si>
  <si>
    <t>Performs Lower Limb Angioplasty/Stent</t>
  </si>
  <si>
    <t>Performs Major Lower Limb Amputations</t>
  </si>
  <si>
    <t>Trust code</t>
  </si>
  <si>
    <t>NVR cases</t>
  </si>
  <si>
    <t>Patients referred within 7 days of symptom</t>
  </si>
  <si>
    <t>Patients receiving surgery within 7 days of referral</t>
  </si>
  <si>
    <t>Patients receiving surgery within 14 days of symptom</t>
  </si>
  <si>
    <t>Median(IQR) length of stay (days)</t>
  </si>
  <si>
    <t>Symptomatic cases</t>
  </si>
  <si>
    <t>Median delay and IQR from index symptom to surgery (days)</t>
  </si>
  <si>
    <t>NVR Cases</t>
  </si>
  <si>
    <t>No. of EVAR</t>
  </si>
  <si>
    <t>% patients with anaesthetic review</t>
  </si>
  <si>
    <t>% patients undergoing pre-op CT/MR angiogram assessment</t>
  </si>
  <si>
    <t>%patients discussed at MDT</t>
  </si>
  <si>
    <t>Median delay and IQR from assessment to surgery (days)</t>
  </si>
  <si>
    <t>Median (IQR) length of stay for open repairs (days)</t>
  </si>
  <si>
    <t>Median (IQR) length of stay for EVAR (days)</t>
  </si>
  <si>
    <t>% patients with date of assessment</t>
  </si>
  <si>
    <t>Median (IQR) length of stay (days)</t>
  </si>
  <si>
    <t>% Adjusted in-hospital mortality</t>
  </si>
  <si>
    <t>Adjusted in-hospital mortality</t>
  </si>
  <si>
    <t>AKA:BKA</t>
  </si>
  <si>
    <t>% Consultant Present in Theatre</t>
  </si>
  <si>
    <t>% Prophylactic Antibiotics</t>
  </si>
  <si>
    <t>Adjusted 30 day in-hospital mortality</t>
  </si>
  <si>
    <t>Swansea Bay University Health Board</t>
  </si>
  <si>
    <t>University Hospitals Plymouth NHS Trust</t>
  </si>
  <si>
    <t>East Suffolk and North Essex NHS Foundation Trust</t>
  </si>
  <si>
    <t>14 (7 - 27)</t>
  </si>
  <si>
    <t>9 (6 - 14)</t>
  </si>
  <si>
    <t>9 (4 - 16)</t>
  </si>
  <si>
    <t>7 (3 - 12)</t>
  </si>
  <si>
    <t>8 (5 - 15)</t>
  </si>
  <si>
    <t>10 (5 - 19)</t>
  </si>
  <si>
    <t>11 (6 - 21)</t>
  </si>
  <si>
    <t>7 (3 - 15)</t>
  </si>
  <si>
    <t>9 (8 - 11)</t>
  </si>
  <si>
    <t>4 (3 - 7)</t>
  </si>
  <si>
    <t>4 (3 - 6)</t>
  </si>
  <si>
    <t>5 (3 - 8)</t>
  </si>
  <si>
    <t>7 (4 - 13)</t>
  </si>
  <si>
    <t>4 (2 - 6)</t>
  </si>
  <si>
    <t>7 (5 - 12)</t>
  </si>
  <si>
    <t>5 (3 - 7)</t>
  </si>
  <si>
    <t>2 (2 - 5)</t>
  </si>
  <si>
    <t>3 (2 - 6)</t>
  </si>
  <si>
    <t>4 (2 - 8)</t>
  </si>
  <si>
    <t>6 (5 - 8)</t>
  </si>
  <si>
    <t>3 (2 - 4)</t>
  </si>
  <si>
    <t>1 (1 - 4)</t>
  </si>
  <si>
    <t>6 (4 - 10)</t>
  </si>
  <si>
    <t>3 (1 - 9)</t>
  </si>
  <si>
    <t>6 (5 - 9)</t>
  </si>
  <si>
    <t>7 (5 - 9)</t>
  </si>
  <si>
    <t>3 (2 - 5)</t>
  </si>
  <si>
    <t>2 (1 - 4)</t>
  </si>
  <si>
    <t>8 (5 - 12)</t>
  </si>
  <si>
    <t>3 (2 - 7)</t>
  </si>
  <si>
    <t>5 (3 - 9)</t>
  </si>
  <si>
    <t>8 (5 - 9)</t>
  </si>
  <si>
    <t>4 (2 - 7)</t>
  </si>
  <si>
    <t>5 (1 - 8)</t>
  </si>
  <si>
    <t>3 (3 - 6)</t>
  </si>
  <si>
    <t>7 (6 - 7)</t>
  </si>
  <si>
    <t>4 (3 - 5)</t>
  </si>
  <si>
    <t>8 (5 - 11)</t>
  </si>
  <si>
    <t>1 (1 - 1)</t>
  </si>
  <si>
    <t>RXQ</t>
  </si>
  <si>
    <t>5 (4 - 8)</t>
  </si>
  <si>
    <t>12 (6 - 20)</t>
  </si>
  <si>
    <t>7 (4 - 12)</t>
  </si>
  <si>
    <t>8 (4 - 17)</t>
  </si>
  <si>
    <t>9 (4 - 21)</t>
  </si>
  <si>
    <t>RA7</t>
  </si>
  <si>
    <t>6 (4 - 13)</t>
  </si>
  <si>
    <t>5 (3 - 10)</t>
  </si>
  <si>
    <t>6 (3 - 13)</t>
  </si>
  <si>
    <t>6 (3 - 14)</t>
  </si>
  <si>
    <t>5 (3 - 11)</t>
  </si>
  <si>
    <t>6 (4 - 11)</t>
  </si>
  <si>
    <t>8 (4 - 18)</t>
  </si>
  <si>
    <t>7 (4 - 16)</t>
  </si>
  <si>
    <t>6 (4 - 14)</t>
  </si>
  <si>
    <t>6 (3 - 11)</t>
  </si>
  <si>
    <t>7 (4 - 15)</t>
  </si>
  <si>
    <t>6 (3 - 12)</t>
  </si>
  <si>
    <t>7 (4 - 14)</t>
  </si>
  <si>
    <t>7 (5 - 8)</t>
  </si>
  <si>
    <t>8 (4 - 15)</t>
  </si>
  <si>
    <t>6 (4 - 12)</t>
  </si>
  <si>
    <t>9 (6 - 18)</t>
  </si>
  <si>
    <t>8 (5 - 14)</t>
  </si>
  <si>
    <t>4 (2 - 11)</t>
  </si>
  <si>
    <t>10 (6 - 22)</t>
  </si>
  <si>
    <t>4 (2 - 9)</t>
  </si>
  <si>
    <t>7 (4 - 18)</t>
  </si>
  <si>
    <t>7 (5 - 13)</t>
  </si>
  <si>
    <t>RD8</t>
  </si>
  <si>
    <t>RN3</t>
  </si>
  <si>
    <t>RN5</t>
  </si>
  <si>
    <t>2 (0 - 10)</t>
  </si>
  <si>
    <t>0 (0 - 8)</t>
  </si>
  <si>
    <t>0 (0 - 0)</t>
  </si>
  <si>
    <t>0 (0 - 7)</t>
  </si>
  <si>
    <t>0 (0 - 2)</t>
  </si>
  <si>
    <t>0 (0 - 1)</t>
  </si>
  <si>
    <t>0 (0 - 4)</t>
  </si>
  <si>
    <t>2 (1 - 2)</t>
  </si>
  <si>
    <t>1 (1 - 5)</t>
  </si>
  <si>
    <t>1 (0 - 3)</t>
  </si>
  <si>
    <t>1 (0 - 10)</t>
  </si>
  <si>
    <t>0 (0 - 3)</t>
  </si>
  <si>
    <t>2 (1 - 7)</t>
  </si>
  <si>
    <t>3 (1 - 8)</t>
  </si>
  <si>
    <t>1 (1 - 3)</t>
  </si>
  <si>
    <t>3 (1 - 7)</t>
  </si>
  <si>
    <t>1 (0 - 5)</t>
  </si>
  <si>
    <t>0 (0 - 5)</t>
  </si>
  <si>
    <t>1 (1 - 8)</t>
  </si>
  <si>
    <t>1 (0 - 9)</t>
  </si>
  <si>
    <t>1 (0 - 4)</t>
  </si>
  <si>
    <t>2 (1 - 5)</t>
  </si>
  <si>
    <t>5 (2 - 7)</t>
  </si>
  <si>
    <t>1 (1 - 6)</t>
  </si>
  <si>
    <t>1 (0 - 14)</t>
  </si>
  <si>
    <t>0 (0 - 6)</t>
  </si>
  <si>
    <t>5 (2 - 12)</t>
  </si>
  <si>
    <t>5 (2 - 13)</t>
  </si>
  <si>
    <t>11 (7 - 21)</t>
  </si>
  <si>
    <t>10 (6 - 18)</t>
  </si>
  <si>
    <t>5 (2 - 8)</t>
  </si>
  <si>
    <t>2 (2 - 6)</t>
  </si>
  <si>
    <t>2 (1 - 3)</t>
  </si>
  <si>
    <t>3 (2 - 3)</t>
  </si>
  <si>
    <t>1 (1 - 2)</t>
  </si>
  <si>
    <t>9 (6 - 19)</t>
  </si>
  <si>
    <t>6 (3 - 8)</t>
  </si>
  <si>
    <t>8 (6 - 10)</t>
  </si>
  <si>
    <t>10 (7 - 12)</t>
  </si>
  <si>
    <t>3 (1 - 5)</t>
  </si>
  <si>
    <t>4 (3 - 8)</t>
  </si>
  <si>
    <t>8 (6 - 14)</t>
  </si>
  <si>
    <t>2 (2 - 3)</t>
  </si>
  <si>
    <t>5 (2 - 10)</t>
  </si>
  <si>
    <t>8 (5 - 13)</t>
  </si>
  <si>
    <t>8 (6 - 11)</t>
  </si>
  <si>
    <t>2 (1 - 6)</t>
  </si>
  <si>
    <t>8 (5 - 16)</t>
  </si>
  <si>
    <t>10 (6 - 28)</t>
  </si>
  <si>
    <t>6 (2 - 11)</t>
  </si>
  <si>
    <t>9 (7 - 14)</t>
  </si>
  <si>
    <t>6 (3 - 10)</t>
  </si>
  <si>
    <t>7 (5 - 11)</t>
  </si>
  <si>
    <t>3 (1 - 6)</t>
  </si>
  <si>
    <t>2 (1 - 9)</t>
  </si>
  <si>
    <t>3 (3 - 4)</t>
  </si>
  <si>
    <t>11 (8 - 16)</t>
  </si>
  <si>
    <t>3 (3 - 5)</t>
  </si>
  <si>
    <t>% Adjusted Stroke and/or death  rate (2016-2018)</t>
  </si>
  <si>
    <t>Adjusted in-hospital mortality (2016-2018)</t>
  </si>
  <si>
    <t>8 (7 - 13)</t>
  </si>
  <si>
    <t>2 (2 - 4)</t>
  </si>
  <si>
    <t>4 (2 - 5)</t>
  </si>
  <si>
    <t>6 (5 - 11)</t>
  </si>
  <si>
    <t>7 (6 - 9)</t>
  </si>
  <si>
    <t>6 (5 - 6)</t>
  </si>
  <si>
    <t>9 (8 - 10)</t>
  </si>
  <si>
    <t>7 (6 - 11)</t>
  </si>
  <si>
    <t>8 (6 - 9)</t>
  </si>
  <si>
    <t>7 (6 - 8)</t>
  </si>
  <si>
    <t>7 (6 - 12)</t>
  </si>
  <si>
    <t>6 (5 - 7)</t>
  </si>
  <si>
    <t>8 (7 - 9)</t>
  </si>
  <si>
    <t>7 (5 - 10)</t>
  </si>
  <si>
    <t>6 (4 - 7)</t>
  </si>
  <si>
    <t>12 (8 - 15)</t>
  </si>
  <si>
    <t>5 (5 - 6)</t>
  </si>
  <si>
    <t>8 (7 - 12)</t>
  </si>
  <si>
    <t>8 (7 - 10)</t>
  </si>
  <si>
    <t>9 (8 - 15)</t>
  </si>
  <si>
    <t>6 (3 - 9)</t>
  </si>
  <si>
    <t>8 (8 - 11)</t>
  </si>
  <si>
    <t>10 (8 - 11)</t>
  </si>
  <si>
    <t>readmission within  30 days</t>
  </si>
  <si>
    <t>7 (4 - 11)</t>
  </si>
  <si>
    <t>5 (1 - 11)</t>
  </si>
  <si>
    <t>1 (0 - 1)</t>
  </si>
  <si>
    <t>6 (2 - 10)</t>
  </si>
  <si>
    <t>4 (1 - 7)</t>
  </si>
  <si>
    <t>5 (1 - 9)</t>
  </si>
  <si>
    <t>5 (2 - 9)</t>
  </si>
  <si>
    <t>3 (0 - 7)</t>
  </si>
  <si>
    <t>7 (3 - 10)</t>
  </si>
  <si>
    <t>11 (7 - 17)</t>
  </si>
  <si>
    <t>10 (7 - 15)</t>
  </si>
  <si>
    <t>4 (3 - 4)</t>
  </si>
  <si>
    <t>N/A</t>
  </si>
  <si>
    <t>6 (6 - 7)</t>
  </si>
  <si>
    <t>11 (8 - 12)</t>
  </si>
  <si>
    <t>9 (6 - 11)</t>
  </si>
  <si>
    <t>12 (9 - 23)</t>
  </si>
  <si>
    <t>8 (6 - 13)</t>
  </si>
  <si>
    <t>9 (8 - 14)</t>
  </si>
  <si>
    <t>University Hospitals Bristol NHS Foundation Trust</t>
  </si>
  <si>
    <t>Milton Keynes Hospital NHS Foundation Trust</t>
  </si>
  <si>
    <t>Great Western Hospitals NHS Foundation Trust</t>
  </si>
  <si>
    <t>Hampshire Hospitals NHS Foundation Trust</t>
  </si>
  <si>
    <t>Buckinghamshire Healthcare NHS Trust</t>
  </si>
  <si>
    <t>9 (7 - 15)</t>
  </si>
  <si>
    <t>Readmission Denom</t>
  </si>
  <si>
    <t>&lt;5</t>
  </si>
  <si>
    <t>xx</t>
  </si>
  <si>
    <t>University Hospitals of Derby and Burton NHS Foundation Trust</t>
  </si>
  <si>
    <t>Median (IQR delay from vascular assessment to ampuation (days) for non-elective admissions</t>
  </si>
  <si>
    <t>7 (2 - 13)</t>
  </si>
  <si>
    <t>8 (4 - 16)</t>
  </si>
  <si>
    <t>Select Trust</t>
  </si>
  <si>
    <t>NATIONAL</t>
  </si>
  <si>
    <t>Trust N</t>
  </si>
  <si>
    <t>NICE</t>
  </si>
  <si>
    <t>Med Symproc</t>
  </si>
  <si>
    <t>LQErrorBar</t>
  </si>
  <si>
    <t>UQErrorBar</t>
  </si>
  <si>
    <t>AAAMortVol</t>
  </si>
  <si>
    <t>AAAMort</t>
  </si>
  <si>
    <t>LQ Error Bar</t>
  </si>
  <si>
    <t>UQ Error Bar</t>
  </si>
  <si>
    <t>procedure_type</t>
  </si>
  <si>
    <t>procedures</t>
  </si>
  <si>
    <t>cea</t>
  </si>
  <si>
    <t>ul998</t>
  </si>
  <si>
    <t>National</t>
  </si>
  <si>
    <t>trust_code</t>
  </si>
  <si>
    <t>surv_num</t>
  </si>
  <si>
    <t>Stroke/Death 30</t>
  </si>
  <si>
    <t>Med AssProc</t>
  </si>
  <si>
    <t>LQ ErrorBar</t>
  </si>
  <si>
    <t>NAAASP</t>
  </si>
  <si>
    <t>Error</t>
  </si>
  <si>
    <t>RankN</t>
  </si>
  <si>
    <t>Derby Teaching Hospitals NHS Foundation Trust</t>
  </si>
  <si>
    <t>Adjusted in-hospital mortality (2015-2017)</t>
  </si>
  <si>
    <t>Plymouth Hospitals NHS Trust</t>
  </si>
  <si>
    <t>Colchester Hospital University NHS Foundation Trust</t>
  </si>
  <si>
    <t>Metric</t>
  </si>
  <si>
    <t>Report Year</t>
  </si>
  <si>
    <t>Trust</t>
  </si>
  <si>
    <t>Quartile</t>
  </si>
  <si>
    <t>Choose Graph</t>
  </si>
  <si>
    <t>RR1</t>
  </si>
  <si>
    <t>Heart of England NHS Foundation Trust</t>
  </si>
  <si>
    <t>Abertawe Bro Morgannwg University Health Board</t>
  </si>
  <si>
    <t>LQ AssProc</t>
  </si>
  <si>
    <t>UQ AssProc</t>
  </si>
  <si>
    <t>aaa</t>
  </si>
  <si>
    <t>Mortality Rate</t>
  </si>
  <si>
    <t>elec_ir_surv_num</t>
  </si>
  <si>
    <t>Min</t>
  </si>
  <si>
    <t>Q1</t>
  </si>
  <si>
    <t>Median</t>
  </si>
  <si>
    <t>Q3</t>
  </si>
  <si>
    <t>Max</t>
  </si>
  <si>
    <t>Date of Assessmet Quartile</t>
  </si>
  <si>
    <t>Anaesthetic Review Quartile</t>
  </si>
  <si>
    <t>Pre-op CT/MR Assessment Quartile</t>
  </si>
  <si>
    <t>MDT Quartile</t>
  </si>
  <si>
    <t>9 (8 - 16)</t>
  </si>
  <si>
    <t>8 (8 - 9)</t>
  </si>
  <si>
    <t>7 (4 - 8)</t>
  </si>
  <si>
    <t>7 (7 - 10)</t>
  </si>
  <si>
    <t>7 (6 - 10)</t>
  </si>
  <si>
    <t>10 (7 - 14)</t>
  </si>
  <si>
    <t>19 (14 - 24)</t>
  </si>
  <si>
    <t>7 (7 - 9)</t>
  </si>
  <si>
    <t>8 (6 - 12)</t>
  </si>
  <si>
    <t>8 (7 - 11)</t>
  </si>
  <si>
    <t>5 (4 - 6)</t>
  </si>
  <si>
    <t>7 (7 - 8)</t>
  </si>
  <si>
    <t>9 (7 - 13)</t>
  </si>
  <si>
    <t>9 (7 - 11)</t>
  </si>
  <si>
    <t>3 (1 - 4)</t>
  </si>
  <si>
    <t>9 (8 - 12)</t>
  </si>
  <si>
    <t>5 (4 - 7)</t>
  </si>
  <si>
    <t>Rank</t>
  </si>
  <si>
    <t>123 (63 - 186)</t>
  </si>
  <si>
    <t>66 (38 - 91)</t>
  </si>
  <si>
    <t>121 (82 - 163)</t>
  </si>
  <si>
    <t>11 (7 - 14)</t>
  </si>
  <si>
    <t>68 (49 - 113)</t>
  </si>
  <si>
    <t>55 (41 - 113)</t>
  </si>
  <si>
    <t>92 (50 - 138)</t>
  </si>
  <si>
    <t>49 (28 - 111)</t>
  </si>
  <si>
    <t>108 (58 - 162)</t>
  </si>
  <si>
    <t>64 (33 - 99)</t>
  </si>
  <si>
    <t>6 (6 - 9)</t>
  </si>
  <si>
    <t>62 (37 - 81)</t>
  </si>
  <si>
    <t>116 (49 - 168)</t>
  </si>
  <si>
    <t>28 (14 - 54)</t>
  </si>
  <si>
    <t>77 (47 - 124)</t>
  </si>
  <si>
    <t>9 (7 - 12)</t>
  </si>
  <si>
    <t>95 (62 - 166)</t>
  </si>
  <si>
    <t>40 (31 - 65)</t>
  </si>
  <si>
    <t>61 (38 - 87)</t>
  </si>
  <si>
    <t>78 (41 - 113)</t>
  </si>
  <si>
    <t>76 (49 - 109)</t>
  </si>
  <si>
    <t>54 (36 - 105)</t>
  </si>
  <si>
    <t>13 (10 - 20)</t>
  </si>
  <si>
    <t>58 (28 - 98)</t>
  </si>
  <si>
    <t>8 (8 - 15)</t>
  </si>
  <si>
    <t>71 (28 - 128)</t>
  </si>
  <si>
    <t>9 (7 - 17)</t>
  </si>
  <si>
    <t>45 (23 - 83)</t>
  </si>
  <si>
    <t>48 (35 - 71)</t>
  </si>
  <si>
    <t>57 (34 - 92)</t>
  </si>
  <si>
    <t>57 (25 - 96)</t>
  </si>
  <si>
    <t>58 (32 - 96)</t>
  </si>
  <si>
    <t>80 (38 - 138)</t>
  </si>
  <si>
    <t>82 (57 - 122)</t>
  </si>
  <si>
    <t>84 (46 - 137)</t>
  </si>
  <si>
    <t>4 (4 - 5)</t>
  </si>
  <si>
    <t>41 (19 - 102)</t>
  </si>
  <si>
    <t>84 (36 - 143)</t>
  </si>
  <si>
    <t>82 (59 - 139)</t>
  </si>
  <si>
    <t>35 (19 - 71)</t>
  </si>
  <si>
    <t>74 (44 - 119)</t>
  </si>
  <si>
    <t>81 (37 - 104)</t>
  </si>
  <si>
    <t>149 (86 - 185)</t>
  </si>
  <si>
    <t>12 (7 - 15)</t>
  </si>
  <si>
    <t>49 (34 - 106)</t>
  </si>
  <si>
    <t>7 (7 - 13)</t>
  </si>
  <si>
    <t>98 (77 - 181)</t>
  </si>
  <si>
    <t>79 (50 - 102)</t>
  </si>
  <si>
    <t>61 (29 - 119)</t>
  </si>
  <si>
    <t>56 (40 - 100)</t>
  </si>
  <si>
    <t>71 (39 - 107)</t>
  </si>
  <si>
    <t>81 (41 - 129)</t>
  </si>
  <si>
    <t>66 (29 - 95)</t>
  </si>
  <si>
    <t>120 (103 - 134)</t>
  </si>
  <si>
    <t>15 (9 - 20)</t>
  </si>
  <si>
    <t>52 (31 - 111)</t>
  </si>
  <si>
    <t>56 (36 - 99)</t>
  </si>
  <si>
    <t>74 (53 - 104)</t>
  </si>
  <si>
    <t>8 (4 - 9)</t>
  </si>
  <si>
    <t>54 (33 - 115)</t>
  </si>
  <si>
    <t>66 (48 - 117)</t>
  </si>
  <si>
    <t>10 (9 - 10)</t>
  </si>
  <si>
    <t>77 (42 - 140)</t>
  </si>
  <si>
    <t>72 (42 - 119)</t>
  </si>
  <si>
    <t>61 (32 - 83)</t>
  </si>
  <si>
    <t>6 (5 - 12)</t>
  </si>
  <si>
    <t>76 (53 - 107)</t>
  </si>
  <si>
    <t>77 (52 - 135)</t>
  </si>
  <si>
    <t>93 (56 - 147)</t>
  </si>
  <si>
    <t>77 (48 - 165)</t>
  </si>
  <si>
    <t>12 (9 - 13)</t>
  </si>
  <si>
    <t>64 (36 - 120)</t>
  </si>
  <si>
    <t>129 (56 - 250)</t>
  </si>
  <si>
    <t>146 (73 - 196)</t>
  </si>
  <si>
    <t>8 (7 - 14)</t>
  </si>
  <si>
    <t>86 (45 - 138)</t>
  </si>
  <si>
    <t>48 (30 - 106)</t>
  </si>
  <si>
    <t>65 (36 - 118)</t>
  </si>
  <si>
    <t>90 (43 - 133)</t>
  </si>
  <si>
    <t>8 (8 - 22)</t>
  </si>
  <si>
    <t>30 (13 - 63)</t>
  </si>
  <si>
    <t>69 (34 - 92)</t>
  </si>
  <si>
    <t>54 (36 - 88)</t>
  </si>
  <si>
    <t>46 (36 - 64)</t>
  </si>
  <si>
    <t>47 (34 - 73)</t>
  </si>
  <si>
    <t>78 (35 - 121)</t>
  </si>
  <si>
    <t>72 (46 - 105)</t>
  </si>
  <si>
    <t>6 (5 - 13)</t>
  </si>
  <si>
    <t>75 (47 - 125)</t>
  </si>
  <si>
    <t>66 (44 - 98)</t>
  </si>
  <si>
    <t>64 (35 - 118)</t>
  </si>
  <si>
    <t>57 (33 - 86)</t>
  </si>
  <si>
    <t>50 (27 - 97)</t>
  </si>
  <si>
    <t>61 (34 - 101)</t>
  </si>
  <si>
    <t>Standard</t>
  </si>
  <si>
    <t>Med AdmProc</t>
  </si>
  <si>
    <t>CEAMortVol</t>
  </si>
  <si>
    <t>Readmission within 30 days</t>
  </si>
  <si>
    <t>byp</t>
  </si>
  <si>
    <t>Day Cases</t>
  </si>
  <si>
    <t>Procedure Successful</t>
  </si>
  <si>
    <t>Angioplasties on a planned list</t>
  </si>
  <si>
    <t>ang</t>
  </si>
  <si>
    <t>amp</t>
  </si>
  <si>
    <t>Consultant present in theatre quartile</t>
  </si>
  <si>
    <t>Prophylactic antibiotics quartile</t>
  </si>
  <si>
    <t>AKA:BKA Lower CI</t>
  </si>
  <si>
    <t>AKA:BKA Upper CI</t>
  </si>
  <si>
    <t>AKA:BKA Lower ErrorBar</t>
  </si>
  <si>
    <t>AKA:BKA Upper ErrorBar</t>
  </si>
  <si>
    <t>Med Assessment to amputation</t>
  </si>
  <si>
    <t>LQ Assessment to amputation</t>
  </si>
  <si>
    <t>UQ Assessment to amputation</t>
  </si>
  <si>
    <t>GraphData2</t>
  </si>
  <si>
    <t>Rank2</t>
  </si>
  <si>
    <t>Rank1</t>
  </si>
  <si>
    <t>GraphData1</t>
  </si>
  <si>
    <t>Assessment to amputation rank</t>
  </si>
  <si>
    <t>Graph L ErrorBar</t>
  </si>
  <si>
    <t>Graph U ErrorBar</t>
  </si>
  <si>
    <t>LQ Error Assessment to amputation</t>
  </si>
  <si>
    <t>UQ Error Assessment to amputation</t>
  </si>
  <si>
    <t>Planned List CI_L</t>
  </si>
  <si>
    <t>Planned List Error CI_U</t>
  </si>
  <si>
    <t>Day Cases CI_L</t>
  </si>
  <si>
    <t>Day Cases Error CI_U</t>
  </si>
  <si>
    <t>Procedure Successful CI_L</t>
  </si>
  <si>
    <t>Planned List ErrorBar_L</t>
  </si>
  <si>
    <t>Planned List Error ErrorBar_U</t>
  </si>
  <si>
    <t>Day Cases ErrorBar_L</t>
  </si>
  <si>
    <t>Day Cases Error ErrorBar_U</t>
  </si>
  <si>
    <t>Procedure Successful ErrorBar_L</t>
  </si>
  <si>
    <t>Procedure Successful Error ErrorBar_U</t>
  </si>
  <si>
    <t>Procedure Successful CI_U</t>
  </si>
  <si>
    <t>%</t>
  </si>
  <si>
    <t>ErrorBar_U</t>
  </si>
  <si>
    <t>ErrorBar_L</t>
  </si>
  <si>
    <t>Readmission within  30 days</t>
  </si>
  <si>
    <t>Graph Data2</t>
  </si>
  <si>
    <t>ll998</t>
  </si>
  <si>
    <t>Ashford and St Peter's Hospitals NHS Foundation Trust</t>
  </si>
  <si>
    <t>Barking, Havering and Redbridge University Hospitals NHS Trust</t>
  </si>
  <si>
    <t>RXL</t>
  </si>
  <si>
    <t>Blackpool Teaching Hospitals NHS Foundation Trust</t>
  </si>
  <si>
    <t>Cwm Taf Morgannwg University Health Board</t>
  </si>
  <si>
    <t>Doncaster and Bassetlaw Teaching Hospitals NHS Foundation Trust</t>
  </si>
  <si>
    <t>Hull University Teaching Hospitals NHS Trust</t>
  </si>
  <si>
    <t>Liverpool University Hospitals NHS Foundation Trust</t>
  </si>
  <si>
    <t>London North West University Healthcare NHS Trust</t>
  </si>
  <si>
    <t>Milton Keynes University Hospital NHS Foundation Trust</t>
  </si>
  <si>
    <t>Oxford University Hospitals NHS Foundation Trust</t>
  </si>
  <si>
    <t>RD1</t>
  </si>
  <si>
    <t>Royal United Hospital Bath NHS Trust</t>
  </si>
  <si>
    <t>RNZ</t>
  </si>
  <si>
    <t>Salisbury NHS Foundation Trust</t>
  </si>
  <si>
    <t>RVY</t>
  </si>
  <si>
    <t>Southport and Ormskirk Hospital NHS Trust</t>
  </si>
  <si>
    <t>RTP</t>
  </si>
  <si>
    <t>Surrey and Sussex Healthcare NHS Trust</t>
  </si>
  <si>
    <t>RRF</t>
  </si>
  <si>
    <t>Wrightington, Wigan And Leigh NHS Foundation Trust</t>
  </si>
  <si>
    <t>&lt;10</t>
  </si>
  <si>
    <t>1 (0 - 13)</t>
  </si>
  <si>
    <t>3 (0 - 20)</t>
  </si>
  <si>
    <t>8 (4 - 13)</t>
  </si>
  <si>
    <t>2 (1 - 10)</t>
  </si>
  <si>
    <t>2 (0 - 12)</t>
  </si>
  <si>
    <t>5 (1 - 16)</t>
  </si>
  <si>
    <t>1 (0 - 8)</t>
  </si>
  <si>
    <t>2 (1 - 12)</t>
  </si>
  <si>
    <t>8 (6 - 15)</t>
  </si>
  <si>
    <t>11 (4 - 20)</t>
  </si>
  <si>
    <t>4 (0 - 8)</t>
  </si>
  <si>
    <t>2 (0 - 11)</t>
  </si>
  <si>
    <t>12 (8 - 20)</t>
  </si>
  <si>
    <t>1 (0 - 7)</t>
  </si>
  <si>
    <t>9 (2 - 21)</t>
  </si>
  <si>
    <t>4 (0 - 11)</t>
  </si>
  <si>
    <t>4 (1 - 17)</t>
  </si>
  <si>
    <t>10 (1 - 15)</t>
  </si>
  <si>
    <t>4 (0 - 7)</t>
  </si>
  <si>
    <t>2 (0 - 16)</t>
  </si>
  <si>
    <t>9 (1 - 23)</t>
  </si>
  <si>
    <t>9 (5 - 13)</t>
  </si>
  <si>
    <t>2 (0 - 8)</t>
  </si>
  <si>
    <t>10 (2 - 16)</t>
  </si>
  <si>
    <t>29 (16-48)</t>
  </si>
  <si>
    <t>8 (4-28)</t>
  </si>
  <si>
    <t>20 (13-30)</t>
  </si>
  <si>
    <t>5 (2-11)</t>
  </si>
  <si>
    <t>39 (24-64)</t>
  </si>
  <si>
    <t>8 (4-30)</t>
  </si>
  <si>
    <t>30 (16-59)</t>
  </si>
  <si>
    <t>13 (5-21)</t>
  </si>
  <si>
    <t>29 (17-44)</t>
  </si>
  <si>
    <t>4 (3-26)</t>
  </si>
  <si>
    <t>19 (12-32)</t>
  </si>
  <si>
    <t>16 (6-66)</t>
  </si>
  <si>
    <t>17 (10-27)</t>
  </si>
  <si>
    <t>16 (6-55)</t>
  </si>
  <si>
    <t>22 (13-33)</t>
  </si>
  <si>
    <t>12 (3-29)</t>
  </si>
  <si>
    <t>25 (17-43)</t>
  </si>
  <si>
    <t>10 (4-26)</t>
  </si>
  <si>
    <t>17 (12-28)</t>
  </si>
  <si>
    <t>14 (5-38)</t>
  </si>
  <si>
    <t>22 (10-45)</t>
  </si>
  <si>
    <t>16 (3-33)</t>
  </si>
  <si>
    <t>19 (11-30)</t>
  </si>
  <si>
    <t>9 (4-18)</t>
  </si>
  <si>
    <t>40 (23-77)</t>
  </si>
  <si>
    <t>10 (4-25)</t>
  </si>
  <si>
    <t>33 (22-52)</t>
  </si>
  <si>
    <t>9 (3-29)</t>
  </si>
  <si>
    <t>23 (15-35)</t>
  </si>
  <si>
    <t>10 (4-22)</t>
  </si>
  <si>
    <t>27 (14-43)</t>
  </si>
  <si>
    <t>37 (19-117)</t>
  </si>
  <si>
    <t>23 (10-35)</t>
  </si>
  <si>
    <t>24 (8-49)</t>
  </si>
  <si>
    <t>23 (14-41)</t>
  </si>
  <si>
    <t>7 (3-20)</t>
  </si>
  <si>
    <t>20 (14-32)</t>
  </si>
  <si>
    <t>14 (4-34)</t>
  </si>
  <si>
    <t>32 (14-57)</t>
  </si>
  <si>
    <t>10 (4-24)</t>
  </si>
  <si>
    <t>29 (13-47)</t>
  </si>
  <si>
    <t>11 (4-28)</t>
  </si>
  <si>
    <t>29 (16-46)</t>
  </si>
  <si>
    <t>14 (4-43)</t>
  </si>
  <si>
    <t>16 (11-23)</t>
  </si>
  <si>
    <t>7 (4-24)</t>
  </si>
  <si>
    <t>48 (24-67)</t>
  </si>
  <si>
    <t>8 (2-29)</t>
  </si>
  <si>
    <t>18 (12-28)</t>
  </si>
  <si>
    <t>16 (6-46)</t>
  </si>
  <si>
    <t>40 (28-57)</t>
  </si>
  <si>
    <t>11 (6-27)</t>
  </si>
  <si>
    <t>55 (39-81)</t>
  </si>
  <si>
    <t>17 (5-55)</t>
  </si>
  <si>
    <t>28 (17-45)</t>
  </si>
  <si>
    <t>10 (5-20)</t>
  </si>
  <si>
    <t>17 (12-33)</t>
  </si>
  <si>
    <t>9 (3-46)</t>
  </si>
  <si>
    <t>36 (22-55)</t>
  </si>
  <si>
    <t>11 (4-22)</t>
  </si>
  <si>
    <t>28 (20-46)</t>
  </si>
  <si>
    <t>10 (4-21)</t>
  </si>
  <si>
    <t>29 (19-48)</t>
  </si>
  <si>
    <t>11 (3-21)</t>
  </si>
  <si>
    <t>27 (18-45)</t>
  </si>
  <si>
    <t>9 (3-15)</t>
  </si>
  <si>
    <t>24 (14-41)</t>
  </si>
  <si>
    <t>7 (3-14)</t>
  </si>
  <si>
    <t>24 (15-38)</t>
  </si>
  <si>
    <t>14 (5-33)</t>
  </si>
  <si>
    <t>27 (23-53)</t>
  </si>
  <si>
    <t>9 (5-23)</t>
  </si>
  <si>
    <t>30 (14-46)</t>
  </si>
  <si>
    <t>5 (2-10)</t>
  </si>
  <si>
    <t>37 (24-50)</t>
  </si>
  <si>
    <t>9 (4-23)</t>
  </si>
  <si>
    <t>40 (23-53)</t>
  </si>
  <si>
    <t>7 (2-11)</t>
  </si>
  <si>
    <t>33 (19-54)</t>
  </si>
  <si>
    <t>28 (9-78)</t>
  </si>
  <si>
    <t>30 (11-50)</t>
  </si>
  <si>
    <t>10 (5-18)</t>
  </si>
  <si>
    <t>16 (10-28)</t>
  </si>
  <si>
    <t>6 (2-14)</t>
  </si>
  <si>
    <t>20 (11-37)</t>
  </si>
  <si>
    <t>8 (4-14)</t>
  </si>
  <si>
    <t>20 (10-32)</t>
  </si>
  <si>
    <t>8 (4-23)</t>
  </si>
  <si>
    <t>25 (15-45)</t>
  </si>
  <si>
    <t>5 (2-14)</t>
  </si>
  <si>
    <t>12 (7-40)</t>
  </si>
  <si>
    <t>20 (13-31)</t>
  </si>
  <si>
    <t>6 (3-12)</t>
  </si>
  <si>
    <t>19 (10-33)</t>
  </si>
  <si>
    <t>8 (3-20)</t>
  </si>
  <si>
    <t>25 (15-39)</t>
  </si>
  <si>
    <t>6 (2-15)</t>
  </si>
  <si>
    <t>36 (19-56)</t>
  </si>
  <si>
    <t>18 (6-80)</t>
  </si>
  <si>
    <t>16 (10-25)</t>
  </si>
  <si>
    <t>6 (2-19)</t>
  </si>
  <si>
    <t>73 (73-73)</t>
  </si>
  <si>
    <t>18 (13-32)</t>
  </si>
  <si>
    <t>11 (5-30)</t>
  </si>
  <si>
    <t>24 (14-39)</t>
  </si>
  <si>
    <t>29 (17-45)</t>
  </si>
  <si>
    <t>11 (4-30)</t>
  </si>
  <si>
    <t>17 (11-30)</t>
  </si>
  <si>
    <t>7 (3-15)</t>
  </si>
  <si>
    <t>21 (13-31)</t>
  </si>
  <si>
    <t>10 (3-42)</t>
  </si>
  <si>
    <t>19 (13-31)</t>
  </si>
  <si>
    <t>8 (3-17)</t>
  </si>
  <si>
    <t>21 (15-39)</t>
  </si>
  <si>
    <t>24 (3-48)</t>
  </si>
  <si>
    <t>23 (13-34)</t>
  </si>
  <si>
    <t>21 (14-34)</t>
  </si>
  <si>
    <t>10 (4-28)</t>
  </si>
  <si>
    <t>23 (14-32)</t>
  </si>
  <si>
    <t>11 (7-22)</t>
  </si>
  <si>
    <t>21 (12-38)</t>
  </si>
  <si>
    <t>5 (2-16)</t>
  </si>
  <si>
    <t>8 (6-21)</t>
  </si>
  <si>
    <t>30 (6-98)</t>
  </si>
  <si>
    <t>8 (4-19)</t>
  </si>
  <si>
    <t>25 (13-42)</t>
  </si>
  <si>
    <t>8 (3-21)</t>
  </si>
  <si>
    <t>13 (8-21)</t>
  </si>
  <si>
    <t>13 (5-36)</t>
  </si>
  <si>
    <t>26 (14-43)</t>
  </si>
  <si>
    <t>9 (5-19)</t>
  </si>
  <si>
    <t>25 (14-41)</t>
  </si>
  <si>
    <t>14 (5-41)</t>
  </si>
  <si>
    <t>18 (12-29)</t>
  </si>
  <si>
    <t>3 (1-5)</t>
  </si>
  <si>
    <t>17 (10-23)</t>
  </si>
  <si>
    <t>11 (4-29)</t>
  </si>
  <si>
    <t>14 (8-21)</t>
  </si>
  <si>
    <t>28 (8-86)</t>
  </si>
  <si>
    <t>22 (14-32)</t>
  </si>
  <si>
    <t>8 (7-19)</t>
  </si>
  <si>
    <t>21 (12-30)</t>
  </si>
  <si>
    <t>7 (3-18)</t>
  </si>
  <si>
    <t>18 (11-37)</t>
  </si>
  <si>
    <t>10 (4-84)</t>
  </si>
  <si>
    <t>23 (13-39)</t>
  </si>
  <si>
    <t>14 (7 - 18)</t>
  </si>
  <si>
    <t>9 (5 - 12)</t>
  </si>
  <si>
    <t>12 (6 - 22)</t>
  </si>
  <si>
    <t>6 (2 - 9)</t>
  </si>
  <si>
    <t>7 (0 - 12)</t>
  </si>
  <si>
    <t>9 (5 - 19)</t>
  </si>
  <si>
    <t>7 (4 - 9)</t>
  </si>
  <si>
    <t>4 (3 - 14)</t>
  </si>
  <si>
    <t>8 (4 - 20)</t>
  </si>
  <si>
    <t>3 (2 - 13)</t>
  </si>
  <si>
    <t>8 (4 - 14)</t>
  </si>
  <si>
    <t>10 (4 - 20)</t>
  </si>
  <si>
    <t>9 (4 - 22)</t>
  </si>
  <si>
    <t>9 (4 - 13)</t>
  </si>
  <si>
    <t>13 (6 - 25)</t>
  </si>
  <si>
    <t>15 (6 - 35)</t>
  </si>
  <si>
    <t>4 (1 - 10)</t>
  </si>
  <si>
    <t>10 (7 - 20)</t>
  </si>
  <si>
    <t>10 (6 - 21)</t>
  </si>
  <si>
    <t>9 (5 - 17)</t>
  </si>
  <si>
    <t>5 (2 - 6)</t>
  </si>
  <si>
    <t>4 (3 - 10)</t>
  </si>
  <si>
    <t>4 (2 - 10)</t>
  </si>
  <si>
    <t>7 (6 - 14)</t>
  </si>
  <si>
    <t>7 (4 - 19)</t>
  </si>
  <si>
    <t>6 (2 - 8)</t>
  </si>
  <si>
    <t>8 (4 - 19)</t>
  </si>
  <si>
    <t>7 (4 - 10)</t>
  </si>
  <si>
    <t>8 (3 - 14)</t>
  </si>
  <si>
    <t>9 (6 - 15)</t>
  </si>
  <si>
    <t>6 (2 - 12)</t>
  </si>
  <si>
    <t>13 (6 - 15)</t>
  </si>
  <si>
    <t>6 (5 - 15)</t>
  </si>
  <si>
    <t>12 (5 - 56)</t>
  </si>
  <si>
    <t>3 (2 - 15)</t>
  </si>
  <si>
    <t>11 (7 - 13)</t>
  </si>
  <si>
    <t>9 (3 - 11)</t>
  </si>
  <si>
    <t>7 (3 - 11)</t>
  </si>
  <si>
    <t>14 (10 - 28)</t>
  </si>
  <si>
    <t>12 (10 - 17)</t>
  </si>
  <si>
    <t>14 (10 - 26)</t>
  </si>
  <si>
    <t>13 (11 - 16)</t>
  </si>
  <si>
    <t>13 (8 - 38)</t>
  </si>
  <si>
    <t>12 (7 - 19)</t>
  </si>
  <si>
    <t>13 (8 - 21)</t>
  </si>
  <si>
    <t>18 (9 - 33)</t>
  </si>
  <si>
    <t>8 (5 - 17)</t>
  </si>
  <si>
    <t>13 (8 - 22)</t>
  </si>
  <si>
    <t>10 (7 - 23)</t>
  </si>
  <si>
    <t>21 (10 - 43)</t>
  </si>
  <si>
    <t>15 (6 - 38)</t>
  </si>
  <si>
    <t>23 (13 - 37)</t>
  </si>
  <si>
    <t>17 (12 - 35)</t>
  </si>
  <si>
    <t>16 (9 - 25)</t>
  </si>
  <si>
    <t>24 (15 - 47)</t>
  </si>
  <si>
    <t>13 (10 - 17)</t>
  </si>
  <si>
    <t>3 (3 - 3)</t>
  </si>
  <si>
    <t>12 (7 - 29)</t>
  </si>
  <si>
    <t>11 (8 - 17)</t>
  </si>
  <si>
    <t>10 (6 - 34)</t>
  </si>
  <si>
    <t>9 (7 - 27)</t>
  </si>
  <si>
    <t>14 (11 - 23)</t>
  </si>
  <si>
    <t>9 (6 - 12)</t>
  </si>
  <si>
    <t>14 (8 - 26)</t>
  </si>
  <si>
    <t>13 (10 - 21)</t>
  </si>
  <si>
    <t>12 (8 - 21)</t>
  </si>
  <si>
    <t>12 (9 - 17)</t>
  </si>
  <si>
    <t>12 (8 - 32)</t>
  </si>
  <si>
    <t>15 (10 - 30)</t>
  </si>
  <si>
    <t>14 (10 - 36)</t>
  </si>
  <si>
    <t>11 (8 - 18)</t>
  </si>
  <si>
    <t>8 (2 - 18)</t>
  </si>
  <si>
    <t>11 (7 - 16)</t>
  </si>
  <si>
    <t>10 (4 - 15)</t>
  </si>
  <si>
    <t>13 (11 - 36)</t>
  </si>
  <si>
    <t>15 (9 - 29)</t>
  </si>
  <si>
    <t>14 (8 - 34)</t>
  </si>
  <si>
    <t>16 (11 - 32)</t>
  </si>
  <si>
    <t>13 (7 - 30)</t>
  </si>
  <si>
    <t>10 (6 - 12)</t>
  </si>
  <si>
    <t>19 (12 - 29)</t>
  </si>
  <si>
    <t>22 (11 - 27)</t>
  </si>
  <si>
    <t>11 (8 - 19)</t>
  </si>
  <si>
    <t>12 (7 - 21)</t>
  </si>
  <si>
    <t>17 (12 - 25)</t>
  </si>
  <si>
    <t>14 (10 - 19)</t>
  </si>
  <si>
    <t>30 (20 - 47)</t>
  </si>
  <si>
    <t>13 (11 - 17)</t>
  </si>
  <si>
    <t>11 (6 - 16)</t>
  </si>
  <si>
    <t>16 (9 - 41)</t>
  </si>
  <si>
    <t>12 (8 - 22)</t>
  </si>
  <si>
    <t>67 (41 - 99)</t>
  </si>
  <si>
    <t>108 (76 - 174)</t>
  </si>
  <si>
    <t>72 (46 - 128)</t>
  </si>
  <si>
    <t>48 (28 - 103)</t>
  </si>
  <si>
    <t>7 (7 - 12)</t>
  </si>
  <si>
    <t>94 (40 - 132)</t>
  </si>
  <si>
    <t>11 (8 - 23)</t>
  </si>
  <si>
    <t>59 (31 - 102)</t>
  </si>
  <si>
    <t>114 (67 - 212)</t>
  </si>
  <si>
    <t>9 (8 - 13)</t>
  </si>
  <si>
    <t>89 (60 - 158)</t>
  </si>
  <si>
    <t>48 (29 - 104)</t>
  </si>
  <si>
    <t>9 (9 - 14)</t>
  </si>
  <si>
    <t>80 (47 - 163)</t>
  </si>
  <si>
    <t>45 (27 - 84)</t>
  </si>
  <si>
    <t>5 (1 - 31)</t>
  </si>
  <si>
    <t>77 (42 - 128)</t>
  </si>
  <si>
    <t>68 (52 - 106)</t>
  </si>
  <si>
    <t>47 (25 - 82)</t>
  </si>
  <si>
    <t>76 (36 - 128)</t>
  </si>
  <si>
    <t>12 (5 - 14)</t>
  </si>
  <si>
    <t>111 (42 - 148)</t>
  </si>
  <si>
    <t>56 (35 - 110)</t>
  </si>
  <si>
    <t>67 (35 - 95)</t>
  </si>
  <si>
    <t>47 (30 - 85)</t>
  </si>
  <si>
    <t>53 (39 - 77)</t>
  </si>
  <si>
    <t>122 (65 - 190)</t>
  </si>
  <si>
    <t>8 (7 - 8)</t>
  </si>
  <si>
    <t>45 (28 - 90)</t>
  </si>
  <si>
    <t>35 (22 - 49)</t>
  </si>
  <si>
    <t>73 (46 - 138)</t>
  </si>
  <si>
    <t>63 (37 - 110)</t>
  </si>
  <si>
    <t>30 (11 - 76)</t>
  </si>
  <si>
    <t>4 (4 - 6)</t>
  </si>
  <si>
    <t>96 (68 - 131)</t>
  </si>
  <si>
    <t>40 (27 - 66)</t>
  </si>
  <si>
    <t>128 (57 - 186)</t>
  </si>
  <si>
    <t>46 (32 - 102)</t>
  </si>
  <si>
    <t>80 (42 - 124)</t>
  </si>
  <si>
    <t>103 (83 - 167)</t>
  </si>
  <si>
    <t>51 (30 - 91)</t>
  </si>
  <si>
    <t>60 (32 - 91)</t>
  </si>
  <si>
    <t>51 (27 - 76)</t>
  </si>
  <si>
    <t>64 (44 - 96)</t>
  </si>
  <si>
    <t>55 (33 - 102)</t>
  </si>
  <si>
    <t>56 (28 - 76)</t>
  </si>
  <si>
    <t>65 (52 - 141)</t>
  </si>
  <si>
    <t>10 (8 - 13)</t>
  </si>
  <si>
    <t>52 (30 - 91)</t>
  </si>
  <si>
    <t>39 (24 - 61)</t>
  </si>
  <si>
    <t>74 (28 - 99)</t>
  </si>
  <si>
    <t>7 (7 - 21)</t>
  </si>
  <si>
    <t>80 (39 - 119)</t>
  </si>
  <si>
    <t>7 (6 - 17)</t>
  </si>
  <si>
    <t>85 (53 - 132)</t>
  </si>
  <si>
    <t>87 (49 - 133)</t>
  </si>
  <si>
    <t>75 (42 - 126)</t>
  </si>
  <si>
    <t>91 (51 - 121)</t>
  </si>
  <si>
    <t>80 (52 - 113)</t>
  </si>
  <si>
    <t>75 (39 - 228)</t>
  </si>
  <si>
    <t>46 (27 - 100)</t>
  </si>
  <si>
    <t>15 (10 - 36)</t>
  </si>
  <si>
    <t>75 (47 - 142)</t>
  </si>
  <si>
    <t>7 (5 - 7)</t>
  </si>
  <si>
    <t>88 (66 - 136)</t>
  </si>
  <si>
    <t>9 (5 - 15)</t>
  </si>
  <si>
    <t>80 (55 - 116)</t>
  </si>
  <si>
    <t>45 (31 - 73)</t>
  </si>
  <si>
    <t>83 (47 - 127)</t>
  </si>
  <si>
    <t>80 (52 - 130)</t>
  </si>
  <si>
    <t>9 (7 - 20)</t>
  </si>
  <si>
    <t>69 (30 - 124)</t>
  </si>
  <si>
    <t>8 (8 - 12)</t>
  </si>
  <si>
    <t>79 (43 - 123)</t>
  </si>
  <si>
    <t>63 (42 - 90)</t>
  </si>
  <si>
    <t>56 (33 - 98)</t>
  </si>
  <si>
    <t>54 (28 - 65)</t>
  </si>
  <si>
    <t>10 (8 - 10)</t>
  </si>
  <si>
    <t>62 (36 - 89)</t>
  </si>
  <si>
    <t>73 (37 - 115)</t>
  </si>
  <si>
    <t>60 (35 - 103)</t>
  </si>
  <si>
    <t>5 (5 - 7)</t>
  </si>
  <si>
    <t>62 (34 - 120)</t>
  </si>
  <si>
    <t>75 (48 - 99)</t>
  </si>
  <si>
    <t>62 (30 - 85)</t>
  </si>
  <si>
    <t>42 (27 - 60)</t>
  </si>
  <si>
    <t>90 (41 - 135)</t>
  </si>
  <si>
    <t>47 (30 - 78)</t>
  </si>
  <si>
    <t>59 (21 - 144)</t>
  </si>
  <si>
    <t>3 (2 - 8)</t>
  </si>
  <si>
    <t>63 (33 - 89)</t>
  </si>
  <si>
    <t>77 (42 - 132)</t>
  </si>
  <si>
    <t>106 (71 - 155)</t>
  </si>
  <si>
    <t>80 (41 - 103)</t>
  </si>
  <si>
    <t>75 (54 - 144)</t>
  </si>
  <si>
    <t>11 (7 - 24)</t>
  </si>
  <si>
    <t>88 (64 - 151)</t>
  </si>
  <si>
    <t>62 (23 - 95)</t>
  </si>
  <si>
    <t>128 (86 - 190)</t>
  </si>
  <si>
    <t>11 (8 - 15)</t>
  </si>
  <si>
    <t>87 (43 - 135)</t>
  </si>
  <si>
    <t>13 (11 - 14)</t>
  </si>
  <si>
    <t>53 (21 - 83)</t>
  </si>
  <si>
    <t>95 (44 - 160)</t>
  </si>
  <si>
    <t>7 (6 - 9.5)</t>
  </si>
  <si>
    <t>50 (30 - 63)</t>
  </si>
  <si>
    <t>9 (7 - 10)</t>
  </si>
  <si>
    <t>69 (41 - 153)</t>
  </si>
  <si>
    <t>111 (35 - 161)</t>
  </si>
  <si>
    <t>51 (31 - 83)</t>
  </si>
  <si>
    <t>84 (36 - 128)</t>
  </si>
  <si>
    <t>57 (38 - 71)</t>
  </si>
  <si>
    <t>85 (39 - 120)</t>
  </si>
  <si>
    <t>8 (7 - 23)</t>
  </si>
  <si>
    <t>71 (40 - 97)</t>
  </si>
  <si>
    <t>55 (36 - 84)</t>
  </si>
  <si>
    <t>45 (31 - 62)</t>
  </si>
  <si>
    <t>67 (29 - 109)</t>
  </si>
  <si>
    <t>54 (31 - 91)</t>
  </si>
  <si>
    <t>40 (24 - 88)</t>
  </si>
  <si>
    <t>90 (50 - 174)</t>
  </si>
  <si>
    <t>78 (45 - 129)</t>
  </si>
  <si>
    <t>9 (7 - 18)</t>
  </si>
  <si>
    <t>60 (47 - 119)</t>
  </si>
  <si>
    <t>74 (9 - 222)</t>
  </si>
  <si>
    <t>5 (5 - 9)</t>
  </si>
  <si>
    <t>86 (59 - 134)</t>
  </si>
  <si>
    <t>8 (5 - 10)</t>
  </si>
  <si>
    <t>59 (42 - 99)</t>
  </si>
  <si>
    <t>61 (35 - 103)</t>
  </si>
  <si>
    <t>64 (32 - 128)</t>
  </si>
  <si>
    <t>58 (34 - 82)</t>
  </si>
  <si>
    <t>143 (98 - 220)</t>
  </si>
  <si>
    <t>56 (34 - 122)</t>
  </si>
  <si>
    <t>31 (24 - 76)</t>
  </si>
  <si>
    <t>82 (49 - 128)</t>
  </si>
  <si>
    <t>52 (27 - 96)</t>
  </si>
  <si>
    <t>57 (37 - 72)</t>
  </si>
  <si>
    <t>69 (36 - 133)</t>
  </si>
  <si>
    <t>11 (9 - 16)</t>
  </si>
  <si>
    <t>75 (41 - 99)</t>
  </si>
  <si>
    <t>47 (47 - 72)</t>
  </si>
  <si>
    <t>48 (24 - 94)</t>
  </si>
  <si>
    <t>41 (27 - 74)</t>
  </si>
  <si>
    <t>50 (34 - 88)</t>
  </si>
  <si>
    <t>59 (40 - 83)</t>
  </si>
  <si>
    <t>95 (60 - 113)</t>
  </si>
  <si>
    <t>8 (7 - 18)</t>
  </si>
  <si>
    <t>78 (35 - 123)</t>
  </si>
  <si>
    <t>55 (36 - 96)</t>
  </si>
  <si>
    <t>100 (63 - 140)</t>
  </si>
  <si>
    <t>3 (1 - 10)</t>
  </si>
  <si>
    <t>109 (62 - 167)</t>
  </si>
  <si>
    <t>25 (15 - 52)</t>
  </si>
  <si>
    <t>10 (4 - 12)</t>
  </si>
  <si>
    <t>132 (78 - 173)</t>
  </si>
  <si>
    <t>66 (38 - 106)</t>
  </si>
  <si>
    <t>84 (31 - 121)</t>
  </si>
  <si>
    <t>148 (92 - 234)</t>
  </si>
  <si>
    <t>140 (81 - 174)</t>
  </si>
  <si>
    <t>69 (29 - 114)</t>
  </si>
  <si>
    <t>9 (5 - 9)</t>
  </si>
  <si>
    <t>63 (34 - 125)</t>
  </si>
  <si>
    <t>8 (7 - 15)</t>
  </si>
  <si>
    <t>90 (66 - 145)</t>
  </si>
  <si>
    <t>58 (25 - 100)</t>
  </si>
  <si>
    <t>92 (53 - 151)</t>
  </si>
  <si>
    <t>70 (48 - 126)</t>
  </si>
  <si>
    <t>61 (35 - 90)</t>
  </si>
  <si>
    <t>54 (35 - 88)</t>
  </si>
  <si>
    <t>61 (38 - 72)</t>
  </si>
  <si>
    <t>65 (27 - 111)</t>
  </si>
  <si>
    <t>77 (42 - 111)</t>
  </si>
  <si>
    <t>64 (30 - 107)</t>
  </si>
  <si>
    <t>86 (60 - 123)</t>
  </si>
  <si>
    <t>54 (34 - 89)</t>
  </si>
  <si>
    <t>69 (41 - 138)</t>
  </si>
  <si>
    <t>63 (30 - 125)</t>
  </si>
  <si>
    <t>60 (22 - 134)</t>
  </si>
  <si>
    <t>61 (37 - 117)</t>
  </si>
  <si>
    <t>59 (41 - 101)</t>
  </si>
  <si>
    <t>69 (36 - 114)</t>
  </si>
  <si>
    <t>ul95</t>
  </si>
  <si>
    <t>ll95</t>
  </si>
  <si>
    <t>Treated within 8 weeks lower CI</t>
  </si>
  <si>
    <t>Treated within 8 weeks upper CI</t>
  </si>
  <si>
    <t>Treated 8 weeks lower error bar</t>
  </si>
  <si>
    <t>Treated 8 weeks upper error bar</t>
  </si>
  <si>
    <t>Assessment to procedure rank</t>
  </si>
  <si>
    <t>Graph National Standard</t>
  </si>
  <si>
    <t>Treated national standard</t>
  </si>
  <si>
    <t>Trust Plot Value</t>
  </si>
  <si>
    <t>Plot Order</t>
  </si>
  <si>
    <t>LQ Symproc</t>
  </si>
  <si>
    <t>LQ Error Bar Symproc</t>
  </si>
  <si>
    <t>UQ Symproc</t>
  </si>
  <si>
    <t>UQ Error Bar Symproc</t>
  </si>
  <si>
    <t>%14 Days LL</t>
  </si>
  <si>
    <t>%14 Days UL</t>
  </si>
  <si>
    <t>% 14 Days LL Error Bar</t>
  </si>
  <si>
    <t>% 14 Days UL Error Bar</t>
  </si>
  <si>
    <t>Median delay from symptom to surgery (days)</t>
  </si>
  <si>
    <t>GraphData</t>
  </si>
  <si>
    <t>CLTI waiting time cases</t>
  </si>
  <si>
    <t>CLTI waiting tIme (IQR) (days)</t>
  </si>
  <si>
    <t>% CLTI treated within 5 days</t>
  </si>
  <si>
    <t>% 5 days LL</t>
  </si>
  <si>
    <t>% 5 days UL</t>
  </si>
  <si>
    <t>Med CLTI Waiting time</t>
  </si>
  <si>
    <t>LQ CLTI waiting time</t>
  </si>
  <si>
    <t>UQ CLTI waiting time</t>
  </si>
  <si>
    <t>CLTI standard</t>
  </si>
  <si>
    <t>LQ CLTI error bar</t>
  </si>
  <si>
    <t>UQ CLTI error bar</t>
  </si>
  <si>
    <t>% 5 days LL error bar</t>
  </si>
  <si>
    <t>% 5 days UL error bar</t>
  </si>
  <si>
    <t>% 5 days standard</t>
  </si>
  <si>
    <t>CLTI % within 5 days</t>
  </si>
  <si>
    <t>CLTI % within 5 days LL</t>
  </si>
  <si>
    <t>CLTI % within 5 days UL</t>
  </si>
  <si>
    <t>CLTI waiting time LQ</t>
  </si>
  <si>
    <t>CLTI waiting time UQ</t>
  </si>
  <si>
    <t>CLTI waiting time L error bar</t>
  </si>
  <si>
    <t>CLTI waiting time U error bar</t>
  </si>
  <si>
    <t>CLTI % within 5 days L error bar</t>
  </si>
  <si>
    <t>CLTI % within 5 days U error bar</t>
  </si>
  <si>
    <t>Graph L ErrorBar1</t>
  </si>
  <si>
    <t>Graph U ErrorBar1</t>
  </si>
  <si>
    <t>Graph National Standard1</t>
  </si>
  <si>
    <t>CLTI waiting time standard</t>
  </si>
  <si>
    <t>CLTI % within 5 days standard</t>
  </si>
  <si>
    <t>% within 30 days CI lower limit</t>
  </si>
  <si>
    <t>% within 30 days CI upper limit</t>
  </si>
  <si>
    <t>% 30 days lower error bar</t>
  </si>
  <si>
    <t>% 30 days upper error bar</t>
  </si>
  <si>
    <t>AKA:BKA Standard</t>
  </si>
  <si>
    <t>Assessment to amputation standard</t>
  </si>
  <si>
    <t>% treated within 30 days standard</t>
  </si>
  <si>
    <t>Graph Standard</t>
  </si>
  <si>
    <t>% of patients receiving surgery within 8 weeks of assessment</t>
  </si>
  <si>
    <t>% Treated within 8 weeks of assessment</t>
  </si>
  <si>
    <t>Median (IQR) CLTI waiting time (days)</t>
  </si>
  <si>
    <t>% non-elective within 30 days from assessment</t>
  </si>
  <si>
    <t>8 (3 - 16)</t>
  </si>
  <si>
    <t>3 (0 - 12)</t>
  </si>
  <si>
    <t>3 (1 - 12)</t>
  </si>
  <si>
    <t>8 (4 - 12)</t>
  </si>
  <si>
    <t>7 (2 - 12)</t>
  </si>
  <si>
    <t>% Adjusted Stroke and/or death  rate (2017-2019)</t>
  </si>
  <si>
    <t>Adjusted in-hospital mortality (2017-2019)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</si>
</sst>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64" fontId="0" fillId="0" borderId="0" xfId="0" applyNumberFormat="1"/>
    <xf numFmtId="2" fontId="0" fillId="0" borderId="0" xfId="0" applyNumberFormat="1"/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NumberFormat="1"/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/>
    <xf numFmtId="164" fontId="0" fillId="0" borderId="2" xfId="0" applyNumberFormat="1" applyBorder="1"/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2" fillId="0" borderId="0" xfId="0" applyFont="1"/>
    <xf numFmtId="0" fontId="7" fillId="2" borderId="0" xfId="0" applyFont="1" applyFill="1"/>
    <xf numFmtId="0" fontId="9" fillId="0" borderId="0" xfId="0" applyFont="1" applyFill="1" applyBorder="1" applyAlignment="1">
      <alignment horizontal="center" vertical="center"/>
    </xf>
    <xf numFmtId="165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0" fontId="0" fillId="0" borderId="0" xfId="0" applyNumberFormat="1"/>
    <xf numFmtId="0" fontId="1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9" fontId="10" fillId="0" borderId="0" xfId="0" applyNumberFormat="1" applyFont="1"/>
    <xf numFmtId="0" fontId="1" fillId="4" borderId="2" xfId="0" applyFont="1" applyFill="1" applyBorder="1"/>
    <xf numFmtId="9" fontId="0" fillId="4" borderId="2" xfId="0" applyNumberFormat="1" applyFill="1" applyBorder="1"/>
    <xf numFmtId="0" fontId="0" fillId="4" borderId="2" xfId="0" applyNumberFormat="1" applyFill="1" applyBorder="1"/>
    <xf numFmtId="0" fontId="1" fillId="5" borderId="2" xfId="0" applyFont="1" applyFill="1" applyBorder="1"/>
    <xf numFmtId="9" fontId="0" fillId="5" borderId="2" xfId="0" applyNumberFormat="1" applyFill="1" applyBorder="1"/>
    <xf numFmtId="0" fontId="0" fillId="5" borderId="2" xfId="0" applyNumberFormat="1" applyFill="1" applyBorder="1"/>
    <xf numFmtId="0" fontId="1" fillId="6" borderId="2" xfId="0" applyFont="1" applyFill="1" applyBorder="1"/>
    <xf numFmtId="9" fontId="0" fillId="6" borderId="2" xfId="0" applyNumberFormat="1" applyFill="1" applyBorder="1"/>
    <xf numFmtId="0" fontId="0" fillId="6" borderId="2" xfId="0" applyNumberFormat="1" applyFill="1" applyBorder="1"/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9" fontId="0" fillId="0" borderId="2" xfId="0" applyNumberForma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2" fontId="0" fillId="0" borderId="2" xfId="0" applyNumberFormat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9" fillId="0" borderId="1" xfId="0" applyFont="1" applyFill="1" applyBorder="1" applyAlignment="1">
      <alignment vertical="center" wrapText="1"/>
    </xf>
    <xf numFmtId="9" fontId="5" fillId="0" borderId="0" xfId="0" applyNumberFormat="1" applyFont="1" applyFill="1"/>
    <xf numFmtId="0" fontId="5" fillId="0" borderId="0" xfId="0" applyNumberFormat="1" applyFont="1" applyFill="1"/>
    <xf numFmtId="9" fontId="10" fillId="0" borderId="0" xfId="0" applyNumberFormat="1" applyFont="1" applyFill="1"/>
    <xf numFmtId="0" fontId="10" fillId="0" borderId="0" xfId="0" applyFont="1" applyFill="1"/>
    <xf numFmtId="3" fontId="0" fillId="0" borderId="2" xfId="0" applyNumberFormat="1" applyBorder="1" applyAlignment="1">
      <alignment horizontal="center"/>
    </xf>
    <xf numFmtId="0" fontId="5" fillId="0" borderId="0" xfId="2" applyFont="1"/>
    <xf numFmtId="1" fontId="10" fillId="0" borderId="0" xfId="0" applyNumberFormat="1" applyFont="1"/>
    <xf numFmtId="2" fontId="10" fillId="0" borderId="0" xfId="0" applyNumberFormat="1" applyFont="1"/>
    <xf numFmtId="0" fontId="10" fillId="0" borderId="0" xfId="0" applyNumberFormat="1" applyFont="1"/>
    <xf numFmtId="164" fontId="10" fillId="0" borderId="0" xfId="0" applyNumberFormat="1" applyFont="1"/>
    <xf numFmtId="0" fontId="14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Border="1" applyAlignment="1">
      <alignment horizontal="right" vertical="center"/>
    </xf>
    <xf numFmtId="9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0" fontId="10" fillId="0" borderId="0" xfId="0" applyNumberFormat="1" applyFont="1"/>
    <xf numFmtId="3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/>
    <xf numFmtId="9" fontId="10" fillId="0" borderId="2" xfId="0" applyNumberFormat="1" applyFont="1" applyBorder="1"/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1" applyNumberFormat="1" applyFont="1"/>
    <xf numFmtId="0" fontId="7" fillId="2" borderId="0" xfId="0" applyFont="1" applyFill="1" applyAlignment="1">
      <alignment wrapText="1"/>
    </xf>
    <xf numFmtId="0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0" fontId="6" fillId="2" borderId="0" xfId="0" applyFont="1" applyFill="1" applyAlignment="1">
      <alignment wrapText="1"/>
    </xf>
    <xf numFmtId="2" fontId="15" fillId="0" borderId="0" xfId="0" applyNumberFormat="1" applyFont="1"/>
    <xf numFmtId="0" fontId="16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0" xfId="0" applyNumberFormat="1"/>
    <xf numFmtId="0" fontId="17" fillId="0" borderId="0" xfId="0" applyFont="1"/>
    <xf numFmtId="1" fontId="17" fillId="0" borderId="0" xfId="0" applyNumberFormat="1" applyFont="1" applyAlignment="1">
      <alignment horizontal="center"/>
    </xf>
    <xf numFmtId="0" fontId="11" fillId="0" borderId="0" xfId="0" applyFont="1"/>
    <xf numFmtId="9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NumberFormat="1" applyFont="1"/>
    <xf numFmtId="0" fontId="1" fillId="0" borderId="2" xfId="0" applyFont="1" applyBorder="1" applyAlignment="1">
      <alignment horizontal="center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Summary'!$L$3</c:f>
          <c:strCache>
            <c:ptCount val="1"/>
            <c:pt idx="0">
              <c:v>Median delay and IQR from assessment to surgery (days)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'AAA Summary'!$L$3</c:f>
              <c:strCache>
                <c:ptCount val="1"/>
                <c:pt idx="0">
                  <c:v>Median delay and IQR from assessment to surgery (days)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'AAA Summary'!$AJ$2:$AJ$77</c:f>
                <c:numCache>
                  <c:formatCode>General</c:formatCode>
                  <c:ptCount val="76"/>
                  <c:pt idx="0">
                    <c:v>46</c:v>
                  </c:pt>
                  <c:pt idx="1">
                    <c:v>14</c:v>
                  </c:pt>
                  <c:pt idx="2">
                    <c:v>22</c:v>
                  </c:pt>
                  <c:pt idx="3">
                    <c:v>26</c:v>
                  </c:pt>
                  <c:pt idx="4">
                    <c:v>18</c:v>
                  </c:pt>
                  <c:pt idx="5">
                    <c:v>39</c:v>
                  </c:pt>
                  <c:pt idx="6">
                    <c:v>45</c:v>
                  </c:pt>
                  <c:pt idx="7">
                    <c:v>28</c:v>
                  </c:pt>
                  <c:pt idx="8">
                    <c:v>54</c:v>
                  </c:pt>
                  <c:pt idx="9">
                    <c:v>56</c:v>
                  </c:pt>
                  <c:pt idx="10">
                    <c:v>35</c:v>
                  </c:pt>
                  <c:pt idx="11">
                    <c:v>31</c:v>
                  </c:pt>
                  <c:pt idx="12">
                    <c:v>38</c:v>
                  </c:pt>
                  <c:pt idx="13">
                    <c:v>55</c:v>
                  </c:pt>
                  <c:pt idx="14">
                    <c:v>56</c:v>
                  </c:pt>
                  <c:pt idx="15">
                    <c:v>25</c:v>
                  </c:pt>
                  <c:pt idx="16">
                    <c:v>40</c:v>
                  </c:pt>
                  <c:pt idx="17">
                    <c:v>39</c:v>
                  </c:pt>
                  <c:pt idx="18">
                    <c:v>24</c:v>
                  </c:pt>
                  <c:pt idx="19">
                    <c:v>11</c:v>
                  </c:pt>
                  <c:pt idx="20">
                    <c:v>47</c:v>
                  </c:pt>
                  <c:pt idx="21">
                    <c:v>20</c:v>
                  </c:pt>
                  <c:pt idx="22">
                    <c:v>42</c:v>
                  </c:pt>
                  <c:pt idx="23">
                    <c:v>54</c:v>
                  </c:pt>
                  <c:pt idx="24">
                    <c:v>85</c:v>
                  </c:pt>
                  <c:pt idx="25">
                    <c:v>43</c:v>
                  </c:pt>
                  <c:pt idx="26">
                    <c:v>31</c:v>
                  </c:pt>
                  <c:pt idx="27">
                    <c:v>43</c:v>
                  </c:pt>
                  <c:pt idx="28">
                    <c:v>23</c:v>
                  </c:pt>
                  <c:pt idx="29">
                    <c:v>58</c:v>
                  </c:pt>
                  <c:pt idx="30">
                    <c:v>27</c:v>
                  </c:pt>
                  <c:pt idx="31">
                    <c:v>26</c:v>
                  </c:pt>
                  <c:pt idx="32">
                    <c:v>47</c:v>
                  </c:pt>
                  <c:pt idx="33">
                    <c:v>27</c:v>
                  </c:pt>
                  <c:pt idx="34">
                    <c:v>32</c:v>
                  </c:pt>
                  <c:pt idx="35">
                    <c:v>76</c:v>
                  </c:pt>
                  <c:pt idx="36">
                    <c:v>28</c:v>
                  </c:pt>
                  <c:pt idx="37">
                    <c:v>32</c:v>
                  </c:pt>
                  <c:pt idx="38">
                    <c:v>38</c:v>
                  </c:pt>
                  <c:pt idx="39">
                    <c:v>55</c:v>
                  </c:pt>
                  <c:pt idx="40">
                    <c:v>56</c:v>
                  </c:pt>
                  <c:pt idx="41">
                    <c:v>42</c:v>
                  </c:pt>
                  <c:pt idx="42">
                    <c:v>65</c:v>
                  </c:pt>
                  <c:pt idx="43">
                    <c:v>25</c:v>
                  </c:pt>
                  <c:pt idx="44">
                    <c:v>153</c:v>
                  </c:pt>
                  <c:pt idx="45">
                    <c:v>51</c:v>
                  </c:pt>
                  <c:pt idx="46">
                    <c:v>67</c:v>
                  </c:pt>
                  <c:pt idx="47">
                    <c:v>24</c:v>
                  </c:pt>
                  <c:pt idx="48">
                    <c:v>52</c:v>
                  </c:pt>
                  <c:pt idx="49">
                    <c:v>51</c:v>
                  </c:pt>
                  <c:pt idx="50">
                    <c:v>44</c:v>
                  </c:pt>
                  <c:pt idx="51">
                    <c:v>39</c:v>
                  </c:pt>
                  <c:pt idx="52">
                    <c:v>44</c:v>
                  </c:pt>
                  <c:pt idx="53">
                    <c:v>83</c:v>
                  </c:pt>
                  <c:pt idx="54">
                    <c:v>33</c:v>
                  </c:pt>
                  <c:pt idx="55">
                    <c:v>50</c:v>
                  </c:pt>
                  <c:pt idx="56">
                    <c:v>36</c:v>
                  </c:pt>
                  <c:pt idx="57">
                    <c:v>44</c:v>
                  </c:pt>
                  <c:pt idx="58">
                    <c:v>47</c:v>
                  </c:pt>
                  <c:pt idx="59">
                    <c:v>46</c:v>
                  </c:pt>
                  <c:pt idx="60">
                    <c:v>48</c:v>
                  </c:pt>
                  <c:pt idx="61">
                    <c:v>69</c:v>
                  </c:pt>
                  <c:pt idx="62">
                    <c:v>45</c:v>
                  </c:pt>
                  <c:pt idx="63">
                    <c:v>30</c:v>
                  </c:pt>
                  <c:pt idx="64">
                    <c:v>38</c:v>
                  </c:pt>
                  <c:pt idx="65">
                    <c:v>35</c:v>
                  </c:pt>
                  <c:pt idx="66">
                    <c:v>64</c:v>
                  </c:pt>
                  <c:pt idx="67">
                    <c:v>66</c:v>
                  </c:pt>
                  <c:pt idx="68">
                    <c:v>37</c:v>
                  </c:pt>
                  <c:pt idx="69">
                    <c:v>98</c:v>
                  </c:pt>
                  <c:pt idx="70">
                    <c:v>68</c:v>
                  </c:pt>
                  <c:pt idx="71">
                    <c:v>58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</c:numCache>
              </c:numRef>
            </c:plus>
            <c:minus>
              <c:numRef>
                <c:f>'AAA Summary'!$AI$2:$AI$77</c:f>
                <c:numCache>
                  <c:formatCode>General</c:formatCode>
                  <c:ptCount val="76"/>
                  <c:pt idx="0">
                    <c:v>19</c:v>
                  </c:pt>
                  <c:pt idx="1">
                    <c:v>13</c:v>
                  </c:pt>
                  <c:pt idx="2">
                    <c:v>15</c:v>
                  </c:pt>
                  <c:pt idx="3">
                    <c:v>13</c:v>
                  </c:pt>
                  <c:pt idx="4">
                    <c:v>15</c:v>
                  </c:pt>
                  <c:pt idx="5">
                    <c:v>18</c:v>
                  </c:pt>
                  <c:pt idx="6">
                    <c:v>17</c:v>
                  </c:pt>
                  <c:pt idx="7">
                    <c:v>14</c:v>
                  </c:pt>
                  <c:pt idx="8">
                    <c:v>19</c:v>
                  </c:pt>
                  <c:pt idx="9">
                    <c:v>14</c:v>
                  </c:pt>
                  <c:pt idx="10">
                    <c:v>22</c:v>
                  </c:pt>
                  <c:pt idx="11">
                    <c:v>17</c:v>
                  </c:pt>
                  <c:pt idx="12">
                    <c:v>17</c:v>
                  </c:pt>
                  <c:pt idx="13">
                    <c:v>20</c:v>
                  </c:pt>
                  <c:pt idx="14">
                    <c:v>19</c:v>
                  </c:pt>
                  <c:pt idx="15">
                    <c:v>24</c:v>
                  </c:pt>
                  <c:pt idx="16">
                    <c:v>21</c:v>
                  </c:pt>
                  <c:pt idx="17">
                    <c:v>22</c:v>
                  </c:pt>
                  <c:pt idx="18">
                    <c:v>14</c:v>
                  </c:pt>
                  <c:pt idx="19">
                    <c:v>26</c:v>
                  </c:pt>
                  <c:pt idx="20">
                    <c:v>22</c:v>
                  </c:pt>
                  <c:pt idx="21">
                    <c:v>28</c:v>
                  </c:pt>
                  <c:pt idx="22">
                    <c:v>23</c:v>
                  </c:pt>
                  <c:pt idx="23">
                    <c:v>21</c:v>
                  </c:pt>
                  <c:pt idx="24">
                    <c:v>38</c:v>
                  </c:pt>
                  <c:pt idx="25">
                    <c:v>28</c:v>
                  </c:pt>
                  <c:pt idx="26">
                    <c:v>28</c:v>
                  </c:pt>
                  <c:pt idx="27">
                    <c:v>25</c:v>
                  </c:pt>
                  <c:pt idx="28">
                    <c:v>32</c:v>
                  </c:pt>
                  <c:pt idx="29">
                    <c:v>28</c:v>
                  </c:pt>
                  <c:pt idx="30">
                    <c:v>26</c:v>
                  </c:pt>
                  <c:pt idx="31">
                    <c:v>30</c:v>
                  </c:pt>
                  <c:pt idx="32">
                    <c:v>26</c:v>
                  </c:pt>
                  <c:pt idx="33">
                    <c:v>21</c:v>
                  </c:pt>
                  <c:pt idx="34">
                    <c:v>20</c:v>
                  </c:pt>
                  <c:pt idx="35">
                    <c:v>13</c:v>
                  </c:pt>
                  <c:pt idx="36">
                    <c:v>32</c:v>
                  </c:pt>
                  <c:pt idx="37">
                    <c:v>26</c:v>
                  </c:pt>
                  <c:pt idx="38">
                    <c:v>16</c:v>
                  </c:pt>
                  <c:pt idx="39">
                    <c:v>39</c:v>
                  </c:pt>
                  <c:pt idx="40">
                    <c:v>26</c:v>
                  </c:pt>
                  <c:pt idx="41">
                    <c:v>36</c:v>
                  </c:pt>
                  <c:pt idx="42">
                    <c:v>27</c:v>
                  </c:pt>
                  <c:pt idx="43">
                    <c:v>46</c:v>
                  </c:pt>
                  <c:pt idx="44">
                    <c:v>36</c:v>
                  </c:pt>
                  <c:pt idx="45">
                    <c:v>33</c:v>
                  </c:pt>
                  <c:pt idx="46">
                    <c:v>28</c:v>
                  </c:pt>
                  <c:pt idx="47">
                    <c:v>27</c:v>
                  </c:pt>
                  <c:pt idx="48">
                    <c:v>40</c:v>
                  </c:pt>
                  <c:pt idx="49">
                    <c:v>35</c:v>
                  </c:pt>
                  <c:pt idx="50">
                    <c:v>36</c:v>
                  </c:pt>
                  <c:pt idx="51">
                    <c:v>41</c:v>
                  </c:pt>
                  <c:pt idx="52">
                    <c:v>38</c:v>
                  </c:pt>
                  <c:pt idx="53">
                    <c:v>33</c:v>
                  </c:pt>
                  <c:pt idx="54">
                    <c:v>28</c:v>
                  </c:pt>
                  <c:pt idx="55">
                    <c:v>28</c:v>
                  </c:pt>
                  <c:pt idx="56">
                    <c:v>25</c:v>
                  </c:pt>
                  <c:pt idx="57">
                    <c:v>36</c:v>
                  </c:pt>
                  <c:pt idx="58">
                    <c:v>32</c:v>
                  </c:pt>
                  <c:pt idx="59">
                    <c:v>38</c:v>
                  </c:pt>
                  <c:pt idx="60">
                    <c:v>22</c:v>
                  </c:pt>
                  <c:pt idx="61">
                    <c:v>29</c:v>
                  </c:pt>
                  <c:pt idx="62">
                    <c:v>49</c:v>
                  </c:pt>
                  <c:pt idx="63">
                    <c:v>40</c:v>
                  </c:pt>
                  <c:pt idx="64">
                    <c:v>54</c:v>
                  </c:pt>
                  <c:pt idx="65">
                    <c:v>28</c:v>
                  </c:pt>
                  <c:pt idx="66">
                    <c:v>20</c:v>
                  </c:pt>
                  <c:pt idx="67">
                    <c:v>32</c:v>
                  </c:pt>
                  <c:pt idx="68">
                    <c:v>69</c:v>
                  </c:pt>
                  <c:pt idx="69">
                    <c:v>47</c:v>
                  </c:pt>
                  <c:pt idx="70">
                    <c:v>57</c:v>
                  </c:pt>
                  <c:pt idx="71">
                    <c:v>71</c:v>
                  </c:pt>
                  <c:pt idx="72">
                    <c:v>0</c:v>
                  </c:pt>
                  <c:pt idx="73">
                    <c:v>0</c:v>
                  </c:pt>
                  <c:pt idx="74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'AAA Summary'!$AE$2:$AE$77</c:f>
              <c:strCache>
                <c:ptCount val="75"/>
                <c:pt idx="0">
                  <c:v>RYJ</c:v>
                </c:pt>
                <c:pt idx="1">
                  <c:v>RTE</c:v>
                </c:pt>
                <c:pt idx="2">
                  <c:v>RVJ</c:v>
                </c:pt>
                <c:pt idx="3">
                  <c:v>RR8</c:v>
                </c:pt>
                <c:pt idx="4">
                  <c:v>RWE</c:v>
                </c:pt>
                <c:pt idx="5">
                  <c:v>RWY</c:v>
                </c:pt>
                <c:pt idx="6">
                  <c:v>RDU</c:v>
                </c:pt>
                <c:pt idx="7">
                  <c:v>RXW</c:v>
                </c:pt>
                <c:pt idx="8">
                  <c:v>REF</c:v>
                </c:pt>
                <c:pt idx="9">
                  <c:v>R1K</c:v>
                </c:pt>
                <c:pt idx="10">
                  <c:v>RLN</c:v>
                </c:pt>
                <c:pt idx="11">
                  <c:v>RWG</c:v>
                </c:pt>
                <c:pt idx="12">
                  <c:v>RVV</c:v>
                </c:pt>
                <c:pt idx="13">
                  <c:v>R1H</c:v>
                </c:pt>
                <c:pt idx="14">
                  <c:v>RAE</c:v>
                </c:pt>
                <c:pt idx="15">
                  <c:v>SG999</c:v>
                </c:pt>
                <c:pt idx="16">
                  <c:v>RQ8</c:v>
                </c:pt>
                <c:pt idx="17">
                  <c:v>RM1</c:v>
                </c:pt>
                <c:pt idx="18">
                  <c:v>RXR</c:v>
                </c:pt>
                <c:pt idx="19">
                  <c:v>RA9</c:v>
                </c:pt>
                <c:pt idx="20">
                  <c:v>SL999</c:v>
                </c:pt>
                <c:pt idx="21">
                  <c:v>SS999</c:v>
                </c:pt>
                <c:pt idx="22">
                  <c:v>RNA</c:v>
                </c:pt>
                <c:pt idx="23">
                  <c:v>RP5</c:v>
                </c:pt>
                <c:pt idx="24">
                  <c:v>RWP</c:v>
                </c:pt>
                <c:pt idx="25">
                  <c:v>RC1</c:v>
                </c:pt>
                <c:pt idx="26">
                  <c:v>RTD</c:v>
                </c:pt>
                <c:pt idx="27">
                  <c:v>RHM</c:v>
                </c:pt>
                <c:pt idx="28">
                  <c:v>RTG</c:v>
                </c:pt>
                <c:pt idx="29">
                  <c:v>RRK</c:v>
                </c:pt>
                <c:pt idx="30">
                  <c:v>RWD</c:v>
                </c:pt>
                <c:pt idx="31">
                  <c:v>RCB</c:v>
                </c:pt>
                <c:pt idx="32">
                  <c:v>RWA</c:v>
                </c:pt>
                <c:pt idx="33">
                  <c:v>RBA</c:v>
                </c:pt>
                <c:pt idx="34">
                  <c:v>SH999</c:v>
                </c:pt>
                <c:pt idx="35">
                  <c:v>ST999</c:v>
                </c:pt>
                <c:pt idx="36">
                  <c:v>RWH</c:v>
                </c:pt>
                <c:pt idx="37">
                  <c:v>7A6</c:v>
                </c:pt>
                <c:pt idx="38">
                  <c:v>7A4</c:v>
                </c:pt>
                <c:pt idx="39">
                  <c:v>RJ7</c:v>
                </c:pt>
                <c:pt idx="40">
                  <c:v>RF4</c:v>
                </c:pt>
                <c:pt idx="41">
                  <c:v>RJE</c:v>
                </c:pt>
                <c:pt idx="42">
                  <c:v>RJ1</c:v>
                </c:pt>
                <c:pt idx="43">
                  <c:v>RNL</c:v>
                </c:pt>
                <c:pt idx="44">
                  <c:v>RT3</c:v>
                </c:pt>
                <c:pt idx="45">
                  <c:v>RW6</c:v>
                </c:pt>
                <c:pt idx="46">
                  <c:v>RH8</c:v>
                </c:pt>
                <c:pt idx="47">
                  <c:v>RKB</c:v>
                </c:pt>
                <c:pt idx="48">
                  <c:v>RJR</c:v>
                </c:pt>
                <c:pt idx="49">
                  <c:v>RGT</c:v>
                </c:pt>
                <c:pt idx="50">
                  <c:v>7A3</c:v>
                </c:pt>
                <c:pt idx="51">
                  <c:v>RNS</c:v>
                </c:pt>
                <c:pt idx="52">
                  <c:v>R0A</c:v>
                </c:pt>
                <c:pt idx="53">
                  <c:v>RXH</c:v>
                </c:pt>
                <c:pt idx="54">
                  <c:v>RDZ</c:v>
                </c:pt>
                <c:pt idx="55">
                  <c:v>RAJ</c:v>
                </c:pt>
                <c:pt idx="56">
                  <c:v>RHQ</c:v>
                </c:pt>
                <c:pt idx="57">
                  <c:v>RTR</c:v>
                </c:pt>
                <c:pt idx="58">
                  <c:v>RX1</c:v>
                </c:pt>
                <c:pt idx="59">
                  <c:v>RTH</c:v>
                </c:pt>
                <c:pt idx="60">
                  <c:v>RAL</c:v>
                </c:pt>
                <c:pt idx="61">
                  <c:v>7A1</c:v>
                </c:pt>
                <c:pt idx="62">
                  <c:v>RK9</c:v>
                </c:pt>
                <c:pt idx="63">
                  <c:v>RQW</c:v>
                </c:pt>
                <c:pt idx="64">
                  <c:v>RDD</c:v>
                </c:pt>
                <c:pt idx="65">
                  <c:v>RXN</c:v>
                </c:pt>
                <c:pt idx="66">
                  <c:v>RPA</c:v>
                </c:pt>
                <c:pt idx="67">
                  <c:v>RTK</c:v>
                </c:pt>
                <c:pt idx="68">
                  <c:v>7A5</c:v>
                </c:pt>
                <c:pt idx="69">
                  <c:v>ZT001</c:v>
                </c:pt>
                <c:pt idx="70">
                  <c:v>RDE</c:v>
                </c:pt>
                <c:pt idx="71">
                  <c:v>REM</c:v>
                </c:pt>
                <c:pt idx="72">
                  <c:v>RJZ</c:v>
                </c:pt>
                <c:pt idx="73">
                  <c:v>SA999</c:v>
                </c:pt>
                <c:pt idx="74">
                  <c:v>SN999</c:v>
                </c:pt>
              </c:strCache>
            </c:strRef>
          </c:cat>
          <c:val>
            <c:numRef>
              <c:f>'AAA Summary'!$AH$2:$AH$76</c:f>
              <c:numCache>
                <c:formatCode>General</c:formatCode>
                <c:ptCount val="75"/>
                <c:pt idx="0">
                  <c:v>30</c:v>
                </c:pt>
                <c:pt idx="1">
                  <c:v>35</c:v>
                </c:pt>
                <c:pt idx="2">
                  <c:v>39</c:v>
                </c:pt>
                <c:pt idx="3">
                  <c:v>40</c:v>
                </c:pt>
                <c:pt idx="4">
                  <c:v>42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46</c:v>
                </c:pt>
                <c:pt idx="9">
                  <c:v>46</c:v>
                </c:pt>
                <c:pt idx="10">
                  <c:v>47</c:v>
                </c:pt>
                <c:pt idx="11">
                  <c:v>47</c:v>
                </c:pt>
                <c:pt idx="12">
                  <c:v>47</c:v>
                </c:pt>
                <c:pt idx="13">
                  <c:v>48</c:v>
                </c:pt>
                <c:pt idx="14">
                  <c:v>48</c:v>
                </c:pt>
                <c:pt idx="15">
                  <c:v>51</c:v>
                </c:pt>
                <c:pt idx="16">
                  <c:v>51</c:v>
                </c:pt>
                <c:pt idx="17">
                  <c:v>52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59</c:v>
                </c:pt>
                <c:pt idx="25">
                  <c:v>59</c:v>
                </c:pt>
                <c:pt idx="26">
                  <c:v>60</c:v>
                </c:pt>
                <c:pt idx="27">
                  <c:v>60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63</c:v>
                </c:pt>
                <c:pt idx="32">
                  <c:v>63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67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72</c:v>
                </c:pt>
                <c:pt idx="41">
                  <c:v>73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75</c:v>
                </c:pt>
                <c:pt idx="46">
                  <c:v>75</c:v>
                </c:pt>
                <c:pt idx="47">
                  <c:v>75</c:v>
                </c:pt>
                <c:pt idx="48">
                  <c:v>76</c:v>
                </c:pt>
                <c:pt idx="49">
                  <c:v>77</c:v>
                </c:pt>
                <c:pt idx="50">
                  <c:v>79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83</c:v>
                </c:pt>
                <c:pt idx="58">
                  <c:v>85</c:v>
                </c:pt>
                <c:pt idx="59">
                  <c:v>87</c:v>
                </c:pt>
                <c:pt idx="60">
                  <c:v>88</c:v>
                </c:pt>
                <c:pt idx="61">
                  <c:v>89</c:v>
                </c:pt>
                <c:pt idx="62">
                  <c:v>90</c:v>
                </c:pt>
                <c:pt idx="63">
                  <c:v>91</c:v>
                </c:pt>
                <c:pt idx="64">
                  <c:v>94</c:v>
                </c:pt>
                <c:pt idx="65">
                  <c:v>96</c:v>
                </c:pt>
                <c:pt idx="66">
                  <c:v>103</c:v>
                </c:pt>
                <c:pt idx="67">
                  <c:v>108</c:v>
                </c:pt>
                <c:pt idx="68">
                  <c:v>111</c:v>
                </c:pt>
                <c:pt idx="69">
                  <c:v>114</c:v>
                </c:pt>
                <c:pt idx="70">
                  <c:v>122</c:v>
                </c:pt>
                <c:pt idx="71">
                  <c:v>128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8-4CFD-92FA-991A6A71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'AAA Summary'!$AC$2</c:f>
                <c:numCache>
                  <c:formatCode>General</c:formatCode>
                  <c:ptCount val="1"/>
                  <c:pt idx="0">
                    <c:v>32</c:v>
                  </c:pt>
                </c:numCache>
              </c:numRef>
            </c:plus>
            <c:minus>
              <c:numRef>
                <c:f>'AAA Summary'!$AB$2</c:f>
                <c:numCache>
                  <c:formatCode>General</c:formatCode>
                  <c:ptCount val="1"/>
                  <c:pt idx="0">
                    <c:v>26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'AAA Summary'!$AD$2</c:f>
              <c:numCache>
                <c:formatCode>General</c:formatCode>
                <c:ptCount val="1"/>
                <c:pt idx="0">
                  <c:v>38</c:v>
                </c:pt>
              </c:numCache>
            </c:numRef>
          </c:xVal>
          <c:yVal>
            <c:numRef>
              <c:f>'AAA Summary'!$AA$2</c:f>
              <c:numCache>
                <c:formatCode>General</c:formatCode>
                <c:ptCount val="1"/>
                <c:pt idx="0">
                  <c:v>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78-4CFD-92FA-991A6A715264}"/>
            </c:ext>
          </c:extLst>
        </c:ser>
        <c:ser>
          <c:idx val="2"/>
          <c:order val="2"/>
          <c:tx>
            <c:v>National Target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'AAA Summary'!$AG$2:$AG$77</c:f>
              <c:numCache>
                <c:formatCode>General</c:formatCode>
                <c:ptCount val="7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</c:numCache>
            </c:numRef>
          </c:xVal>
          <c:yVal>
            <c:numRef>
              <c:f>'AAA Summary'!$AK$2:$AK$77</c:f>
              <c:numCache>
                <c:formatCode>General</c:formatCode>
                <c:ptCount val="76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56</c:v>
                </c:pt>
                <c:pt idx="21">
                  <c:v>56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56</c:v>
                </c:pt>
                <c:pt idx="29">
                  <c:v>56</c:v>
                </c:pt>
                <c:pt idx="30">
                  <c:v>56</c:v>
                </c:pt>
                <c:pt idx="31">
                  <c:v>56</c:v>
                </c:pt>
                <c:pt idx="32">
                  <c:v>56</c:v>
                </c:pt>
                <c:pt idx="33">
                  <c:v>56</c:v>
                </c:pt>
                <c:pt idx="34">
                  <c:v>56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56</c:v>
                </c:pt>
                <c:pt idx="43">
                  <c:v>56</c:v>
                </c:pt>
                <c:pt idx="44">
                  <c:v>56</c:v>
                </c:pt>
                <c:pt idx="45">
                  <c:v>56</c:v>
                </c:pt>
                <c:pt idx="46">
                  <c:v>56</c:v>
                </c:pt>
                <c:pt idx="47">
                  <c:v>56</c:v>
                </c:pt>
                <c:pt idx="48">
                  <c:v>56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56</c:v>
                </c:pt>
                <c:pt idx="60">
                  <c:v>56</c:v>
                </c:pt>
                <c:pt idx="61">
                  <c:v>56</c:v>
                </c:pt>
                <c:pt idx="62">
                  <c:v>56</c:v>
                </c:pt>
                <c:pt idx="63">
                  <c:v>56</c:v>
                </c:pt>
                <c:pt idx="64">
                  <c:v>56</c:v>
                </c:pt>
                <c:pt idx="65">
                  <c:v>56</c:v>
                </c:pt>
                <c:pt idx="66">
                  <c:v>56</c:v>
                </c:pt>
                <c:pt idx="67">
                  <c:v>56</c:v>
                </c:pt>
                <c:pt idx="68">
                  <c:v>56</c:v>
                </c:pt>
                <c:pt idx="69">
                  <c:v>56</c:v>
                </c:pt>
                <c:pt idx="70">
                  <c:v>56</c:v>
                </c:pt>
                <c:pt idx="71">
                  <c:v>56</c:v>
                </c:pt>
                <c:pt idx="72">
                  <c:v>56</c:v>
                </c:pt>
                <c:pt idx="73">
                  <c:v>56</c:v>
                </c:pt>
                <c:pt idx="74">
                  <c:v>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78-4CFD-92FA-991A6A71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'Major Lower Limb Amputation'!$J$7</c:f>
              <c:strCache>
                <c:ptCount val="1"/>
                <c:pt idx="0">
                  <c:v>Adjusted 30 day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55"/>
            <c:marker>
              <c:symbol val="circle"/>
              <c:size val="5"/>
              <c:spPr>
                <a:solidFill>
                  <a:schemeClr val="tx1"/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3C-4056-8061-6E8A3209C343}"/>
              </c:ext>
            </c:extLst>
          </c:dPt>
          <c:xVal>
            <c:numRef>
              <c:f>'Major Lower Limb Amputation'!$C$8:$C$82</c:f>
              <c:numCache>
                <c:formatCode>0</c:formatCode>
                <c:ptCount val="75"/>
                <c:pt idx="0">
                  <c:v>132</c:v>
                </c:pt>
                <c:pt idx="1">
                  <c:v>72</c:v>
                </c:pt>
                <c:pt idx="2">
                  <c:v>120</c:v>
                </c:pt>
                <c:pt idx="3">
                  <c:v>204</c:v>
                </c:pt>
                <c:pt idx="4">
                  <c:v>11</c:v>
                </c:pt>
                <c:pt idx="5">
                  <c:v>136</c:v>
                </c:pt>
                <c:pt idx="6">
                  <c:v>351</c:v>
                </c:pt>
                <c:pt idx="7">
                  <c:v>52</c:v>
                </c:pt>
                <c:pt idx="8">
                  <c:v>104</c:v>
                </c:pt>
                <c:pt idx="9">
                  <c:v>249</c:v>
                </c:pt>
                <c:pt idx="10">
                  <c:v>37</c:v>
                </c:pt>
                <c:pt idx="11">
                  <c:v>207</c:v>
                </c:pt>
                <c:pt idx="12">
                  <c:v>113</c:v>
                </c:pt>
                <c:pt idx="13">
                  <c:v>150</c:v>
                </c:pt>
                <c:pt idx="14">
                  <c:v>206</c:v>
                </c:pt>
                <c:pt idx="15">
                  <c:v>86</c:v>
                </c:pt>
                <c:pt idx="16">
                  <c:v>88</c:v>
                </c:pt>
                <c:pt idx="17">
                  <c:v>39</c:v>
                </c:pt>
                <c:pt idx="18">
                  <c:v>113</c:v>
                </c:pt>
                <c:pt idx="19">
                  <c:v>147</c:v>
                </c:pt>
                <c:pt idx="20">
                  <c:v>95</c:v>
                </c:pt>
                <c:pt idx="21">
                  <c:v>176</c:v>
                </c:pt>
                <c:pt idx="22">
                  <c:v>144</c:v>
                </c:pt>
                <c:pt idx="23">
                  <c:v>162</c:v>
                </c:pt>
                <c:pt idx="24">
                  <c:v>237</c:v>
                </c:pt>
                <c:pt idx="25">
                  <c:v>98</c:v>
                </c:pt>
                <c:pt idx="26">
                  <c:v>24</c:v>
                </c:pt>
                <c:pt idx="27">
                  <c:v>169</c:v>
                </c:pt>
                <c:pt idx="28">
                  <c:v>236</c:v>
                </c:pt>
                <c:pt idx="29">
                  <c:v>217</c:v>
                </c:pt>
                <c:pt idx="30">
                  <c:v>76</c:v>
                </c:pt>
                <c:pt idx="31">
                  <c:v>47</c:v>
                </c:pt>
                <c:pt idx="32">
                  <c:v>39</c:v>
                </c:pt>
                <c:pt idx="33">
                  <c:v>61</c:v>
                </c:pt>
                <c:pt idx="34">
                  <c:v>352</c:v>
                </c:pt>
                <c:pt idx="35">
                  <c:v>7</c:v>
                </c:pt>
                <c:pt idx="36">
                  <c:v>28</c:v>
                </c:pt>
                <c:pt idx="37">
                  <c:v>52</c:v>
                </c:pt>
                <c:pt idx="38">
                  <c:v>83</c:v>
                </c:pt>
                <c:pt idx="39">
                  <c:v>276</c:v>
                </c:pt>
                <c:pt idx="40">
                  <c:v>27</c:v>
                </c:pt>
                <c:pt idx="41">
                  <c:v>183</c:v>
                </c:pt>
                <c:pt idx="42">
                  <c:v>225</c:v>
                </c:pt>
                <c:pt idx="43">
                  <c:v>147</c:v>
                </c:pt>
                <c:pt idx="44">
                  <c:v>108</c:v>
                </c:pt>
                <c:pt idx="45">
                  <c:v>3</c:v>
                </c:pt>
                <c:pt idx="46">
                  <c:v>254</c:v>
                </c:pt>
                <c:pt idx="47">
                  <c:v>138</c:v>
                </c:pt>
                <c:pt idx="48">
                  <c:v>188</c:v>
                </c:pt>
                <c:pt idx="49">
                  <c:v>32</c:v>
                </c:pt>
                <c:pt idx="50">
                  <c:v>94</c:v>
                </c:pt>
                <c:pt idx="51">
                  <c:v>1</c:v>
                </c:pt>
                <c:pt idx="52">
                  <c:v>131</c:v>
                </c:pt>
                <c:pt idx="53">
                  <c:v>115</c:v>
                </c:pt>
                <c:pt idx="54">
                  <c:v>154</c:v>
                </c:pt>
                <c:pt idx="55">
                  <c:v>79</c:v>
                </c:pt>
                <c:pt idx="56">
                  <c:v>115</c:v>
                </c:pt>
                <c:pt idx="57">
                  <c:v>140</c:v>
                </c:pt>
                <c:pt idx="58">
                  <c:v>58</c:v>
                </c:pt>
                <c:pt idx="59">
                  <c:v>98</c:v>
                </c:pt>
                <c:pt idx="60">
                  <c:v>303</c:v>
                </c:pt>
                <c:pt idx="61">
                  <c:v>64</c:v>
                </c:pt>
                <c:pt idx="62">
                  <c:v>224</c:v>
                </c:pt>
                <c:pt idx="63">
                  <c:v>12</c:v>
                </c:pt>
                <c:pt idx="64">
                  <c:v>162</c:v>
                </c:pt>
                <c:pt idx="65">
                  <c:v>302</c:v>
                </c:pt>
                <c:pt idx="66">
                  <c:v>283</c:v>
                </c:pt>
                <c:pt idx="67">
                  <c:v>329</c:v>
                </c:pt>
                <c:pt idx="68">
                  <c:v>87</c:v>
                </c:pt>
                <c:pt idx="69">
                  <c:v>146</c:v>
                </c:pt>
                <c:pt idx="70">
                  <c:v>111</c:v>
                </c:pt>
                <c:pt idx="71">
                  <c:v>94</c:v>
                </c:pt>
                <c:pt idx="72">
                  <c:v>8</c:v>
                </c:pt>
                <c:pt idx="73">
                  <c:v>116</c:v>
                </c:pt>
                <c:pt idx="74">
                  <c:v>90</c:v>
                </c:pt>
              </c:numCache>
            </c:numRef>
          </c:xVal>
          <c:yVal>
            <c:numRef>
              <c:f>'Major Lower Limb Amputation'!$J$8:$J$82</c:f>
              <c:numCache>
                <c:formatCode>0%</c:formatCode>
                <c:ptCount val="75"/>
                <c:pt idx="0">
                  <c:v>1.6E-2</c:v>
                </c:pt>
                <c:pt idx="1">
                  <c:v>3.5000000000000003E-2</c:v>
                </c:pt>
                <c:pt idx="2">
                  <c:v>6.3E-2</c:v>
                </c:pt>
                <c:pt idx="3">
                  <c:v>5.0999999999999997E-2</c:v>
                </c:pt>
                <c:pt idx="4">
                  <c:v>0</c:v>
                </c:pt>
                <c:pt idx="5">
                  <c:v>5.3999999999999999E-2</c:v>
                </c:pt>
                <c:pt idx="6">
                  <c:v>3.4000000000000002E-2</c:v>
                </c:pt>
                <c:pt idx="7">
                  <c:v>0.159</c:v>
                </c:pt>
                <c:pt idx="8">
                  <c:v>3.5999999999999997E-2</c:v>
                </c:pt>
                <c:pt idx="9">
                  <c:v>1.4E-2</c:v>
                </c:pt>
                <c:pt idx="10">
                  <c:v>7.9000000000000001E-2</c:v>
                </c:pt>
                <c:pt idx="11">
                  <c:v>6.2E-2</c:v>
                </c:pt>
                <c:pt idx="12">
                  <c:v>3.7999999999999999E-2</c:v>
                </c:pt>
                <c:pt idx="13">
                  <c:v>2.9000000000000001E-2</c:v>
                </c:pt>
                <c:pt idx="14">
                  <c:v>3.5999999999999997E-2</c:v>
                </c:pt>
                <c:pt idx="15">
                  <c:v>0.04</c:v>
                </c:pt>
                <c:pt idx="16">
                  <c:v>0.106</c:v>
                </c:pt>
                <c:pt idx="17">
                  <c:v>0</c:v>
                </c:pt>
                <c:pt idx="18">
                  <c:v>2.7E-2</c:v>
                </c:pt>
                <c:pt idx="19">
                  <c:v>5.8999999999999997E-2</c:v>
                </c:pt>
                <c:pt idx="20">
                  <c:v>4.1000000000000002E-2</c:v>
                </c:pt>
                <c:pt idx="21">
                  <c:v>3.9E-2</c:v>
                </c:pt>
                <c:pt idx="22">
                  <c:v>0.05</c:v>
                </c:pt>
                <c:pt idx="23">
                  <c:v>6.5000000000000002E-2</c:v>
                </c:pt>
                <c:pt idx="24">
                  <c:v>8.5000000000000006E-2</c:v>
                </c:pt>
                <c:pt idx="25">
                  <c:v>2.7E-2</c:v>
                </c:pt>
                <c:pt idx="26">
                  <c:v>0</c:v>
                </c:pt>
                <c:pt idx="27">
                  <c:v>1.7999999999999999E-2</c:v>
                </c:pt>
                <c:pt idx="28">
                  <c:v>6.2E-2</c:v>
                </c:pt>
                <c:pt idx="29">
                  <c:v>6.0999999999999999E-2</c:v>
                </c:pt>
                <c:pt idx="30">
                  <c:v>4.4999999999999998E-2</c:v>
                </c:pt>
                <c:pt idx="31">
                  <c:v>4.2999999999999997E-2</c:v>
                </c:pt>
                <c:pt idx="32">
                  <c:v>0</c:v>
                </c:pt>
                <c:pt idx="33">
                  <c:v>0.05</c:v>
                </c:pt>
                <c:pt idx="34">
                  <c:v>5.2999999999999999E-2</c:v>
                </c:pt>
                <c:pt idx="35">
                  <c:v>0.26400000000000001</c:v>
                </c:pt>
                <c:pt idx="36">
                  <c:v>8.2000000000000003E-2</c:v>
                </c:pt>
                <c:pt idx="37">
                  <c:v>1.9E-2</c:v>
                </c:pt>
                <c:pt idx="38">
                  <c:v>9.9000000000000005E-2</c:v>
                </c:pt>
                <c:pt idx="39">
                  <c:v>3.4000000000000002E-2</c:v>
                </c:pt>
                <c:pt idx="40">
                  <c:v>5.6000000000000001E-2</c:v>
                </c:pt>
                <c:pt idx="41">
                  <c:v>1.6E-2</c:v>
                </c:pt>
                <c:pt idx="42">
                  <c:v>2.3E-2</c:v>
                </c:pt>
                <c:pt idx="43">
                  <c:v>2.4E-2</c:v>
                </c:pt>
                <c:pt idx="44">
                  <c:v>3.1E-2</c:v>
                </c:pt>
                <c:pt idx="45">
                  <c:v>0</c:v>
                </c:pt>
                <c:pt idx="46">
                  <c:v>7.1999999999999995E-2</c:v>
                </c:pt>
                <c:pt idx="47">
                  <c:v>4.9000000000000002E-2</c:v>
                </c:pt>
                <c:pt idx="48">
                  <c:v>5.2999999999999999E-2</c:v>
                </c:pt>
                <c:pt idx="49">
                  <c:v>4.9000000000000002E-2</c:v>
                </c:pt>
                <c:pt idx="50">
                  <c:v>4.8000000000000001E-2</c:v>
                </c:pt>
                <c:pt idx="51">
                  <c:v>0</c:v>
                </c:pt>
                <c:pt idx="52">
                  <c:v>4.3999999999999997E-2</c:v>
                </c:pt>
                <c:pt idx="53">
                  <c:v>7.0000000000000007E-2</c:v>
                </c:pt>
                <c:pt idx="54">
                  <c:v>3.5000000000000003E-2</c:v>
                </c:pt>
                <c:pt idx="55">
                  <c:v>6.7000000000000004E-2</c:v>
                </c:pt>
                <c:pt idx="56">
                  <c:v>6.6000000000000003E-2</c:v>
                </c:pt>
                <c:pt idx="57">
                  <c:v>2.1000000000000001E-2</c:v>
                </c:pt>
                <c:pt idx="58">
                  <c:v>0</c:v>
                </c:pt>
                <c:pt idx="59">
                  <c:v>0.02</c:v>
                </c:pt>
                <c:pt idx="60">
                  <c:v>5.2999999999999999E-2</c:v>
                </c:pt>
                <c:pt idx="61">
                  <c:v>2.7E-2</c:v>
                </c:pt>
                <c:pt idx="62">
                  <c:v>6.9000000000000006E-2</c:v>
                </c:pt>
                <c:pt idx="63">
                  <c:v>0.20300000000000001</c:v>
                </c:pt>
                <c:pt idx="64">
                  <c:v>5.1999999999999998E-2</c:v>
                </c:pt>
                <c:pt idx="65">
                  <c:v>4.2999999999999997E-2</c:v>
                </c:pt>
                <c:pt idx="66">
                  <c:v>2.7E-2</c:v>
                </c:pt>
                <c:pt idx="67">
                  <c:v>6.5000000000000002E-2</c:v>
                </c:pt>
                <c:pt idx="68">
                  <c:v>6.8000000000000005E-2</c:v>
                </c:pt>
                <c:pt idx="69">
                  <c:v>5.5E-2</c:v>
                </c:pt>
                <c:pt idx="70">
                  <c:v>4.9000000000000002E-2</c:v>
                </c:pt>
                <c:pt idx="71">
                  <c:v>0.05</c:v>
                </c:pt>
                <c:pt idx="72">
                  <c:v>0</c:v>
                </c:pt>
                <c:pt idx="73">
                  <c:v>2.9000000000000001E-2</c:v>
                </c:pt>
                <c:pt idx="74">
                  <c:v>5.5E-2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12-4B75-AF85-49F97078E3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'Amp Funnel'!$B$2:$B$71</c:f>
              <c:numCache>
                <c:formatCode>General</c:formatCode>
                <c:ptCount val="70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72</c:v>
                </c:pt>
                <c:pt idx="20">
                  <c:v>76</c:v>
                </c:pt>
                <c:pt idx="21">
                  <c:v>79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90</c:v>
                </c:pt>
                <c:pt idx="27">
                  <c:v>94</c:v>
                </c:pt>
                <c:pt idx="28">
                  <c:v>95</c:v>
                </c:pt>
                <c:pt idx="29">
                  <c:v>98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113</c:v>
                </c:pt>
                <c:pt idx="34">
                  <c:v>115</c:v>
                </c:pt>
                <c:pt idx="35">
                  <c:v>116</c:v>
                </c:pt>
                <c:pt idx="36">
                  <c:v>120</c:v>
                </c:pt>
                <c:pt idx="37">
                  <c:v>131</c:v>
                </c:pt>
                <c:pt idx="38">
                  <c:v>132</c:v>
                </c:pt>
                <c:pt idx="39">
                  <c:v>136</c:v>
                </c:pt>
                <c:pt idx="40">
                  <c:v>138</c:v>
                </c:pt>
                <c:pt idx="41">
                  <c:v>140</c:v>
                </c:pt>
                <c:pt idx="42">
                  <c:v>144</c:v>
                </c:pt>
                <c:pt idx="43">
                  <c:v>146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162</c:v>
                </c:pt>
                <c:pt idx="48">
                  <c:v>169</c:v>
                </c:pt>
                <c:pt idx="49">
                  <c:v>176</c:v>
                </c:pt>
                <c:pt idx="50">
                  <c:v>183</c:v>
                </c:pt>
                <c:pt idx="51">
                  <c:v>188</c:v>
                </c:pt>
                <c:pt idx="52">
                  <c:v>204</c:v>
                </c:pt>
                <c:pt idx="53">
                  <c:v>206</c:v>
                </c:pt>
                <c:pt idx="54">
                  <c:v>207</c:v>
                </c:pt>
                <c:pt idx="55">
                  <c:v>217</c:v>
                </c:pt>
                <c:pt idx="56">
                  <c:v>224</c:v>
                </c:pt>
                <c:pt idx="57">
                  <c:v>225</c:v>
                </c:pt>
                <c:pt idx="58">
                  <c:v>236</c:v>
                </c:pt>
                <c:pt idx="59">
                  <c:v>237</c:v>
                </c:pt>
                <c:pt idx="60">
                  <c:v>249</c:v>
                </c:pt>
                <c:pt idx="61">
                  <c:v>254</c:v>
                </c:pt>
                <c:pt idx="62">
                  <c:v>276</c:v>
                </c:pt>
                <c:pt idx="63">
                  <c:v>283</c:v>
                </c:pt>
                <c:pt idx="64">
                  <c:v>302</c:v>
                </c:pt>
                <c:pt idx="65">
                  <c:v>303</c:v>
                </c:pt>
                <c:pt idx="66">
                  <c:v>329</c:v>
                </c:pt>
                <c:pt idx="67">
                  <c:v>351</c:v>
                </c:pt>
                <c:pt idx="68">
                  <c:v>352</c:v>
                </c:pt>
                <c:pt idx="69">
                  <c:v>375</c:v>
                </c:pt>
              </c:numCache>
            </c:numRef>
          </c:xVal>
          <c:yVal>
            <c:numRef>
              <c:f>'Amp Funnel'!$D$2:$D$71</c:f>
              <c:numCache>
                <c:formatCode>0.0%</c:formatCode>
                <c:ptCount val="70"/>
                <c:pt idx="0">
                  <c:v>4.5999999999999999E-2</c:v>
                </c:pt>
                <c:pt idx="1">
                  <c:v>4.5999999999999999E-2</c:v>
                </c:pt>
                <c:pt idx="2">
                  <c:v>4.5999999999999999E-2</c:v>
                </c:pt>
                <c:pt idx="3">
                  <c:v>4.5999999999999999E-2</c:v>
                </c:pt>
                <c:pt idx="4">
                  <c:v>4.5999999999999999E-2</c:v>
                </c:pt>
                <c:pt idx="5">
                  <c:v>4.5999999999999999E-2</c:v>
                </c:pt>
                <c:pt idx="6">
                  <c:v>4.5999999999999999E-2</c:v>
                </c:pt>
                <c:pt idx="7">
                  <c:v>4.5999999999999999E-2</c:v>
                </c:pt>
                <c:pt idx="8">
                  <c:v>4.5999999999999999E-2</c:v>
                </c:pt>
                <c:pt idx="9">
                  <c:v>4.5999999999999999E-2</c:v>
                </c:pt>
                <c:pt idx="10">
                  <c:v>4.5999999999999999E-2</c:v>
                </c:pt>
                <c:pt idx="11">
                  <c:v>4.5999999999999999E-2</c:v>
                </c:pt>
                <c:pt idx="12">
                  <c:v>4.5999999999999999E-2</c:v>
                </c:pt>
                <c:pt idx="13">
                  <c:v>4.5999999999999999E-2</c:v>
                </c:pt>
                <c:pt idx="14">
                  <c:v>4.5999999999999999E-2</c:v>
                </c:pt>
                <c:pt idx="15">
                  <c:v>4.5999999999999999E-2</c:v>
                </c:pt>
                <c:pt idx="16">
                  <c:v>4.5999999999999999E-2</c:v>
                </c:pt>
                <c:pt idx="17">
                  <c:v>4.5999999999999999E-2</c:v>
                </c:pt>
                <c:pt idx="18">
                  <c:v>4.5999999999999999E-2</c:v>
                </c:pt>
                <c:pt idx="19">
                  <c:v>4.5999999999999999E-2</c:v>
                </c:pt>
                <c:pt idx="20">
                  <c:v>4.5999999999999999E-2</c:v>
                </c:pt>
                <c:pt idx="21">
                  <c:v>4.5999999999999999E-2</c:v>
                </c:pt>
                <c:pt idx="22">
                  <c:v>4.5999999999999999E-2</c:v>
                </c:pt>
                <c:pt idx="23">
                  <c:v>4.5999999999999999E-2</c:v>
                </c:pt>
                <c:pt idx="24">
                  <c:v>4.5999999999999999E-2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4.5999999999999999E-2</c:v>
                </c:pt>
                <c:pt idx="28">
                  <c:v>4.5999999999999999E-2</c:v>
                </c:pt>
                <c:pt idx="29">
                  <c:v>4.5999999999999999E-2</c:v>
                </c:pt>
                <c:pt idx="30">
                  <c:v>4.5999999999999999E-2</c:v>
                </c:pt>
                <c:pt idx="31">
                  <c:v>4.5999999999999999E-2</c:v>
                </c:pt>
                <c:pt idx="32">
                  <c:v>4.5999999999999999E-2</c:v>
                </c:pt>
                <c:pt idx="33">
                  <c:v>4.5999999999999999E-2</c:v>
                </c:pt>
                <c:pt idx="34">
                  <c:v>4.5999999999999999E-2</c:v>
                </c:pt>
                <c:pt idx="35">
                  <c:v>4.5999999999999999E-2</c:v>
                </c:pt>
                <c:pt idx="36">
                  <c:v>4.5999999999999999E-2</c:v>
                </c:pt>
                <c:pt idx="37">
                  <c:v>4.5999999999999999E-2</c:v>
                </c:pt>
                <c:pt idx="38">
                  <c:v>4.5999999999999999E-2</c:v>
                </c:pt>
                <c:pt idx="39">
                  <c:v>4.5999999999999999E-2</c:v>
                </c:pt>
                <c:pt idx="40">
                  <c:v>4.5999999999999999E-2</c:v>
                </c:pt>
                <c:pt idx="41">
                  <c:v>4.5999999999999999E-2</c:v>
                </c:pt>
                <c:pt idx="42">
                  <c:v>4.5999999999999999E-2</c:v>
                </c:pt>
                <c:pt idx="43">
                  <c:v>4.5999999999999999E-2</c:v>
                </c:pt>
                <c:pt idx="44">
                  <c:v>4.5999999999999999E-2</c:v>
                </c:pt>
                <c:pt idx="45">
                  <c:v>4.5999999999999999E-2</c:v>
                </c:pt>
                <c:pt idx="46">
                  <c:v>4.5999999999999999E-2</c:v>
                </c:pt>
                <c:pt idx="47">
                  <c:v>4.5999999999999999E-2</c:v>
                </c:pt>
                <c:pt idx="48">
                  <c:v>4.5999999999999999E-2</c:v>
                </c:pt>
                <c:pt idx="49">
                  <c:v>4.5999999999999999E-2</c:v>
                </c:pt>
                <c:pt idx="50">
                  <c:v>4.5999999999999999E-2</c:v>
                </c:pt>
                <c:pt idx="51">
                  <c:v>4.5999999999999999E-2</c:v>
                </c:pt>
                <c:pt idx="52">
                  <c:v>4.5999999999999999E-2</c:v>
                </c:pt>
                <c:pt idx="53">
                  <c:v>4.5999999999999999E-2</c:v>
                </c:pt>
                <c:pt idx="54">
                  <c:v>4.5999999999999999E-2</c:v>
                </c:pt>
                <c:pt idx="55">
                  <c:v>4.5999999999999999E-2</c:v>
                </c:pt>
                <c:pt idx="56">
                  <c:v>4.5999999999999999E-2</c:v>
                </c:pt>
                <c:pt idx="57">
                  <c:v>4.5999999999999999E-2</c:v>
                </c:pt>
                <c:pt idx="58">
                  <c:v>4.5999999999999999E-2</c:v>
                </c:pt>
                <c:pt idx="59">
                  <c:v>4.5999999999999999E-2</c:v>
                </c:pt>
                <c:pt idx="60">
                  <c:v>4.5999999999999999E-2</c:v>
                </c:pt>
                <c:pt idx="61">
                  <c:v>4.5999999999999999E-2</c:v>
                </c:pt>
                <c:pt idx="62">
                  <c:v>4.5999999999999999E-2</c:v>
                </c:pt>
                <c:pt idx="63">
                  <c:v>4.5999999999999999E-2</c:v>
                </c:pt>
                <c:pt idx="64">
                  <c:v>4.5999999999999999E-2</c:v>
                </c:pt>
                <c:pt idx="65">
                  <c:v>4.5999999999999999E-2</c:v>
                </c:pt>
                <c:pt idx="66">
                  <c:v>4.5999999999999999E-2</c:v>
                </c:pt>
                <c:pt idx="67">
                  <c:v>4.5999999999999999E-2</c:v>
                </c:pt>
                <c:pt idx="68">
                  <c:v>4.5999999999999999E-2</c:v>
                </c:pt>
                <c:pt idx="69">
                  <c:v>4.5999999999999999E-2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12-4B75-AF85-49F97078E3D4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'Amp Funnel'!$B$2:$B$71</c:f>
              <c:numCache>
                <c:formatCode>General</c:formatCode>
                <c:ptCount val="70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72</c:v>
                </c:pt>
                <c:pt idx="20">
                  <c:v>76</c:v>
                </c:pt>
                <c:pt idx="21">
                  <c:v>79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90</c:v>
                </c:pt>
                <c:pt idx="27">
                  <c:v>94</c:v>
                </c:pt>
                <c:pt idx="28">
                  <c:v>95</c:v>
                </c:pt>
                <c:pt idx="29">
                  <c:v>98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113</c:v>
                </c:pt>
                <c:pt idx="34">
                  <c:v>115</c:v>
                </c:pt>
                <c:pt idx="35">
                  <c:v>116</c:v>
                </c:pt>
                <c:pt idx="36">
                  <c:v>120</c:v>
                </c:pt>
                <c:pt idx="37">
                  <c:v>131</c:v>
                </c:pt>
                <c:pt idx="38">
                  <c:v>132</c:v>
                </c:pt>
                <c:pt idx="39">
                  <c:v>136</c:v>
                </c:pt>
                <c:pt idx="40">
                  <c:v>138</c:v>
                </c:pt>
                <c:pt idx="41">
                  <c:v>140</c:v>
                </c:pt>
                <c:pt idx="42">
                  <c:v>144</c:v>
                </c:pt>
                <c:pt idx="43">
                  <c:v>146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162</c:v>
                </c:pt>
                <c:pt idx="48">
                  <c:v>169</c:v>
                </c:pt>
                <c:pt idx="49">
                  <c:v>176</c:v>
                </c:pt>
                <c:pt idx="50">
                  <c:v>183</c:v>
                </c:pt>
                <c:pt idx="51">
                  <c:v>188</c:v>
                </c:pt>
                <c:pt idx="52">
                  <c:v>204</c:v>
                </c:pt>
                <c:pt idx="53">
                  <c:v>206</c:v>
                </c:pt>
                <c:pt idx="54">
                  <c:v>207</c:v>
                </c:pt>
                <c:pt idx="55">
                  <c:v>217</c:v>
                </c:pt>
                <c:pt idx="56">
                  <c:v>224</c:v>
                </c:pt>
                <c:pt idx="57">
                  <c:v>225</c:v>
                </c:pt>
                <c:pt idx="58">
                  <c:v>236</c:v>
                </c:pt>
                <c:pt idx="59">
                  <c:v>237</c:v>
                </c:pt>
                <c:pt idx="60">
                  <c:v>249</c:v>
                </c:pt>
                <c:pt idx="61">
                  <c:v>254</c:v>
                </c:pt>
                <c:pt idx="62">
                  <c:v>276</c:v>
                </c:pt>
                <c:pt idx="63">
                  <c:v>283</c:v>
                </c:pt>
                <c:pt idx="64">
                  <c:v>302</c:v>
                </c:pt>
                <c:pt idx="65">
                  <c:v>303</c:v>
                </c:pt>
                <c:pt idx="66">
                  <c:v>329</c:v>
                </c:pt>
                <c:pt idx="67">
                  <c:v>351</c:v>
                </c:pt>
                <c:pt idx="68">
                  <c:v>352</c:v>
                </c:pt>
                <c:pt idx="69">
                  <c:v>375</c:v>
                </c:pt>
              </c:numCache>
            </c:numRef>
          </c:xVal>
          <c:yVal>
            <c:numRef>
              <c:f>'Amp Funnel'!$C$2:$C$71</c:f>
              <c:numCache>
                <c:formatCode>0.00%</c:formatCode>
                <c:ptCount val="70"/>
                <c:pt idx="0">
                  <c:v>0.6</c:v>
                </c:pt>
                <c:pt idx="1">
                  <c:v>0.52789028169999996</c:v>
                </c:pt>
                <c:pt idx="2">
                  <c:v>0.4788088989</c:v>
                </c:pt>
                <c:pt idx="3">
                  <c:v>0.37542961120000001</c:v>
                </c:pt>
                <c:pt idx="4">
                  <c:v>0.36866561889999999</c:v>
                </c:pt>
                <c:pt idx="5">
                  <c:v>0.2610245705</c:v>
                </c:pt>
                <c:pt idx="6">
                  <c:v>0.24559246060000006</c:v>
                </c:pt>
                <c:pt idx="7">
                  <c:v>0.23799472809999997</c:v>
                </c:pt>
                <c:pt idx="8">
                  <c:v>0.22982660289999998</c:v>
                </c:pt>
                <c:pt idx="9">
                  <c:v>0.22797805789999998</c:v>
                </c:pt>
                <c:pt idx="10">
                  <c:v>0.2129270744</c:v>
                </c:pt>
                <c:pt idx="11">
                  <c:v>0.19723495479999997</c:v>
                </c:pt>
                <c:pt idx="12">
                  <c:v>0.19376581189999997</c:v>
                </c:pt>
                <c:pt idx="13">
                  <c:v>0.18028430940000006</c:v>
                </c:pt>
                <c:pt idx="14">
                  <c:v>0.17572174070000002</c:v>
                </c:pt>
                <c:pt idx="15">
                  <c:v>0.16863260269999997</c:v>
                </c:pt>
                <c:pt idx="16">
                  <c:v>0.15989253039999995</c:v>
                </c:pt>
                <c:pt idx="17">
                  <c:v>0.15732195849999997</c:v>
                </c:pt>
                <c:pt idx="18">
                  <c:v>0.15342964170000001</c:v>
                </c:pt>
                <c:pt idx="19">
                  <c:v>0.14641493800000005</c:v>
                </c:pt>
                <c:pt idx="20">
                  <c:v>0.14256441120000005</c:v>
                </c:pt>
                <c:pt idx="21">
                  <c:v>0.13911025050000006</c:v>
                </c:pt>
                <c:pt idx="22">
                  <c:v>0.13790822030000002</c:v>
                </c:pt>
                <c:pt idx="23">
                  <c:v>0.13598452570000005</c:v>
                </c:pt>
                <c:pt idx="24">
                  <c:v>0.13520154000000006</c:v>
                </c:pt>
                <c:pt idx="25">
                  <c:v>0.13436804769999994</c:v>
                </c:pt>
                <c:pt idx="26">
                  <c:v>0.13258629799999994</c:v>
                </c:pt>
                <c:pt idx="27">
                  <c:v>0.13093845369999996</c:v>
                </c:pt>
                <c:pt idx="28">
                  <c:v>0.13061664579999999</c:v>
                </c:pt>
                <c:pt idx="29">
                  <c:v>0.12916834829999999</c:v>
                </c:pt>
                <c:pt idx="30">
                  <c:v>0.12499381069999999</c:v>
                </c:pt>
                <c:pt idx="31">
                  <c:v>0.12436899190000006</c:v>
                </c:pt>
                <c:pt idx="32">
                  <c:v>0.12314918520000007</c:v>
                </c:pt>
                <c:pt idx="33">
                  <c:v>0.1221079254</c:v>
                </c:pt>
                <c:pt idx="34">
                  <c:v>0.1209412193</c:v>
                </c:pt>
                <c:pt idx="35">
                  <c:v>0.12032248499999994</c:v>
                </c:pt>
                <c:pt idx="36">
                  <c:v>0.11945180890000003</c:v>
                </c:pt>
                <c:pt idx="37">
                  <c:v>0.11525654790000005</c:v>
                </c:pt>
                <c:pt idx="38">
                  <c:v>0.11519130709999999</c:v>
                </c:pt>
                <c:pt idx="39">
                  <c:v>0.11438838009999998</c:v>
                </c:pt>
                <c:pt idx="40">
                  <c:v>0.11374342920000004</c:v>
                </c:pt>
                <c:pt idx="41">
                  <c:v>0.11298411369999997</c:v>
                </c:pt>
                <c:pt idx="42">
                  <c:v>0.1114026165</c:v>
                </c:pt>
                <c:pt idx="43">
                  <c:v>0.1112953091</c:v>
                </c:pt>
                <c:pt idx="44">
                  <c:v>0.11116699220000001</c:v>
                </c:pt>
                <c:pt idx="45">
                  <c:v>0.11054471019999994</c:v>
                </c:pt>
                <c:pt idx="46">
                  <c:v>0.10930718420000005</c:v>
                </c:pt>
                <c:pt idx="47">
                  <c:v>0.10764763830000007</c:v>
                </c:pt>
                <c:pt idx="48">
                  <c:v>0.10585054400000005</c:v>
                </c:pt>
                <c:pt idx="49">
                  <c:v>0.10473158839999996</c:v>
                </c:pt>
                <c:pt idx="50">
                  <c:v>0.10317056660000005</c:v>
                </c:pt>
                <c:pt idx="51">
                  <c:v>0.10235694890000005</c:v>
                </c:pt>
                <c:pt idx="52">
                  <c:v>9.9877767600000028E-2</c:v>
                </c:pt>
                <c:pt idx="53">
                  <c:v>9.9636983900000045E-2</c:v>
                </c:pt>
                <c:pt idx="54">
                  <c:v>9.9487762499999952E-2</c:v>
                </c:pt>
                <c:pt idx="55">
                  <c:v>9.7888212200000033E-2</c:v>
                </c:pt>
                <c:pt idx="56">
                  <c:v>9.7047300299999931E-2</c:v>
                </c:pt>
                <c:pt idx="57">
                  <c:v>9.6867923700000066E-2</c:v>
                </c:pt>
                <c:pt idx="58">
                  <c:v>9.5599012400000016E-2</c:v>
                </c:pt>
                <c:pt idx="59">
                  <c:v>9.5471048400000036E-2</c:v>
                </c:pt>
                <c:pt idx="60">
                  <c:v>9.407195090000002E-2</c:v>
                </c:pt>
                <c:pt idx="61">
                  <c:v>9.3494691800000002E-2</c:v>
                </c:pt>
                <c:pt idx="62">
                  <c:v>9.1181535700000038E-2</c:v>
                </c:pt>
                <c:pt idx="63">
                  <c:v>9.0694284399999964E-2</c:v>
                </c:pt>
                <c:pt idx="64">
                  <c:v>8.8959960899999968E-2</c:v>
                </c:pt>
                <c:pt idx="65">
                  <c:v>8.8830308900000002E-2</c:v>
                </c:pt>
                <c:pt idx="66">
                  <c:v>8.7046423000000039E-2</c:v>
                </c:pt>
                <c:pt idx="67">
                  <c:v>8.5383882499999966E-2</c:v>
                </c:pt>
                <c:pt idx="68">
                  <c:v>8.531013490000007E-2</c:v>
                </c:pt>
                <c:pt idx="69">
                  <c:v>8.4140062299999985E-2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12-4B75-AF85-49F97078E3D4}"/>
            </c:ext>
          </c:extLst>
        </c:ser>
        <c:ser>
          <c:idx val="3"/>
          <c:order val="3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'Amputation Summary'!$D$29</c:f>
              <c:numCache>
                <c:formatCode>General</c:formatCode>
                <c:ptCount val="1"/>
                <c:pt idx="0">
                  <c:v>132</c:v>
                </c:pt>
              </c:numCache>
            </c:numRef>
          </c:xVal>
          <c:yVal>
            <c:numRef>
              <c:f>'Amputation Summary'!$K$29</c:f>
              <c:numCache>
                <c:formatCode>0.0%</c:formatCode>
                <c:ptCount val="1"/>
                <c:pt idx="0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112-4B75-AF85-49F97078E3D4}"/>
            </c:ext>
          </c:extLst>
        </c:ser>
        <c:ser>
          <c:idx val="4"/>
          <c:order val="4"/>
          <c:tx>
            <c:v>Lower Funnel Limit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noFill/>
                <a:prstDash val="dash"/>
              </a:ln>
              <a:effectLst/>
            </c:spPr>
          </c:marker>
          <c:xVal>
            <c:numRef>
              <c:f>'Amp Funnel'!$B$2:$B$71</c:f>
              <c:numCache>
                <c:formatCode>General</c:formatCode>
                <c:ptCount val="70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72</c:v>
                </c:pt>
                <c:pt idx="20">
                  <c:v>76</c:v>
                </c:pt>
                <c:pt idx="21">
                  <c:v>79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90</c:v>
                </c:pt>
                <c:pt idx="27">
                  <c:v>94</c:v>
                </c:pt>
                <c:pt idx="28">
                  <c:v>95</c:v>
                </c:pt>
                <c:pt idx="29">
                  <c:v>98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113</c:v>
                </c:pt>
                <c:pt idx="34">
                  <c:v>115</c:v>
                </c:pt>
                <c:pt idx="35">
                  <c:v>116</c:v>
                </c:pt>
                <c:pt idx="36">
                  <c:v>120</c:v>
                </c:pt>
                <c:pt idx="37">
                  <c:v>131</c:v>
                </c:pt>
                <c:pt idx="38">
                  <c:v>132</c:v>
                </c:pt>
                <c:pt idx="39">
                  <c:v>136</c:v>
                </c:pt>
                <c:pt idx="40">
                  <c:v>138</c:v>
                </c:pt>
                <c:pt idx="41">
                  <c:v>140</c:v>
                </c:pt>
                <c:pt idx="42">
                  <c:v>144</c:v>
                </c:pt>
                <c:pt idx="43">
                  <c:v>146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162</c:v>
                </c:pt>
                <c:pt idx="48">
                  <c:v>169</c:v>
                </c:pt>
                <c:pt idx="49">
                  <c:v>176</c:v>
                </c:pt>
                <c:pt idx="50">
                  <c:v>183</c:v>
                </c:pt>
                <c:pt idx="51">
                  <c:v>188</c:v>
                </c:pt>
                <c:pt idx="52">
                  <c:v>204</c:v>
                </c:pt>
                <c:pt idx="53">
                  <c:v>206</c:v>
                </c:pt>
                <c:pt idx="54">
                  <c:v>207</c:v>
                </c:pt>
                <c:pt idx="55">
                  <c:v>217</c:v>
                </c:pt>
                <c:pt idx="56">
                  <c:v>224</c:v>
                </c:pt>
                <c:pt idx="57">
                  <c:v>225</c:v>
                </c:pt>
                <c:pt idx="58">
                  <c:v>236</c:v>
                </c:pt>
                <c:pt idx="59">
                  <c:v>237</c:v>
                </c:pt>
                <c:pt idx="60">
                  <c:v>249</c:v>
                </c:pt>
                <c:pt idx="61">
                  <c:v>254</c:v>
                </c:pt>
                <c:pt idx="62">
                  <c:v>276</c:v>
                </c:pt>
                <c:pt idx="63">
                  <c:v>283</c:v>
                </c:pt>
                <c:pt idx="64">
                  <c:v>302</c:v>
                </c:pt>
                <c:pt idx="65">
                  <c:v>303</c:v>
                </c:pt>
                <c:pt idx="66">
                  <c:v>329</c:v>
                </c:pt>
                <c:pt idx="67">
                  <c:v>351</c:v>
                </c:pt>
                <c:pt idx="68">
                  <c:v>352</c:v>
                </c:pt>
                <c:pt idx="69">
                  <c:v>375</c:v>
                </c:pt>
              </c:numCache>
            </c:numRef>
          </c:xVal>
          <c:yVal>
            <c:numRef>
              <c:f>'Amp Funnel'!$E$2:$E$71</c:f>
              <c:numCache>
                <c:formatCode>0.00%</c:formatCode>
                <c:ptCount val="70"/>
                <c:pt idx="45">
                  <c:v>1.554000000000144E-4</c:v>
                </c:pt>
                <c:pt idx="46">
                  <c:v>3.5924840000006953E-4</c:v>
                </c:pt>
                <c:pt idx="47">
                  <c:v>8.3471369999998045E-4</c:v>
                </c:pt>
                <c:pt idx="48">
                  <c:v>1.3500095999999927E-3</c:v>
                </c:pt>
                <c:pt idx="49">
                  <c:v>1.9922094000000357E-3</c:v>
                </c:pt>
                <c:pt idx="50">
                  <c:v>2.8040253999999719E-3</c:v>
                </c:pt>
                <c:pt idx="51">
                  <c:v>3.5179847000000562E-3</c:v>
                </c:pt>
                <c:pt idx="52">
                  <c:v>5.3117113999999787E-3</c:v>
                </c:pt>
                <c:pt idx="53">
                  <c:v>5.3878700999999297E-3</c:v>
                </c:pt>
                <c:pt idx="54">
                  <c:v>5.4287392000000522E-3</c:v>
                </c:pt>
                <c:pt idx="55">
                  <c:v>5.9569401000000256E-3</c:v>
                </c:pt>
                <c:pt idx="56">
                  <c:v>6.4870732999999349E-3</c:v>
                </c:pt>
                <c:pt idx="57">
                  <c:v>6.5760838999999295E-3</c:v>
                </c:pt>
                <c:pt idx="58">
                  <c:v>7.831202699999977E-3</c:v>
                </c:pt>
                <c:pt idx="59">
                  <c:v>7.974666399999962E-3</c:v>
                </c:pt>
                <c:pt idx="60">
                  <c:v>8.5803217000000129E-3</c:v>
                </c:pt>
                <c:pt idx="61">
                  <c:v>8.7663645000000661E-3</c:v>
                </c:pt>
                <c:pt idx="62">
                  <c:v>1.040318009999993E-2</c:v>
                </c:pt>
                <c:pt idx="63">
                  <c:v>1.0817831800000021E-2</c:v>
                </c:pt>
                <c:pt idx="64">
                  <c:v>1.1502119299999976E-2</c:v>
                </c:pt>
                <c:pt idx="65">
                  <c:v>1.1561466499999966E-2</c:v>
                </c:pt>
                <c:pt idx="66">
                  <c:v>1.2891179300000033E-2</c:v>
                </c:pt>
                <c:pt idx="67">
                  <c:v>1.4121293999999977E-2</c:v>
                </c:pt>
                <c:pt idx="68">
                  <c:v>1.4207254599999998E-2</c:v>
                </c:pt>
                <c:pt idx="69">
                  <c:v>1.4789662400000054E-2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9B-43B5-98F2-CC766CE09FC7}"/>
            </c:ext>
          </c:extLst>
        </c:ser>
        <c:ser>
          <c:idx val="5"/>
          <c:order val="5"/>
          <c:tx>
            <c:v>Upper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'Amp Funnel'!$B$2:$B$71</c:f>
              <c:numCache>
                <c:formatCode>General</c:formatCode>
                <c:ptCount val="70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72</c:v>
                </c:pt>
                <c:pt idx="20">
                  <c:v>76</c:v>
                </c:pt>
                <c:pt idx="21">
                  <c:v>79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90</c:v>
                </c:pt>
                <c:pt idx="27">
                  <c:v>94</c:v>
                </c:pt>
                <c:pt idx="28">
                  <c:v>95</c:v>
                </c:pt>
                <c:pt idx="29">
                  <c:v>98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113</c:v>
                </c:pt>
                <c:pt idx="34">
                  <c:v>115</c:v>
                </c:pt>
                <c:pt idx="35">
                  <c:v>116</c:v>
                </c:pt>
                <c:pt idx="36">
                  <c:v>120</c:v>
                </c:pt>
                <c:pt idx="37">
                  <c:v>131</c:v>
                </c:pt>
                <c:pt idx="38">
                  <c:v>132</c:v>
                </c:pt>
                <c:pt idx="39">
                  <c:v>136</c:v>
                </c:pt>
                <c:pt idx="40">
                  <c:v>138</c:v>
                </c:pt>
                <c:pt idx="41">
                  <c:v>140</c:v>
                </c:pt>
                <c:pt idx="42">
                  <c:v>144</c:v>
                </c:pt>
                <c:pt idx="43">
                  <c:v>146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162</c:v>
                </c:pt>
                <c:pt idx="48">
                  <c:v>169</c:v>
                </c:pt>
                <c:pt idx="49">
                  <c:v>176</c:v>
                </c:pt>
                <c:pt idx="50">
                  <c:v>183</c:v>
                </c:pt>
                <c:pt idx="51">
                  <c:v>188</c:v>
                </c:pt>
                <c:pt idx="52">
                  <c:v>204</c:v>
                </c:pt>
                <c:pt idx="53">
                  <c:v>206</c:v>
                </c:pt>
                <c:pt idx="54">
                  <c:v>207</c:v>
                </c:pt>
                <c:pt idx="55">
                  <c:v>217</c:v>
                </c:pt>
                <c:pt idx="56">
                  <c:v>224</c:v>
                </c:pt>
                <c:pt idx="57">
                  <c:v>225</c:v>
                </c:pt>
                <c:pt idx="58">
                  <c:v>236</c:v>
                </c:pt>
                <c:pt idx="59">
                  <c:v>237</c:v>
                </c:pt>
                <c:pt idx="60">
                  <c:v>249</c:v>
                </c:pt>
                <c:pt idx="61">
                  <c:v>254</c:v>
                </c:pt>
                <c:pt idx="62">
                  <c:v>276</c:v>
                </c:pt>
                <c:pt idx="63">
                  <c:v>283</c:v>
                </c:pt>
                <c:pt idx="64">
                  <c:v>302</c:v>
                </c:pt>
                <c:pt idx="65">
                  <c:v>303</c:v>
                </c:pt>
                <c:pt idx="66">
                  <c:v>329</c:v>
                </c:pt>
                <c:pt idx="67">
                  <c:v>351</c:v>
                </c:pt>
                <c:pt idx="68">
                  <c:v>352</c:v>
                </c:pt>
                <c:pt idx="69">
                  <c:v>375</c:v>
                </c:pt>
              </c:numCache>
            </c:numRef>
          </c:xVal>
          <c:yVal>
            <c:numRef>
              <c:f>'Amp Funnel'!$G$2:$G$71</c:f>
              <c:numCache>
                <c:formatCode>0.00%</c:formatCode>
                <c:ptCount val="70"/>
                <c:pt idx="0">
                  <c:v>0.6</c:v>
                </c:pt>
                <c:pt idx="1">
                  <c:v>0.33889999999999998</c:v>
                </c:pt>
                <c:pt idx="2">
                  <c:v>0.31780000000000003</c:v>
                </c:pt>
                <c:pt idx="3">
                  <c:v>0.25740000000000002</c:v>
                </c:pt>
                <c:pt idx="4">
                  <c:v>0.24110000000000001</c:v>
                </c:pt>
                <c:pt idx="5">
                  <c:v>0.17580000000000001</c:v>
                </c:pt>
                <c:pt idx="6">
                  <c:v>0.16539999999999999</c:v>
                </c:pt>
                <c:pt idx="7">
                  <c:v>0.16209999999999999</c:v>
                </c:pt>
                <c:pt idx="8">
                  <c:v>0.1603</c:v>
                </c:pt>
                <c:pt idx="9">
                  <c:v>0.1585</c:v>
                </c:pt>
                <c:pt idx="10">
                  <c:v>0.14879999999999999</c:v>
                </c:pt>
                <c:pt idx="11">
                  <c:v>0.13689999999999999</c:v>
                </c:pt>
                <c:pt idx="12">
                  <c:v>0.13600000000000001</c:v>
                </c:pt>
                <c:pt idx="13">
                  <c:v>0.12989999999999999</c:v>
                </c:pt>
                <c:pt idx="14">
                  <c:v>0.12529999999999999</c:v>
                </c:pt>
                <c:pt idx="15">
                  <c:v>0.1211</c:v>
                </c:pt>
                <c:pt idx="16">
                  <c:v>0.1164</c:v>
                </c:pt>
                <c:pt idx="17">
                  <c:v>0.1134</c:v>
                </c:pt>
                <c:pt idx="18">
                  <c:v>0.1114</c:v>
                </c:pt>
                <c:pt idx="19">
                  <c:v>0.1076</c:v>
                </c:pt>
                <c:pt idx="20">
                  <c:v>0.1047</c:v>
                </c:pt>
                <c:pt idx="21">
                  <c:v>0.10390000000000001</c:v>
                </c:pt>
                <c:pt idx="22">
                  <c:v>0.1027</c:v>
                </c:pt>
                <c:pt idx="23">
                  <c:v>0.1014</c:v>
                </c:pt>
                <c:pt idx="24">
                  <c:v>0.1009</c:v>
                </c:pt>
                <c:pt idx="25">
                  <c:v>0.1004</c:v>
                </c:pt>
                <c:pt idx="26">
                  <c:v>9.9299999999999999E-2</c:v>
                </c:pt>
                <c:pt idx="27">
                  <c:v>9.8299999999999998E-2</c:v>
                </c:pt>
                <c:pt idx="28">
                  <c:v>9.8100000000000007E-2</c:v>
                </c:pt>
                <c:pt idx="29">
                  <c:v>9.7299999999999998E-2</c:v>
                </c:pt>
                <c:pt idx="30">
                  <c:v>9.5100000000000004E-2</c:v>
                </c:pt>
                <c:pt idx="31">
                  <c:v>9.4E-2</c:v>
                </c:pt>
                <c:pt idx="32">
                  <c:v>9.3600000000000003E-2</c:v>
                </c:pt>
                <c:pt idx="33">
                  <c:v>9.3200000000000005E-2</c:v>
                </c:pt>
                <c:pt idx="34">
                  <c:v>9.2600000000000002E-2</c:v>
                </c:pt>
                <c:pt idx="35">
                  <c:v>9.2299999999999993E-2</c:v>
                </c:pt>
                <c:pt idx="36">
                  <c:v>9.0999999999999998E-2</c:v>
                </c:pt>
                <c:pt idx="37">
                  <c:v>8.9200000000000002E-2</c:v>
                </c:pt>
                <c:pt idx="38">
                  <c:v>8.8900000000000007E-2</c:v>
                </c:pt>
                <c:pt idx="39">
                  <c:v>8.7800000000000003E-2</c:v>
                </c:pt>
                <c:pt idx="40">
                  <c:v>8.7400000000000005E-2</c:v>
                </c:pt>
                <c:pt idx="41">
                  <c:v>8.7400000000000005E-2</c:v>
                </c:pt>
                <c:pt idx="42">
                  <c:v>8.6900000000000005E-2</c:v>
                </c:pt>
                <c:pt idx="43">
                  <c:v>8.6499999999999994E-2</c:v>
                </c:pt>
                <c:pt idx="44">
                  <c:v>8.6300000000000002E-2</c:v>
                </c:pt>
                <c:pt idx="45">
                  <c:v>8.5699999999999998E-2</c:v>
                </c:pt>
                <c:pt idx="46">
                  <c:v>8.4900000000000003E-2</c:v>
                </c:pt>
                <c:pt idx="47">
                  <c:v>8.4199999999999997E-2</c:v>
                </c:pt>
                <c:pt idx="48">
                  <c:v>8.2799999999999999E-2</c:v>
                </c:pt>
                <c:pt idx="49">
                  <c:v>8.2400000000000001E-2</c:v>
                </c:pt>
                <c:pt idx="50">
                  <c:v>8.14E-2</c:v>
                </c:pt>
                <c:pt idx="51">
                  <c:v>8.09E-2</c:v>
                </c:pt>
                <c:pt idx="52">
                  <c:v>7.9299999999999995E-2</c:v>
                </c:pt>
                <c:pt idx="53">
                  <c:v>7.9200000000000007E-2</c:v>
                </c:pt>
                <c:pt idx="54">
                  <c:v>7.9100000000000004E-2</c:v>
                </c:pt>
                <c:pt idx="55">
                  <c:v>7.8E-2</c:v>
                </c:pt>
                <c:pt idx="56">
                  <c:v>7.7700000000000005E-2</c:v>
                </c:pt>
                <c:pt idx="57">
                  <c:v>7.7600000000000002E-2</c:v>
                </c:pt>
                <c:pt idx="58">
                  <c:v>7.6600000000000001E-2</c:v>
                </c:pt>
                <c:pt idx="59">
                  <c:v>7.6499999999999999E-2</c:v>
                </c:pt>
                <c:pt idx="60">
                  <c:v>7.5700000000000003E-2</c:v>
                </c:pt>
                <c:pt idx="61">
                  <c:v>7.5399999999999995E-2</c:v>
                </c:pt>
                <c:pt idx="62">
                  <c:v>7.4200000000000002E-2</c:v>
                </c:pt>
                <c:pt idx="63">
                  <c:v>7.3700000000000002E-2</c:v>
                </c:pt>
                <c:pt idx="64">
                  <c:v>7.2599999999999998E-2</c:v>
                </c:pt>
                <c:pt idx="65">
                  <c:v>7.2499999999999995E-2</c:v>
                </c:pt>
                <c:pt idx="66">
                  <c:v>7.1499999999999994E-2</c:v>
                </c:pt>
                <c:pt idx="67">
                  <c:v>7.0599999999999996E-2</c:v>
                </c:pt>
                <c:pt idx="68">
                  <c:v>7.0499999999999993E-2</c:v>
                </c:pt>
                <c:pt idx="69">
                  <c:v>6.9599999999999995E-2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E3-47DA-8033-8FA8C996DD68}"/>
            </c:ext>
          </c:extLst>
        </c:ser>
        <c:ser>
          <c:idx val="6"/>
          <c:order val="6"/>
          <c:tx>
            <c:v>Lower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'Amp Funnel'!$B$2:$B$71</c:f>
              <c:numCache>
                <c:formatCode>General</c:formatCode>
                <c:ptCount val="70"/>
                <c:pt idx="0">
                  <c:v>0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32</c:v>
                </c:pt>
                <c:pt idx="11">
                  <c:v>37</c:v>
                </c:pt>
                <c:pt idx="12">
                  <c:v>39</c:v>
                </c:pt>
                <c:pt idx="13">
                  <c:v>44</c:v>
                </c:pt>
                <c:pt idx="14">
                  <c:v>47</c:v>
                </c:pt>
                <c:pt idx="15">
                  <c:v>52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72</c:v>
                </c:pt>
                <c:pt idx="20">
                  <c:v>76</c:v>
                </c:pt>
                <c:pt idx="21">
                  <c:v>79</c:v>
                </c:pt>
                <c:pt idx="22">
                  <c:v>83</c:v>
                </c:pt>
                <c:pt idx="23">
                  <c:v>86</c:v>
                </c:pt>
                <c:pt idx="24">
                  <c:v>87</c:v>
                </c:pt>
                <c:pt idx="25">
                  <c:v>88</c:v>
                </c:pt>
                <c:pt idx="26">
                  <c:v>90</c:v>
                </c:pt>
                <c:pt idx="27">
                  <c:v>94</c:v>
                </c:pt>
                <c:pt idx="28">
                  <c:v>95</c:v>
                </c:pt>
                <c:pt idx="29">
                  <c:v>98</c:v>
                </c:pt>
                <c:pt idx="30">
                  <c:v>104</c:v>
                </c:pt>
                <c:pt idx="31">
                  <c:v>108</c:v>
                </c:pt>
                <c:pt idx="32">
                  <c:v>111</c:v>
                </c:pt>
                <c:pt idx="33">
                  <c:v>113</c:v>
                </c:pt>
                <c:pt idx="34">
                  <c:v>115</c:v>
                </c:pt>
                <c:pt idx="35">
                  <c:v>116</c:v>
                </c:pt>
                <c:pt idx="36">
                  <c:v>120</c:v>
                </c:pt>
                <c:pt idx="37">
                  <c:v>131</c:v>
                </c:pt>
                <c:pt idx="38">
                  <c:v>132</c:v>
                </c:pt>
                <c:pt idx="39">
                  <c:v>136</c:v>
                </c:pt>
                <c:pt idx="40">
                  <c:v>138</c:v>
                </c:pt>
                <c:pt idx="41">
                  <c:v>140</c:v>
                </c:pt>
                <c:pt idx="42">
                  <c:v>144</c:v>
                </c:pt>
                <c:pt idx="43">
                  <c:v>146</c:v>
                </c:pt>
                <c:pt idx="44">
                  <c:v>147</c:v>
                </c:pt>
                <c:pt idx="45">
                  <c:v>150</c:v>
                </c:pt>
                <c:pt idx="46">
                  <c:v>154</c:v>
                </c:pt>
                <c:pt idx="47">
                  <c:v>162</c:v>
                </c:pt>
                <c:pt idx="48">
                  <c:v>169</c:v>
                </c:pt>
                <c:pt idx="49">
                  <c:v>176</c:v>
                </c:pt>
                <c:pt idx="50">
                  <c:v>183</c:v>
                </c:pt>
                <c:pt idx="51">
                  <c:v>188</c:v>
                </c:pt>
                <c:pt idx="52">
                  <c:v>204</c:v>
                </c:pt>
                <c:pt idx="53">
                  <c:v>206</c:v>
                </c:pt>
                <c:pt idx="54">
                  <c:v>207</c:v>
                </c:pt>
                <c:pt idx="55">
                  <c:v>217</c:v>
                </c:pt>
                <c:pt idx="56">
                  <c:v>224</c:v>
                </c:pt>
                <c:pt idx="57">
                  <c:v>225</c:v>
                </c:pt>
                <c:pt idx="58">
                  <c:v>236</c:v>
                </c:pt>
                <c:pt idx="59">
                  <c:v>237</c:v>
                </c:pt>
                <c:pt idx="60">
                  <c:v>249</c:v>
                </c:pt>
                <c:pt idx="61">
                  <c:v>254</c:v>
                </c:pt>
                <c:pt idx="62">
                  <c:v>276</c:v>
                </c:pt>
                <c:pt idx="63">
                  <c:v>283</c:v>
                </c:pt>
                <c:pt idx="64">
                  <c:v>302</c:v>
                </c:pt>
                <c:pt idx="65">
                  <c:v>303</c:v>
                </c:pt>
                <c:pt idx="66">
                  <c:v>329</c:v>
                </c:pt>
                <c:pt idx="67">
                  <c:v>351</c:v>
                </c:pt>
                <c:pt idx="68">
                  <c:v>352</c:v>
                </c:pt>
                <c:pt idx="69">
                  <c:v>375</c:v>
                </c:pt>
              </c:numCache>
            </c:numRef>
          </c:xVal>
          <c:yVal>
            <c:numRef>
              <c:f>'Amp Funnel'!$F$2:$F$71</c:f>
              <c:numCache>
                <c:formatCode>0.00%</c:formatCode>
                <c:ptCount val="70"/>
                <c:pt idx="21">
                  <c:v>1E-4</c:v>
                </c:pt>
                <c:pt idx="22">
                  <c:v>6.9999999999999999E-4</c:v>
                </c:pt>
                <c:pt idx="23">
                  <c:v>1.1999999999999999E-3</c:v>
                </c:pt>
                <c:pt idx="24">
                  <c:v>1.4E-3</c:v>
                </c:pt>
                <c:pt idx="25">
                  <c:v>1.5E-3</c:v>
                </c:pt>
                <c:pt idx="26">
                  <c:v>1.9E-3</c:v>
                </c:pt>
                <c:pt idx="27">
                  <c:v>2.5999999999999999E-3</c:v>
                </c:pt>
                <c:pt idx="28">
                  <c:v>2.7000000000000001E-3</c:v>
                </c:pt>
                <c:pt idx="29">
                  <c:v>3.3E-3</c:v>
                </c:pt>
                <c:pt idx="30">
                  <c:v>4.4999999999999997E-3</c:v>
                </c:pt>
                <c:pt idx="31">
                  <c:v>5.4000000000000003E-3</c:v>
                </c:pt>
                <c:pt idx="32">
                  <c:v>6.1999999999999998E-3</c:v>
                </c:pt>
                <c:pt idx="33">
                  <c:v>6.7000000000000002E-3</c:v>
                </c:pt>
                <c:pt idx="34">
                  <c:v>7.1999999999999998E-3</c:v>
                </c:pt>
                <c:pt idx="35">
                  <c:v>7.4999999999999997E-3</c:v>
                </c:pt>
                <c:pt idx="36">
                  <c:v>8.5000000000000006E-3</c:v>
                </c:pt>
                <c:pt idx="37">
                  <c:v>9.4000000000000004E-3</c:v>
                </c:pt>
                <c:pt idx="38">
                  <c:v>9.4999999999999998E-3</c:v>
                </c:pt>
                <c:pt idx="39">
                  <c:v>0.01</c:v>
                </c:pt>
                <c:pt idx="40">
                  <c:v>1.0200000000000001E-2</c:v>
                </c:pt>
                <c:pt idx="41">
                  <c:v>1.0500000000000001E-2</c:v>
                </c:pt>
                <c:pt idx="42">
                  <c:v>1.0999999999999999E-2</c:v>
                </c:pt>
                <c:pt idx="43">
                  <c:v>1.1299999999999999E-2</c:v>
                </c:pt>
                <c:pt idx="44">
                  <c:v>1.15E-2</c:v>
                </c:pt>
                <c:pt idx="45">
                  <c:v>1.21E-2</c:v>
                </c:pt>
                <c:pt idx="46">
                  <c:v>1.29E-2</c:v>
                </c:pt>
                <c:pt idx="47">
                  <c:v>1.3299999999999999E-2</c:v>
                </c:pt>
                <c:pt idx="48">
                  <c:v>1.38E-2</c:v>
                </c:pt>
                <c:pt idx="49">
                  <c:v>1.44E-2</c:v>
                </c:pt>
                <c:pt idx="50">
                  <c:v>1.5299999999999999E-2</c:v>
                </c:pt>
                <c:pt idx="51">
                  <c:v>1.6E-2</c:v>
                </c:pt>
                <c:pt idx="52">
                  <c:v>1.67E-2</c:v>
                </c:pt>
                <c:pt idx="53">
                  <c:v>1.6899999999999998E-2</c:v>
                </c:pt>
                <c:pt idx="54">
                  <c:v>1.6899999999999998E-2</c:v>
                </c:pt>
                <c:pt idx="55">
                  <c:v>1.7899999999999999E-2</c:v>
                </c:pt>
                <c:pt idx="56">
                  <c:v>1.83E-2</c:v>
                </c:pt>
                <c:pt idx="57">
                  <c:v>1.84E-2</c:v>
                </c:pt>
                <c:pt idx="58">
                  <c:v>1.8800000000000001E-2</c:v>
                </c:pt>
                <c:pt idx="59">
                  <c:v>1.89E-2</c:v>
                </c:pt>
                <c:pt idx="60">
                  <c:v>1.9800000000000002E-2</c:v>
                </c:pt>
                <c:pt idx="61">
                  <c:v>0.02</c:v>
                </c:pt>
                <c:pt idx="62">
                  <c:v>2.1000000000000001E-2</c:v>
                </c:pt>
                <c:pt idx="63">
                  <c:v>2.1399999999999999E-2</c:v>
                </c:pt>
                <c:pt idx="64">
                  <c:v>2.2100000000000002E-2</c:v>
                </c:pt>
                <c:pt idx="65">
                  <c:v>2.2100000000000002E-2</c:v>
                </c:pt>
                <c:pt idx="66">
                  <c:v>2.3099999999999999E-2</c:v>
                </c:pt>
                <c:pt idx="67">
                  <c:v>2.3800000000000002E-2</c:v>
                </c:pt>
                <c:pt idx="68">
                  <c:v>2.3800000000000002E-2</c:v>
                </c:pt>
                <c:pt idx="69">
                  <c:v>2.46E-2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E3-47DA-8033-8FA8C996D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25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30 day in hospital deaths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Summary'!$Q$32</c:f>
          <c:strCache>
            <c:ptCount val="1"/>
            <c:pt idx="0">
              <c:v>% Consultant Present in Theatre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'Major Lower Limb Amputation'!$H$7</c:f>
              <c:strCache>
                <c:ptCount val="1"/>
                <c:pt idx="0">
                  <c:v>% Consultant Present in Theatre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'Major Lower Limb Amputation'!$N$8:$N$82</c:f>
              <c:numCache>
                <c:formatCode>General</c:formatCode>
                <c:ptCount val="75"/>
                <c:pt idx="0">
                  <c:v>37</c:v>
                </c:pt>
                <c:pt idx="1">
                  <c:v>64</c:v>
                </c:pt>
                <c:pt idx="2">
                  <c:v>52</c:v>
                </c:pt>
                <c:pt idx="3">
                  <c:v>36</c:v>
                </c:pt>
                <c:pt idx="4">
                  <c:v>65</c:v>
                </c:pt>
                <c:pt idx="5">
                  <c:v>23</c:v>
                </c:pt>
                <c:pt idx="6">
                  <c:v>11</c:v>
                </c:pt>
                <c:pt idx="7">
                  <c:v>66</c:v>
                </c:pt>
                <c:pt idx="8">
                  <c:v>33</c:v>
                </c:pt>
                <c:pt idx="9">
                  <c:v>8</c:v>
                </c:pt>
                <c:pt idx="10">
                  <c:v>31</c:v>
                </c:pt>
                <c:pt idx="11">
                  <c:v>58</c:v>
                </c:pt>
                <c:pt idx="12">
                  <c:v>62</c:v>
                </c:pt>
                <c:pt idx="13">
                  <c:v>24</c:v>
                </c:pt>
                <c:pt idx="14">
                  <c:v>15</c:v>
                </c:pt>
                <c:pt idx="15">
                  <c:v>67</c:v>
                </c:pt>
                <c:pt idx="16">
                  <c:v>53</c:v>
                </c:pt>
                <c:pt idx="17">
                  <c:v>34</c:v>
                </c:pt>
                <c:pt idx="18">
                  <c:v>35</c:v>
                </c:pt>
                <c:pt idx="19">
                  <c:v>20</c:v>
                </c:pt>
                <c:pt idx="20">
                  <c:v>1</c:v>
                </c:pt>
                <c:pt idx="21">
                  <c:v>63</c:v>
                </c:pt>
                <c:pt idx="22">
                  <c:v>32</c:v>
                </c:pt>
                <c:pt idx="23">
                  <c:v>5</c:v>
                </c:pt>
                <c:pt idx="24">
                  <c:v>14</c:v>
                </c:pt>
                <c:pt idx="25">
                  <c:v>18</c:v>
                </c:pt>
                <c:pt idx="26">
                  <c:v>47</c:v>
                </c:pt>
                <c:pt idx="27">
                  <c:v>48</c:v>
                </c:pt>
                <c:pt idx="28">
                  <c:v>41</c:v>
                </c:pt>
                <c:pt idx="29">
                  <c:v>16</c:v>
                </c:pt>
                <c:pt idx="30">
                  <c:v>43</c:v>
                </c:pt>
                <c:pt idx="31">
                  <c:v>7</c:v>
                </c:pt>
                <c:pt idx="32">
                  <c:v>54</c:v>
                </c:pt>
                <c:pt idx="33">
                  <c:v>19</c:v>
                </c:pt>
                <c:pt idx="34">
                  <c:v>3</c:v>
                </c:pt>
                <c:pt idx="35">
                  <c:v>68</c:v>
                </c:pt>
                <c:pt idx="36">
                  <c:v>49</c:v>
                </c:pt>
                <c:pt idx="37">
                  <c:v>69</c:v>
                </c:pt>
                <c:pt idx="38">
                  <c:v>44</c:v>
                </c:pt>
                <c:pt idx="39">
                  <c:v>6</c:v>
                </c:pt>
                <c:pt idx="40">
                  <c:v>70</c:v>
                </c:pt>
                <c:pt idx="41">
                  <c:v>2</c:v>
                </c:pt>
                <c:pt idx="42">
                  <c:v>45</c:v>
                </c:pt>
                <c:pt idx="43">
                  <c:v>55</c:v>
                </c:pt>
                <c:pt idx="44">
                  <c:v>17</c:v>
                </c:pt>
                <c:pt idx="45">
                  <c:v>71</c:v>
                </c:pt>
                <c:pt idx="46">
                  <c:v>4</c:v>
                </c:pt>
                <c:pt idx="47">
                  <c:v>21</c:v>
                </c:pt>
                <c:pt idx="48">
                  <c:v>28</c:v>
                </c:pt>
                <c:pt idx="49">
                  <c:v>30</c:v>
                </c:pt>
                <c:pt idx="50">
                  <c:v>56</c:v>
                </c:pt>
                <c:pt idx="51">
                  <c:v>72</c:v>
                </c:pt>
                <c:pt idx="52">
                  <c:v>50</c:v>
                </c:pt>
                <c:pt idx="53">
                  <c:v>38</c:v>
                </c:pt>
                <c:pt idx="54">
                  <c:v>25</c:v>
                </c:pt>
                <c:pt idx="55">
                  <c:v>51</c:v>
                </c:pt>
                <c:pt idx="56">
                  <c:v>57</c:v>
                </c:pt>
                <c:pt idx="57">
                  <c:v>26</c:v>
                </c:pt>
                <c:pt idx="58">
                  <c:v>59</c:v>
                </c:pt>
                <c:pt idx="59">
                  <c:v>60</c:v>
                </c:pt>
                <c:pt idx="60">
                  <c:v>10</c:v>
                </c:pt>
                <c:pt idx="61">
                  <c:v>39</c:v>
                </c:pt>
                <c:pt idx="62">
                  <c:v>27</c:v>
                </c:pt>
                <c:pt idx="63">
                  <c:v>73</c:v>
                </c:pt>
                <c:pt idx="64">
                  <c:v>13</c:v>
                </c:pt>
                <c:pt idx="65">
                  <c:v>61</c:v>
                </c:pt>
                <c:pt idx="66">
                  <c:v>40</c:v>
                </c:pt>
                <c:pt idx="67">
                  <c:v>22</c:v>
                </c:pt>
                <c:pt idx="68">
                  <c:v>12</c:v>
                </c:pt>
                <c:pt idx="69">
                  <c:v>46</c:v>
                </c:pt>
                <c:pt idx="70">
                  <c:v>9</c:v>
                </c:pt>
                <c:pt idx="71">
                  <c:v>74</c:v>
                </c:pt>
                <c:pt idx="72">
                  <c:v>75</c:v>
                </c:pt>
                <c:pt idx="73">
                  <c:v>29</c:v>
                </c:pt>
                <c:pt idx="74">
                  <c:v>42</c:v>
                </c:pt>
              </c:numCache>
            </c:numRef>
          </c:cat>
          <c:val>
            <c:numRef>
              <c:f>'Major Lower Limb Amputation'!$O$8:$O$82</c:f>
              <c:numCache>
                <c:formatCode>0.0%</c:formatCode>
                <c:ptCount val="75"/>
                <c:pt idx="0">
                  <c:v>0.92</c:v>
                </c:pt>
                <c:pt idx="1">
                  <c:v>1</c:v>
                </c:pt>
                <c:pt idx="2">
                  <c:v>0.97</c:v>
                </c:pt>
                <c:pt idx="3">
                  <c:v>0.91</c:v>
                </c:pt>
                <c:pt idx="4">
                  <c:v>1</c:v>
                </c:pt>
                <c:pt idx="5">
                  <c:v>0.82</c:v>
                </c:pt>
                <c:pt idx="6">
                  <c:v>0.66</c:v>
                </c:pt>
                <c:pt idx="7">
                  <c:v>1</c:v>
                </c:pt>
                <c:pt idx="8">
                  <c:v>0.9</c:v>
                </c:pt>
                <c:pt idx="9">
                  <c:v>0.5</c:v>
                </c:pt>
                <c:pt idx="10">
                  <c:v>0.89</c:v>
                </c:pt>
                <c:pt idx="11">
                  <c:v>0.98</c:v>
                </c:pt>
                <c:pt idx="12">
                  <c:v>0.99</c:v>
                </c:pt>
                <c:pt idx="13">
                  <c:v>0.82</c:v>
                </c:pt>
                <c:pt idx="14">
                  <c:v>0.78</c:v>
                </c:pt>
                <c:pt idx="15">
                  <c:v>1</c:v>
                </c:pt>
                <c:pt idx="16">
                  <c:v>0.97</c:v>
                </c:pt>
                <c:pt idx="17">
                  <c:v>0.9</c:v>
                </c:pt>
                <c:pt idx="18">
                  <c:v>0.9</c:v>
                </c:pt>
                <c:pt idx="19">
                  <c:v>0.8</c:v>
                </c:pt>
                <c:pt idx="20">
                  <c:v>0.33</c:v>
                </c:pt>
                <c:pt idx="21">
                  <c:v>0.99</c:v>
                </c:pt>
                <c:pt idx="22">
                  <c:v>0.89</c:v>
                </c:pt>
                <c:pt idx="23">
                  <c:v>0.46</c:v>
                </c:pt>
                <c:pt idx="24">
                  <c:v>0.74</c:v>
                </c:pt>
                <c:pt idx="25">
                  <c:v>0.79</c:v>
                </c:pt>
                <c:pt idx="26">
                  <c:v>0.96</c:v>
                </c:pt>
                <c:pt idx="27">
                  <c:v>0.96</c:v>
                </c:pt>
                <c:pt idx="28">
                  <c:v>0.93</c:v>
                </c:pt>
                <c:pt idx="29">
                  <c:v>0.78</c:v>
                </c:pt>
                <c:pt idx="30">
                  <c:v>0.95</c:v>
                </c:pt>
                <c:pt idx="31">
                  <c:v>0.49</c:v>
                </c:pt>
                <c:pt idx="32">
                  <c:v>0.97</c:v>
                </c:pt>
                <c:pt idx="33">
                  <c:v>0.79</c:v>
                </c:pt>
                <c:pt idx="34">
                  <c:v>0.37</c:v>
                </c:pt>
                <c:pt idx="35">
                  <c:v>1</c:v>
                </c:pt>
                <c:pt idx="36">
                  <c:v>0.96</c:v>
                </c:pt>
                <c:pt idx="37">
                  <c:v>1</c:v>
                </c:pt>
                <c:pt idx="38">
                  <c:v>0.95</c:v>
                </c:pt>
                <c:pt idx="39">
                  <c:v>0.48</c:v>
                </c:pt>
                <c:pt idx="40">
                  <c:v>1</c:v>
                </c:pt>
                <c:pt idx="41">
                  <c:v>0.34</c:v>
                </c:pt>
                <c:pt idx="42">
                  <c:v>0.95</c:v>
                </c:pt>
                <c:pt idx="43">
                  <c:v>0.97</c:v>
                </c:pt>
                <c:pt idx="44">
                  <c:v>0.78</c:v>
                </c:pt>
                <c:pt idx="45">
                  <c:v>1</c:v>
                </c:pt>
                <c:pt idx="46">
                  <c:v>0.45</c:v>
                </c:pt>
                <c:pt idx="47">
                  <c:v>0.8</c:v>
                </c:pt>
                <c:pt idx="48">
                  <c:v>0.85</c:v>
                </c:pt>
                <c:pt idx="49">
                  <c:v>0.88</c:v>
                </c:pt>
                <c:pt idx="50">
                  <c:v>0.97</c:v>
                </c:pt>
                <c:pt idx="51">
                  <c:v>1</c:v>
                </c:pt>
                <c:pt idx="52">
                  <c:v>0.96</c:v>
                </c:pt>
                <c:pt idx="53">
                  <c:v>0.92</c:v>
                </c:pt>
                <c:pt idx="54">
                  <c:v>0.83</c:v>
                </c:pt>
                <c:pt idx="55">
                  <c:v>0.96</c:v>
                </c:pt>
                <c:pt idx="56">
                  <c:v>0.97</c:v>
                </c:pt>
                <c:pt idx="57">
                  <c:v>0.83</c:v>
                </c:pt>
                <c:pt idx="58">
                  <c:v>0.98</c:v>
                </c:pt>
                <c:pt idx="59">
                  <c:v>0.98</c:v>
                </c:pt>
                <c:pt idx="60">
                  <c:v>0.65</c:v>
                </c:pt>
                <c:pt idx="61">
                  <c:v>0.92</c:v>
                </c:pt>
                <c:pt idx="62">
                  <c:v>0.83</c:v>
                </c:pt>
                <c:pt idx="63">
                  <c:v>1</c:v>
                </c:pt>
                <c:pt idx="64">
                  <c:v>0.69</c:v>
                </c:pt>
                <c:pt idx="65">
                  <c:v>0.98</c:v>
                </c:pt>
                <c:pt idx="66">
                  <c:v>0.92</c:v>
                </c:pt>
                <c:pt idx="67">
                  <c:v>0.8</c:v>
                </c:pt>
                <c:pt idx="68">
                  <c:v>0.67</c:v>
                </c:pt>
                <c:pt idx="69">
                  <c:v>0.95</c:v>
                </c:pt>
                <c:pt idx="70">
                  <c:v>0.61</c:v>
                </c:pt>
                <c:pt idx="71">
                  <c:v>1</c:v>
                </c:pt>
                <c:pt idx="72">
                  <c:v>1</c:v>
                </c:pt>
                <c:pt idx="73">
                  <c:v>0.87</c:v>
                </c:pt>
                <c:pt idx="74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'Amputation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'Amputation Summary'!$AD$4</c:f>
              <c:numCache>
                <c:formatCode>General</c:formatCode>
                <c:ptCount val="1"/>
                <c:pt idx="0">
                  <c:v>37</c:v>
                </c:pt>
              </c:numCache>
            </c:numRef>
          </c:xVal>
          <c:yVal>
            <c:numRef>
              <c:f>'Amputation Summary'!$AB$4</c:f>
              <c:numCache>
                <c:formatCode>General</c:formatCode>
                <c:ptCount val="1"/>
                <c:pt idx="0">
                  <c:v>0.92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81-4FEE-A1EA-14B09CB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delay from symptom to CEA (days)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Symptom to CEA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Summary'!$AJ$2:$AJ$74</c:f>
                <c:numCache>
                  <c:formatCode>General</c:formatCode>
                  <c:ptCount val="73"/>
                  <c:pt idx="0">
                    <c:v>3</c:v>
                  </c:pt>
                  <c:pt idx="1">
                    <c:v>2</c:v>
                  </c:pt>
                  <c:pt idx="2">
                    <c:v>4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  <c:pt idx="7">
                    <c:v>3</c:v>
                  </c:pt>
                  <c:pt idx="8">
                    <c:v>4</c:v>
                  </c:pt>
                  <c:pt idx="9">
                    <c:v>4</c:v>
                  </c:pt>
                  <c:pt idx="10">
                    <c:v>4</c:v>
                  </c:pt>
                  <c:pt idx="11">
                    <c:v>3</c:v>
                  </c:pt>
                  <c:pt idx="12">
                    <c:v>3</c:v>
                  </c:pt>
                  <c:pt idx="13">
                    <c:v>2</c:v>
                  </c:pt>
                  <c:pt idx="14">
                    <c:v>18</c:v>
                  </c:pt>
                  <c:pt idx="15">
                    <c:v>2</c:v>
                  </c:pt>
                  <c:pt idx="16">
                    <c:v>24</c:v>
                  </c:pt>
                  <c:pt idx="17">
                    <c:v>4</c:v>
                  </c:pt>
                  <c:pt idx="18">
                    <c:v>13</c:v>
                  </c:pt>
                  <c:pt idx="19">
                    <c:v>5</c:v>
                  </c:pt>
                  <c:pt idx="20">
                    <c:v>10</c:v>
                  </c:pt>
                  <c:pt idx="21">
                    <c:v>2</c:v>
                  </c:pt>
                  <c:pt idx="22">
                    <c:v>5</c:v>
                  </c:pt>
                  <c:pt idx="23">
                    <c:v>6</c:v>
                  </c:pt>
                  <c:pt idx="24">
                    <c:v>10</c:v>
                  </c:pt>
                  <c:pt idx="25">
                    <c:v>1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44</c:v>
                  </c:pt>
                  <c:pt idx="30">
                    <c:v>7</c:v>
                  </c:pt>
                  <c:pt idx="31">
                    <c:v>9</c:v>
                  </c:pt>
                  <c:pt idx="32">
                    <c:v>17</c:v>
                  </c:pt>
                  <c:pt idx="33">
                    <c:v>3</c:v>
                  </c:pt>
                  <c:pt idx="34">
                    <c:v>9</c:v>
                  </c:pt>
                  <c:pt idx="35">
                    <c:v>20</c:v>
                  </c:pt>
                  <c:pt idx="36">
                    <c:v>5</c:v>
                  </c:pt>
                  <c:pt idx="37">
                    <c:v>11</c:v>
                  </c:pt>
                  <c:pt idx="38">
                    <c:v>5</c:v>
                  </c:pt>
                  <c:pt idx="39">
                    <c:v>17</c:v>
                  </c:pt>
                  <c:pt idx="40">
                    <c:v>8</c:v>
                  </c:pt>
                  <c:pt idx="41">
                    <c:v>9</c:v>
                  </c:pt>
                  <c:pt idx="42">
                    <c:v>25</c:v>
                  </c:pt>
                  <c:pt idx="43">
                    <c:v>4</c:v>
                  </c:pt>
                  <c:pt idx="44">
                    <c:v>7</c:v>
                  </c:pt>
                  <c:pt idx="45">
                    <c:v>8</c:v>
                  </c:pt>
                  <c:pt idx="46">
                    <c:v>3</c:v>
                  </c:pt>
                  <c:pt idx="47">
                    <c:v>4</c:v>
                  </c:pt>
                  <c:pt idx="48">
                    <c:v>23</c:v>
                  </c:pt>
                  <c:pt idx="49">
                    <c:v>12</c:v>
                  </c:pt>
                  <c:pt idx="50">
                    <c:v>20</c:v>
                  </c:pt>
                  <c:pt idx="51">
                    <c:v>5</c:v>
                  </c:pt>
                  <c:pt idx="52">
                    <c:v>5</c:v>
                  </c:pt>
                  <c:pt idx="53">
                    <c:v>12</c:v>
                  </c:pt>
                  <c:pt idx="54">
                    <c:v>14</c:v>
                  </c:pt>
                  <c:pt idx="55">
                    <c:v>22</c:v>
                  </c:pt>
                  <c:pt idx="56">
                    <c:v>9</c:v>
                  </c:pt>
                  <c:pt idx="57">
                    <c:v>23</c:v>
                  </c:pt>
                  <c:pt idx="58">
                    <c:v>14</c:v>
                  </c:pt>
                  <c:pt idx="59">
                    <c:v>15</c:v>
                  </c:pt>
                  <c:pt idx="60">
                    <c:v>9</c:v>
                  </c:pt>
                  <c:pt idx="61">
                    <c:v>25</c:v>
                  </c:pt>
                  <c:pt idx="62">
                    <c:v>16</c:v>
                  </c:pt>
                  <c:pt idx="63">
                    <c:v>8</c:v>
                  </c:pt>
                  <c:pt idx="64">
                    <c:v>18</c:v>
                  </c:pt>
                  <c:pt idx="65">
                    <c:v>15</c:v>
                  </c:pt>
                  <c:pt idx="66">
                    <c:v>10</c:v>
                  </c:pt>
                  <c:pt idx="67">
                    <c:v>5</c:v>
                  </c:pt>
                  <c:pt idx="68">
                    <c:v>22</c:v>
                  </c:pt>
                  <c:pt idx="69">
                    <c:v>5</c:v>
                  </c:pt>
                  <c:pt idx="70">
                    <c:v>14</c:v>
                  </c:pt>
                  <c:pt idx="71">
                    <c:v>23</c:v>
                  </c:pt>
                  <c:pt idx="72">
                    <c:v>17</c:v>
                  </c:pt>
                </c:numCache>
              </c:numRef>
            </c:plus>
            <c:minus>
              <c:numRef>
                <c:f>'CEA Summary'!$AI$2:$AI$74</c:f>
                <c:numCache>
                  <c:formatCode>General</c:formatCode>
                  <c:ptCount val="73"/>
                  <c:pt idx="0">
                    <c:v>2</c:v>
                  </c:pt>
                  <c:pt idx="1">
                    <c:v>3</c:v>
                  </c:pt>
                  <c:pt idx="2">
                    <c:v>2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  <c:pt idx="7">
                    <c:v>2</c:v>
                  </c:pt>
                  <c:pt idx="8">
                    <c:v>1</c:v>
                  </c:pt>
                  <c:pt idx="9">
                    <c:v>4</c:v>
                  </c:pt>
                  <c:pt idx="10">
                    <c:v>4</c:v>
                  </c:pt>
                  <c:pt idx="11">
                    <c:v>3</c:v>
                  </c:pt>
                  <c:pt idx="12">
                    <c:v>3</c:v>
                  </c:pt>
                  <c:pt idx="13">
                    <c:v>2</c:v>
                  </c:pt>
                  <c:pt idx="14">
                    <c:v>2</c:v>
                  </c:pt>
                  <c:pt idx="15">
                    <c:v>4</c:v>
                  </c:pt>
                  <c:pt idx="16">
                    <c:v>4</c:v>
                  </c:pt>
                  <c:pt idx="17">
                    <c:v>3</c:v>
                  </c:pt>
                  <c:pt idx="18">
                    <c:v>3</c:v>
                  </c:pt>
                  <c:pt idx="19">
                    <c:v>5</c:v>
                  </c:pt>
                  <c:pt idx="20">
                    <c:v>5</c:v>
                  </c:pt>
                  <c:pt idx="21">
                    <c:v>4</c:v>
                  </c:pt>
                  <c:pt idx="22">
                    <c:v>4</c:v>
                  </c:pt>
                  <c:pt idx="23">
                    <c:v>4</c:v>
                  </c:pt>
                  <c:pt idx="24">
                    <c:v>4</c:v>
                  </c:pt>
                  <c:pt idx="25">
                    <c:v>3</c:v>
                  </c:pt>
                  <c:pt idx="26">
                    <c:v>3</c:v>
                  </c:pt>
                  <c:pt idx="27">
                    <c:v>3</c:v>
                  </c:pt>
                  <c:pt idx="28">
                    <c:v>3</c:v>
                  </c:pt>
                  <c:pt idx="29">
                    <c:v>7</c:v>
                  </c:pt>
                  <c:pt idx="30">
                    <c:v>5</c:v>
                  </c:pt>
                  <c:pt idx="31">
                    <c:v>5</c:v>
                  </c:pt>
                  <c:pt idx="32">
                    <c:v>5</c:v>
                  </c:pt>
                  <c:pt idx="33">
                    <c:v>4</c:v>
                  </c:pt>
                  <c:pt idx="34">
                    <c:v>4</c:v>
                  </c:pt>
                  <c:pt idx="35">
                    <c:v>4</c:v>
                  </c:pt>
                  <c:pt idx="36">
                    <c:v>3</c:v>
                  </c:pt>
                  <c:pt idx="37">
                    <c:v>9</c:v>
                  </c:pt>
                  <c:pt idx="38">
                    <c:v>2</c:v>
                  </c:pt>
                  <c:pt idx="39">
                    <c:v>6</c:v>
                  </c:pt>
                  <c:pt idx="40">
                    <c:v>5</c:v>
                  </c:pt>
                  <c:pt idx="41">
                    <c:v>5</c:v>
                  </c:pt>
                  <c:pt idx="42">
                    <c:v>5</c:v>
                  </c:pt>
                  <c:pt idx="43">
                    <c:v>3</c:v>
                  </c:pt>
                  <c:pt idx="44">
                    <c:v>3</c:v>
                  </c:pt>
                  <c:pt idx="45">
                    <c:v>3</c:v>
                  </c:pt>
                  <c:pt idx="46">
                    <c:v>2</c:v>
                  </c:pt>
                  <c:pt idx="47">
                    <c:v>2</c:v>
                  </c:pt>
                  <c:pt idx="48">
                    <c:v>2</c:v>
                  </c:pt>
                  <c:pt idx="49">
                    <c:v>6</c:v>
                  </c:pt>
                  <c:pt idx="50">
                    <c:v>6</c:v>
                  </c:pt>
                  <c:pt idx="51">
                    <c:v>4</c:v>
                  </c:pt>
                  <c:pt idx="52">
                    <c:v>4</c:v>
                  </c:pt>
                  <c:pt idx="53">
                    <c:v>4</c:v>
                  </c:pt>
                  <c:pt idx="54">
                    <c:v>4</c:v>
                  </c:pt>
                  <c:pt idx="55">
                    <c:v>4</c:v>
                  </c:pt>
                  <c:pt idx="56">
                    <c:v>3</c:v>
                  </c:pt>
                  <c:pt idx="57">
                    <c:v>9</c:v>
                  </c:pt>
                  <c:pt idx="58">
                    <c:v>6</c:v>
                  </c:pt>
                  <c:pt idx="59">
                    <c:v>5</c:v>
                  </c:pt>
                  <c:pt idx="60">
                    <c:v>7</c:v>
                  </c:pt>
                  <c:pt idx="61">
                    <c:v>7</c:v>
                  </c:pt>
                  <c:pt idx="62">
                    <c:v>5</c:v>
                  </c:pt>
                  <c:pt idx="63">
                    <c:v>5</c:v>
                  </c:pt>
                  <c:pt idx="64">
                    <c:v>5</c:v>
                  </c:pt>
                  <c:pt idx="65">
                    <c:v>9</c:v>
                  </c:pt>
                  <c:pt idx="66">
                    <c:v>7</c:v>
                  </c:pt>
                  <c:pt idx="67">
                    <c:v>5</c:v>
                  </c:pt>
                  <c:pt idx="68">
                    <c:v>11</c:v>
                  </c:pt>
                  <c:pt idx="69">
                    <c:v>11</c:v>
                  </c:pt>
                  <c:pt idx="70">
                    <c:v>10</c:v>
                  </c:pt>
                  <c:pt idx="71">
                    <c:v>9</c:v>
                  </c:pt>
                  <c:pt idx="72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'CEA Summary'!$AE$2:$AE$74</c:f>
              <c:strCache>
                <c:ptCount val="73"/>
                <c:pt idx="0">
                  <c:v>RCB</c:v>
                </c:pt>
                <c:pt idx="1">
                  <c:v>R1K</c:v>
                </c:pt>
                <c:pt idx="2">
                  <c:v>RWH</c:v>
                </c:pt>
                <c:pt idx="3">
                  <c:v>RWE</c:v>
                </c:pt>
                <c:pt idx="4">
                  <c:v>RTG</c:v>
                </c:pt>
                <c:pt idx="5">
                  <c:v>RDZ</c:v>
                </c:pt>
                <c:pt idx="6">
                  <c:v>RDU</c:v>
                </c:pt>
                <c:pt idx="7">
                  <c:v>RX1</c:v>
                </c:pt>
                <c:pt idx="8">
                  <c:v>7A5</c:v>
                </c:pt>
                <c:pt idx="9">
                  <c:v>SN999</c:v>
                </c:pt>
                <c:pt idx="10">
                  <c:v>RM1</c:v>
                </c:pt>
                <c:pt idx="11">
                  <c:v>RAJ</c:v>
                </c:pt>
                <c:pt idx="12">
                  <c:v>RJ7</c:v>
                </c:pt>
                <c:pt idx="13">
                  <c:v>RXH</c:v>
                </c:pt>
                <c:pt idx="14">
                  <c:v>REF</c:v>
                </c:pt>
                <c:pt idx="15">
                  <c:v>RR8</c:v>
                </c:pt>
                <c:pt idx="16">
                  <c:v>RW6</c:v>
                </c:pt>
                <c:pt idx="17">
                  <c:v>RVJ</c:v>
                </c:pt>
                <c:pt idx="18">
                  <c:v>RJ1</c:v>
                </c:pt>
                <c:pt idx="19">
                  <c:v>RNA</c:v>
                </c:pt>
                <c:pt idx="20">
                  <c:v>R0A</c:v>
                </c:pt>
                <c:pt idx="21">
                  <c:v>R1H</c:v>
                </c:pt>
                <c:pt idx="22">
                  <c:v>RWP</c:v>
                </c:pt>
                <c:pt idx="23">
                  <c:v>RNL</c:v>
                </c:pt>
                <c:pt idx="24">
                  <c:v>RH8</c:v>
                </c:pt>
                <c:pt idx="25">
                  <c:v>RDD</c:v>
                </c:pt>
                <c:pt idx="26">
                  <c:v>RTH</c:v>
                </c:pt>
                <c:pt idx="27">
                  <c:v>RWG</c:v>
                </c:pt>
                <c:pt idx="28">
                  <c:v>SA999</c:v>
                </c:pt>
                <c:pt idx="29">
                  <c:v>RTK</c:v>
                </c:pt>
                <c:pt idx="30">
                  <c:v>RVV</c:v>
                </c:pt>
                <c:pt idx="31">
                  <c:v>SG999</c:v>
                </c:pt>
                <c:pt idx="32">
                  <c:v>RNS</c:v>
                </c:pt>
                <c:pt idx="33">
                  <c:v>SS999</c:v>
                </c:pt>
                <c:pt idx="34">
                  <c:v>RWD</c:v>
                </c:pt>
                <c:pt idx="35">
                  <c:v>RJE</c:v>
                </c:pt>
                <c:pt idx="36">
                  <c:v>RRV</c:v>
                </c:pt>
                <c:pt idx="37">
                  <c:v>7A6</c:v>
                </c:pt>
                <c:pt idx="38">
                  <c:v>RWY</c:v>
                </c:pt>
                <c:pt idx="39">
                  <c:v>RJZ</c:v>
                </c:pt>
                <c:pt idx="40">
                  <c:v>RXR</c:v>
                </c:pt>
                <c:pt idx="41">
                  <c:v>RTE</c:v>
                </c:pt>
                <c:pt idx="42">
                  <c:v>RP5</c:v>
                </c:pt>
                <c:pt idx="43">
                  <c:v>SL999</c:v>
                </c:pt>
                <c:pt idx="44">
                  <c:v>RHM</c:v>
                </c:pt>
                <c:pt idx="45">
                  <c:v>RBA</c:v>
                </c:pt>
                <c:pt idx="46">
                  <c:v>RLN</c:v>
                </c:pt>
                <c:pt idx="47">
                  <c:v>RXW</c:v>
                </c:pt>
                <c:pt idx="48">
                  <c:v>RC1</c:v>
                </c:pt>
                <c:pt idx="49">
                  <c:v>7A3</c:v>
                </c:pt>
                <c:pt idx="50">
                  <c:v>RAE</c:v>
                </c:pt>
                <c:pt idx="51">
                  <c:v>RAL</c:v>
                </c:pt>
                <c:pt idx="52">
                  <c:v>RA9</c:v>
                </c:pt>
                <c:pt idx="53">
                  <c:v>RGT</c:v>
                </c:pt>
                <c:pt idx="54">
                  <c:v>7A1</c:v>
                </c:pt>
                <c:pt idx="55">
                  <c:v>RKB</c:v>
                </c:pt>
                <c:pt idx="56">
                  <c:v>RTR</c:v>
                </c:pt>
                <c:pt idx="57">
                  <c:v>RYJ</c:v>
                </c:pt>
                <c:pt idx="58">
                  <c:v>ZT001</c:v>
                </c:pt>
                <c:pt idx="59">
                  <c:v>RRK</c:v>
                </c:pt>
                <c:pt idx="60">
                  <c:v>RTD</c:v>
                </c:pt>
                <c:pt idx="61">
                  <c:v>RK9</c:v>
                </c:pt>
                <c:pt idx="62">
                  <c:v>RJR</c:v>
                </c:pt>
                <c:pt idx="63">
                  <c:v>ST999</c:v>
                </c:pt>
                <c:pt idx="64">
                  <c:v>RQ8</c:v>
                </c:pt>
                <c:pt idx="65">
                  <c:v>RDE</c:v>
                </c:pt>
                <c:pt idx="66">
                  <c:v>REM</c:v>
                </c:pt>
                <c:pt idx="67">
                  <c:v>RF4</c:v>
                </c:pt>
                <c:pt idx="68">
                  <c:v>RWA</c:v>
                </c:pt>
                <c:pt idx="69">
                  <c:v>RPA</c:v>
                </c:pt>
                <c:pt idx="70">
                  <c:v>RXN</c:v>
                </c:pt>
                <c:pt idx="71">
                  <c:v>SH999</c:v>
                </c:pt>
                <c:pt idx="72">
                  <c:v>RHQ</c:v>
                </c:pt>
              </c:strCache>
            </c:strRef>
          </c:cat>
          <c:val>
            <c:numRef>
              <c:f>'CEA Summary'!$AH$2:$AH$74</c:f>
              <c:numCache>
                <c:formatCode>General</c:formatCode>
                <c:ptCount val="7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17</c:v>
                </c:pt>
                <c:pt idx="64">
                  <c:v>17</c:v>
                </c:pt>
                <c:pt idx="65">
                  <c:v>18</c:v>
                </c:pt>
                <c:pt idx="66">
                  <c:v>19</c:v>
                </c:pt>
                <c:pt idx="67">
                  <c:v>19</c:v>
                </c:pt>
                <c:pt idx="68">
                  <c:v>21</c:v>
                </c:pt>
                <c:pt idx="69">
                  <c:v>22</c:v>
                </c:pt>
                <c:pt idx="70">
                  <c:v>23</c:v>
                </c:pt>
                <c:pt idx="71">
                  <c:v>24</c:v>
                </c:pt>
                <c:pt idx="72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'CEA Summary'!$AC$2</c:f>
                <c:numCache>
                  <c:formatCode>General</c:formatCode>
                  <c:ptCount val="1"/>
                  <c:pt idx="0">
                    <c:v>11</c:v>
                  </c:pt>
                </c:numCache>
              </c:numRef>
            </c:plus>
            <c:minus>
              <c:numRef>
                <c:f>'CEA Summary'!$AB$2</c:f>
                <c:numCache>
                  <c:formatCode>General</c:formatCode>
                  <c:ptCount val="1"/>
                  <c:pt idx="0">
                    <c:v>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'CEA Summary'!$AD$2</c:f>
              <c:numCache>
                <c:formatCode>General</c:formatCode>
                <c:ptCount val="1"/>
                <c:pt idx="0">
                  <c:v>38</c:v>
                </c:pt>
              </c:numCache>
            </c:numRef>
          </c:xVal>
          <c:yVal>
            <c:numRef>
              <c:f>'CEA Summary'!$AA$2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6B-4779-A8DB-8B96D50AAEE2}"/>
            </c:ext>
          </c:extLst>
        </c:ser>
        <c:ser>
          <c:idx val="2"/>
          <c:order val="2"/>
          <c:tx>
            <c:v>NICE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Summary'!$AG$2:$AG$74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</c:numCache>
            </c:numRef>
          </c:xVal>
          <c:yVal>
            <c:numRef>
              <c:f>'CEA Summary'!$AK$2:$AK$74</c:f>
              <c:numCache>
                <c:formatCode>General</c:formatCode>
                <c:ptCount val="7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6B-4779-A8DB-8B96D50A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'CEA Funnel'!$C$1</c:f>
              <c:strCache>
                <c:ptCount val="1"/>
                <c:pt idx="0">
                  <c:v>Stroke/Death 30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'CEA Funnel'!$B$2:$B$76</c:f>
              <c:numCache>
                <c:formatCode>General</c:formatCode>
                <c:ptCount val="75"/>
                <c:pt idx="0">
                  <c:v>79</c:v>
                </c:pt>
                <c:pt idx="1">
                  <c:v>271</c:v>
                </c:pt>
                <c:pt idx="2">
                  <c:v>22</c:v>
                </c:pt>
                <c:pt idx="3">
                  <c:v>64</c:v>
                </c:pt>
                <c:pt idx="4">
                  <c:v>139</c:v>
                </c:pt>
                <c:pt idx="5">
                  <c:v>427</c:v>
                </c:pt>
                <c:pt idx="6">
                  <c:v>89</c:v>
                </c:pt>
                <c:pt idx="7">
                  <c:v>126</c:v>
                </c:pt>
                <c:pt idx="8">
                  <c:v>32</c:v>
                </c:pt>
                <c:pt idx="9">
                  <c:v>121</c:v>
                </c:pt>
                <c:pt idx="10">
                  <c:v>90</c:v>
                </c:pt>
                <c:pt idx="11">
                  <c:v>67</c:v>
                </c:pt>
                <c:pt idx="12">
                  <c:v>230</c:v>
                </c:pt>
                <c:pt idx="13">
                  <c:v>125</c:v>
                </c:pt>
                <c:pt idx="14">
                  <c:v>332</c:v>
                </c:pt>
                <c:pt idx="15">
                  <c:v>62</c:v>
                </c:pt>
                <c:pt idx="16">
                  <c:v>203</c:v>
                </c:pt>
                <c:pt idx="17">
                  <c:v>131</c:v>
                </c:pt>
                <c:pt idx="18">
                  <c:v>147</c:v>
                </c:pt>
                <c:pt idx="19">
                  <c:v>134</c:v>
                </c:pt>
                <c:pt idx="20">
                  <c:v>322</c:v>
                </c:pt>
                <c:pt idx="21">
                  <c:v>122</c:v>
                </c:pt>
                <c:pt idx="22">
                  <c:v>263</c:v>
                </c:pt>
                <c:pt idx="23">
                  <c:v>105</c:v>
                </c:pt>
                <c:pt idx="24">
                  <c:v>244</c:v>
                </c:pt>
                <c:pt idx="25">
                  <c:v>85</c:v>
                </c:pt>
                <c:pt idx="26">
                  <c:v>180</c:v>
                </c:pt>
                <c:pt idx="27">
                  <c:v>156</c:v>
                </c:pt>
                <c:pt idx="28">
                  <c:v>181</c:v>
                </c:pt>
                <c:pt idx="29">
                  <c:v>272</c:v>
                </c:pt>
                <c:pt idx="30">
                  <c:v>256</c:v>
                </c:pt>
                <c:pt idx="31">
                  <c:v>183</c:v>
                </c:pt>
                <c:pt idx="32">
                  <c:v>156</c:v>
                </c:pt>
                <c:pt idx="33">
                  <c:v>111</c:v>
                </c:pt>
                <c:pt idx="34">
                  <c:v>222</c:v>
                </c:pt>
                <c:pt idx="35">
                  <c:v>165</c:v>
                </c:pt>
                <c:pt idx="36">
                  <c:v>103</c:v>
                </c:pt>
                <c:pt idx="37">
                  <c:v>140</c:v>
                </c:pt>
                <c:pt idx="38">
                  <c:v>131</c:v>
                </c:pt>
                <c:pt idx="39">
                  <c:v>58</c:v>
                </c:pt>
                <c:pt idx="40">
                  <c:v>143</c:v>
                </c:pt>
                <c:pt idx="41">
                  <c:v>128</c:v>
                </c:pt>
                <c:pt idx="42">
                  <c:v>235</c:v>
                </c:pt>
                <c:pt idx="43">
                  <c:v>140</c:v>
                </c:pt>
                <c:pt idx="44">
                  <c:v>12</c:v>
                </c:pt>
                <c:pt idx="45">
                  <c:v>242</c:v>
                </c:pt>
                <c:pt idx="46">
                  <c:v>186</c:v>
                </c:pt>
                <c:pt idx="47">
                  <c:v>114</c:v>
                </c:pt>
                <c:pt idx="48">
                  <c:v>409</c:v>
                </c:pt>
                <c:pt idx="49">
                  <c:v>95</c:v>
                </c:pt>
                <c:pt idx="50">
                  <c:v>144</c:v>
                </c:pt>
                <c:pt idx="51">
                  <c:v>283</c:v>
                </c:pt>
                <c:pt idx="52">
                  <c:v>172</c:v>
                </c:pt>
                <c:pt idx="53">
                  <c:v>290</c:v>
                </c:pt>
                <c:pt idx="54">
                  <c:v>250</c:v>
                </c:pt>
                <c:pt idx="55">
                  <c:v>132</c:v>
                </c:pt>
                <c:pt idx="56">
                  <c:v>209</c:v>
                </c:pt>
                <c:pt idx="57">
                  <c:v>112</c:v>
                </c:pt>
                <c:pt idx="58">
                  <c:v>135</c:v>
                </c:pt>
                <c:pt idx="59">
                  <c:v>190</c:v>
                </c:pt>
                <c:pt idx="60">
                  <c:v>126</c:v>
                </c:pt>
                <c:pt idx="61">
                  <c:v>152</c:v>
                </c:pt>
                <c:pt idx="62">
                  <c:v>134</c:v>
                </c:pt>
                <c:pt idx="63">
                  <c:v>266</c:v>
                </c:pt>
                <c:pt idx="64">
                  <c:v>177</c:v>
                </c:pt>
                <c:pt idx="65">
                  <c:v>104</c:v>
                </c:pt>
                <c:pt idx="66">
                  <c:v>154</c:v>
                </c:pt>
                <c:pt idx="67">
                  <c:v>131</c:v>
                </c:pt>
                <c:pt idx="68">
                  <c:v>321</c:v>
                </c:pt>
                <c:pt idx="69">
                  <c:v>80</c:v>
                </c:pt>
                <c:pt idx="70">
                  <c:v>133</c:v>
                </c:pt>
                <c:pt idx="71">
                  <c:v>48</c:v>
                </c:pt>
                <c:pt idx="72">
                  <c:v>142</c:v>
                </c:pt>
                <c:pt idx="73">
                  <c:v>54</c:v>
                </c:pt>
                <c:pt idx="74">
                  <c:v>453</c:v>
                </c:pt>
              </c:numCache>
            </c:numRef>
          </c:xVal>
          <c:yVal>
            <c:numRef>
              <c:f>'CEA Funnel'!$C$2:$C$76</c:f>
              <c:numCache>
                <c:formatCode>General</c:formatCode>
                <c:ptCount val="75"/>
                <c:pt idx="0">
                  <c:v>4.4000000000000004</c:v>
                </c:pt>
                <c:pt idx="1">
                  <c:v>2.6</c:v>
                </c:pt>
                <c:pt idx="2">
                  <c:v>0</c:v>
                </c:pt>
                <c:pt idx="3">
                  <c:v>1.4</c:v>
                </c:pt>
                <c:pt idx="4">
                  <c:v>3.4</c:v>
                </c:pt>
                <c:pt idx="5">
                  <c:v>1.7</c:v>
                </c:pt>
                <c:pt idx="6">
                  <c:v>5</c:v>
                </c:pt>
                <c:pt idx="7">
                  <c:v>4.7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2.6</c:v>
                </c:pt>
                <c:pt idx="12">
                  <c:v>1.3</c:v>
                </c:pt>
                <c:pt idx="13">
                  <c:v>2.2000000000000002</c:v>
                </c:pt>
                <c:pt idx="14">
                  <c:v>2.5</c:v>
                </c:pt>
                <c:pt idx="15">
                  <c:v>2.9</c:v>
                </c:pt>
                <c:pt idx="16">
                  <c:v>2.5</c:v>
                </c:pt>
                <c:pt idx="17">
                  <c:v>1.5</c:v>
                </c:pt>
                <c:pt idx="18">
                  <c:v>0.8</c:v>
                </c:pt>
                <c:pt idx="19">
                  <c:v>2.1</c:v>
                </c:pt>
                <c:pt idx="20">
                  <c:v>2.2999999999999998</c:v>
                </c:pt>
                <c:pt idx="21">
                  <c:v>2</c:v>
                </c:pt>
                <c:pt idx="22">
                  <c:v>0.4</c:v>
                </c:pt>
                <c:pt idx="23">
                  <c:v>1.2</c:v>
                </c:pt>
                <c:pt idx="24">
                  <c:v>1.3</c:v>
                </c:pt>
                <c:pt idx="25">
                  <c:v>2.8</c:v>
                </c:pt>
                <c:pt idx="26">
                  <c:v>2.6</c:v>
                </c:pt>
                <c:pt idx="27">
                  <c:v>1.2</c:v>
                </c:pt>
                <c:pt idx="28">
                  <c:v>2.5</c:v>
                </c:pt>
                <c:pt idx="29">
                  <c:v>0.7</c:v>
                </c:pt>
                <c:pt idx="30">
                  <c:v>0.9</c:v>
                </c:pt>
                <c:pt idx="31">
                  <c:v>1.2</c:v>
                </c:pt>
                <c:pt idx="32">
                  <c:v>0.7</c:v>
                </c:pt>
                <c:pt idx="33">
                  <c:v>0.9</c:v>
                </c:pt>
                <c:pt idx="34">
                  <c:v>2.4</c:v>
                </c:pt>
                <c:pt idx="35">
                  <c:v>1.9</c:v>
                </c:pt>
                <c:pt idx="36">
                  <c:v>0.9</c:v>
                </c:pt>
                <c:pt idx="37">
                  <c:v>1.5</c:v>
                </c:pt>
                <c:pt idx="38">
                  <c:v>0</c:v>
                </c:pt>
                <c:pt idx="39">
                  <c:v>4.0999999999999996</c:v>
                </c:pt>
                <c:pt idx="40">
                  <c:v>2.6</c:v>
                </c:pt>
                <c:pt idx="41">
                  <c:v>6.4</c:v>
                </c:pt>
                <c:pt idx="42">
                  <c:v>0.4</c:v>
                </c:pt>
                <c:pt idx="43">
                  <c:v>4</c:v>
                </c:pt>
                <c:pt idx="44">
                  <c:v>0</c:v>
                </c:pt>
                <c:pt idx="45">
                  <c:v>1.3</c:v>
                </c:pt>
                <c:pt idx="46">
                  <c:v>2.2000000000000002</c:v>
                </c:pt>
                <c:pt idx="47">
                  <c:v>2.9</c:v>
                </c:pt>
                <c:pt idx="48">
                  <c:v>2.2999999999999998</c:v>
                </c:pt>
                <c:pt idx="49">
                  <c:v>2</c:v>
                </c:pt>
                <c:pt idx="50">
                  <c:v>1.2</c:v>
                </c:pt>
                <c:pt idx="51">
                  <c:v>3.2</c:v>
                </c:pt>
                <c:pt idx="52">
                  <c:v>2</c:v>
                </c:pt>
                <c:pt idx="53">
                  <c:v>1.5</c:v>
                </c:pt>
                <c:pt idx="54">
                  <c:v>4.0999999999999996</c:v>
                </c:pt>
                <c:pt idx="55">
                  <c:v>0.7</c:v>
                </c:pt>
                <c:pt idx="56">
                  <c:v>0.5</c:v>
                </c:pt>
                <c:pt idx="57">
                  <c:v>2.8</c:v>
                </c:pt>
                <c:pt idx="58">
                  <c:v>1.4</c:v>
                </c:pt>
                <c:pt idx="59">
                  <c:v>1.9</c:v>
                </c:pt>
                <c:pt idx="60">
                  <c:v>0.7</c:v>
                </c:pt>
                <c:pt idx="61">
                  <c:v>2.5</c:v>
                </c:pt>
                <c:pt idx="62">
                  <c:v>1</c:v>
                </c:pt>
                <c:pt idx="63">
                  <c:v>1.2</c:v>
                </c:pt>
                <c:pt idx="64">
                  <c:v>2.2999999999999998</c:v>
                </c:pt>
                <c:pt idx="65">
                  <c:v>2.2000000000000002</c:v>
                </c:pt>
                <c:pt idx="66">
                  <c:v>4.3</c:v>
                </c:pt>
                <c:pt idx="67">
                  <c:v>3</c:v>
                </c:pt>
                <c:pt idx="68">
                  <c:v>1.5</c:v>
                </c:pt>
                <c:pt idx="69">
                  <c:v>0</c:v>
                </c:pt>
                <c:pt idx="70">
                  <c:v>3.2</c:v>
                </c:pt>
                <c:pt idx="71">
                  <c:v>5.5</c:v>
                </c:pt>
                <c:pt idx="72">
                  <c:v>0.7</c:v>
                </c:pt>
                <c:pt idx="73">
                  <c:v>2.4</c:v>
                </c:pt>
                <c:pt idx="74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C-44A6-A196-2D3C440F0395}"/>
            </c:ext>
          </c:extLst>
        </c:ser>
        <c:ser>
          <c:idx val="1"/>
          <c:order val="1"/>
          <c:tx>
            <c:v>National Rate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'CEA Limits'!$B$2:$B$77</c:f>
              <c:numCache>
                <c:formatCode>General</c:formatCode>
                <c:ptCount val="76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45</c:v>
                </c:pt>
                <c:pt idx="7">
                  <c:v>48</c:v>
                </c:pt>
                <c:pt idx="8">
                  <c:v>54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67</c:v>
                </c:pt>
                <c:pt idx="13">
                  <c:v>68</c:v>
                </c:pt>
                <c:pt idx="14">
                  <c:v>79</c:v>
                </c:pt>
                <c:pt idx="15">
                  <c:v>80</c:v>
                </c:pt>
                <c:pt idx="16">
                  <c:v>85</c:v>
                </c:pt>
                <c:pt idx="17">
                  <c:v>89</c:v>
                </c:pt>
                <c:pt idx="18">
                  <c:v>90</c:v>
                </c:pt>
                <c:pt idx="19">
                  <c:v>95</c:v>
                </c:pt>
                <c:pt idx="20">
                  <c:v>101</c:v>
                </c:pt>
                <c:pt idx="21">
                  <c:v>103</c:v>
                </c:pt>
                <c:pt idx="22">
                  <c:v>104</c:v>
                </c:pt>
                <c:pt idx="23">
                  <c:v>105</c:v>
                </c:pt>
                <c:pt idx="24">
                  <c:v>111</c:v>
                </c:pt>
                <c:pt idx="25">
                  <c:v>112</c:v>
                </c:pt>
                <c:pt idx="26">
                  <c:v>114</c:v>
                </c:pt>
                <c:pt idx="27">
                  <c:v>121</c:v>
                </c:pt>
                <c:pt idx="28">
                  <c:v>122</c:v>
                </c:pt>
                <c:pt idx="29">
                  <c:v>125</c:v>
                </c:pt>
                <c:pt idx="30">
                  <c:v>126</c:v>
                </c:pt>
                <c:pt idx="31">
                  <c:v>128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139</c:v>
                </c:pt>
                <c:pt idx="38">
                  <c:v>140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147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165</c:v>
                </c:pt>
                <c:pt idx="47">
                  <c:v>172</c:v>
                </c:pt>
                <c:pt idx="48">
                  <c:v>177</c:v>
                </c:pt>
                <c:pt idx="49">
                  <c:v>180</c:v>
                </c:pt>
                <c:pt idx="50">
                  <c:v>181</c:v>
                </c:pt>
                <c:pt idx="51">
                  <c:v>183</c:v>
                </c:pt>
                <c:pt idx="52">
                  <c:v>186</c:v>
                </c:pt>
                <c:pt idx="53">
                  <c:v>190</c:v>
                </c:pt>
                <c:pt idx="54">
                  <c:v>203</c:v>
                </c:pt>
                <c:pt idx="55">
                  <c:v>209</c:v>
                </c:pt>
                <c:pt idx="56">
                  <c:v>222</c:v>
                </c:pt>
                <c:pt idx="57">
                  <c:v>230</c:v>
                </c:pt>
                <c:pt idx="58">
                  <c:v>235</c:v>
                </c:pt>
                <c:pt idx="59">
                  <c:v>242</c:v>
                </c:pt>
                <c:pt idx="60">
                  <c:v>244</c:v>
                </c:pt>
                <c:pt idx="61">
                  <c:v>250</c:v>
                </c:pt>
                <c:pt idx="62">
                  <c:v>256</c:v>
                </c:pt>
                <c:pt idx="63">
                  <c:v>263</c:v>
                </c:pt>
                <c:pt idx="64">
                  <c:v>266</c:v>
                </c:pt>
                <c:pt idx="65">
                  <c:v>271</c:v>
                </c:pt>
                <c:pt idx="66">
                  <c:v>272</c:v>
                </c:pt>
                <c:pt idx="67">
                  <c:v>283</c:v>
                </c:pt>
                <c:pt idx="68">
                  <c:v>290</c:v>
                </c:pt>
                <c:pt idx="69">
                  <c:v>321</c:v>
                </c:pt>
                <c:pt idx="70">
                  <c:v>322</c:v>
                </c:pt>
                <c:pt idx="71">
                  <c:v>332</c:v>
                </c:pt>
                <c:pt idx="72">
                  <c:v>409</c:v>
                </c:pt>
                <c:pt idx="73">
                  <c:v>427</c:v>
                </c:pt>
                <c:pt idx="74">
                  <c:v>453</c:v>
                </c:pt>
                <c:pt idx="75">
                  <c:v>475</c:v>
                </c:pt>
              </c:numCache>
            </c:numRef>
          </c:xVal>
          <c:yVal>
            <c:numRef>
              <c:f>'CEA Limits'!$D$2:$D$77</c:f>
              <c:numCache>
                <c:formatCode>General</c:formatCode>
                <c:ptCount val="76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1.9</c:v>
                </c:pt>
                <c:pt idx="27">
                  <c:v>1.9</c:v>
                </c:pt>
                <c:pt idx="28">
                  <c:v>1.9</c:v>
                </c:pt>
                <c:pt idx="29">
                  <c:v>1.9</c:v>
                </c:pt>
                <c:pt idx="30">
                  <c:v>1.9</c:v>
                </c:pt>
                <c:pt idx="31">
                  <c:v>1.9</c:v>
                </c:pt>
                <c:pt idx="32">
                  <c:v>1.9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1.9</c:v>
                </c:pt>
                <c:pt idx="41">
                  <c:v>1.9</c:v>
                </c:pt>
                <c:pt idx="42">
                  <c:v>1.9</c:v>
                </c:pt>
                <c:pt idx="43">
                  <c:v>1.9</c:v>
                </c:pt>
                <c:pt idx="44">
                  <c:v>1.9</c:v>
                </c:pt>
                <c:pt idx="45">
                  <c:v>1.9</c:v>
                </c:pt>
                <c:pt idx="46">
                  <c:v>1.9</c:v>
                </c:pt>
                <c:pt idx="47">
                  <c:v>1.9</c:v>
                </c:pt>
                <c:pt idx="48">
                  <c:v>1.9</c:v>
                </c:pt>
                <c:pt idx="49">
                  <c:v>1.9</c:v>
                </c:pt>
                <c:pt idx="50">
                  <c:v>1.9</c:v>
                </c:pt>
                <c:pt idx="51">
                  <c:v>1.9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1.9</c:v>
                </c:pt>
                <c:pt idx="56">
                  <c:v>1.9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1.9</c:v>
                </c:pt>
                <c:pt idx="66">
                  <c:v>1.9</c:v>
                </c:pt>
                <c:pt idx="67">
                  <c:v>1.9</c:v>
                </c:pt>
                <c:pt idx="68">
                  <c:v>1.9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1.9</c:v>
                </c:pt>
                <c:pt idx="73">
                  <c:v>1.9</c:v>
                </c:pt>
                <c:pt idx="74">
                  <c:v>1.9</c:v>
                </c:pt>
                <c:pt idx="75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C-44A6-A196-2D3C440F039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'CEA Limits'!$B$2:$B$77</c:f>
              <c:numCache>
                <c:formatCode>General</c:formatCode>
                <c:ptCount val="76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45</c:v>
                </c:pt>
                <c:pt idx="7">
                  <c:v>48</c:v>
                </c:pt>
                <c:pt idx="8">
                  <c:v>54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67</c:v>
                </c:pt>
                <c:pt idx="13">
                  <c:v>68</c:v>
                </c:pt>
                <c:pt idx="14">
                  <c:v>79</c:v>
                </c:pt>
                <c:pt idx="15">
                  <c:v>80</c:v>
                </c:pt>
                <c:pt idx="16">
                  <c:v>85</c:v>
                </c:pt>
                <c:pt idx="17">
                  <c:v>89</c:v>
                </c:pt>
                <c:pt idx="18">
                  <c:v>90</c:v>
                </c:pt>
                <c:pt idx="19">
                  <c:v>95</c:v>
                </c:pt>
                <c:pt idx="20">
                  <c:v>101</c:v>
                </c:pt>
                <c:pt idx="21">
                  <c:v>103</c:v>
                </c:pt>
                <c:pt idx="22">
                  <c:v>104</c:v>
                </c:pt>
                <c:pt idx="23">
                  <c:v>105</c:v>
                </c:pt>
                <c:pt idx="24">
                  <c:v>111</c:v>
                </c:pt>
                <c:pt idx="25">
                  <c:v>112</c:v>
                </c:pt>
                <c:pt idx="26">
                  <c:v>114</c:v>
                </c:pt>
                <c:pt idx="27">
                  <c:v>121</c:v>
                </c:pt>
                <c:pt idx="28">
                  <c:v>122</c:v>
                </c:pt>
                <c:pt idx="29">
                  <c:v>125</c:v>
                </c:pt>
                <c:pt idx="30">
                  <c:v>126</c:v>
                </c:pt>
                <c:pt idx="31">
                  <c:v>128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139</c:v>
                </c:pt>
                <c:pt idx="38">
                  <c:v>140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147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165</c:v>
                </c:pt>
                <c:pt idx="47">
                  <c:v>172</c:v>
                </c:pt>
                <c:pt idx="48">
                  <c:v>177</c:v>
                </c:pt>
                <c:pt idx="49">
                  <c:v>180</c:v>
                </c:pt>
                <c:pt idx="50">
                  <c:v>181</c:v>
                </c:pt>
                <c:pt idx="51">
                  <c:v>183</c:v>
                </c:pt>
                <c:pt idx="52">
                  <c:v>186</c:v>
                </c:pt>
                <c:pt idx="53">
                  <c:v>190</c:v>
                </c:pt>
                <c:pt idx="54">
                  <c:v>203</c:v>
                </c:pt>
                <c:pt idx="55">
                  <c:v>209</c:v>
                </c:pt>
                <c:pt idx="56">
                  <c:v>222</c:v>
                </c:pt>
                <c:pt idx="57">
                  <c:v>230</c:v>
                </c:pt>
                <c:pt idx="58">
                  <c:v>235</c:v>
                </c:pt>
                <c:pt idx="59">
                  <c:v>242</c:v>
                </c:pt>
                <c:pt idx="60">
                  <c:v>244</c:v>
                </c:pt>
                <c:pt idx="61">
                  <c:v>250</c:v>
                </c:pt>
                <c:pt idx="62">
                  <c:v>256</c:v>
                </c:pt>
                <c:pt idx="63">
                  <c:v>263</c:v>
                </c:pt>
                <c:pt idx="64">
                  <c:v>266</c:v>
                </c:pt>
                <c:pt idx="65">
                  <c:v>271</c:v>
                </c:pt>
                <c:pt idx="66">
                  <c:v>272</c:v>
                </c:pt>
                <c:pt idx="67">
                  <c:v>283</c:v>
                </c:pt>
                <c:pt idx="68">
                  <c:v>290</c:v>
                </c:pt>
                <c:pt idx="69">
                  <c:v>321</c:v>
                </c:pt>
                <c:pt idx="70">
                  <c:v>322</c:v>
                </c:pt>
                <c:pt idx="71">
                  <c:v>332</c:v>
                </c:pt>
                <c:pt idx="72">
                  <c:v>409</c:v>
                </c:pt>
                <c:pt idx="73">
                  <c:v>427</c:v>
                </c:pt>
                <c:pt idx="74">
                  <c:v>453</c:v>
                </c:pt>
                <c:pt idx="75">
                  <c:v>475</c:v>
                </c:pt>
              </c:numCache>
            </c:numRef>
          </c:xVal>
          <c:yVal>
            <c:numRef>
              <c:f>'CEA Limits'!$C$2:$C$77</c:f>
              <c:numCache>
                <c:formatCode>General</c:formatCode>
                <c:ptCount val="76"/>
                <c:pt idx="0">
                  <c:v>40</c:v>
                </c:pt>
                <c:pt idx="1">
                  <c:v>32.899019999999993</c:v>
                </c:pt>
                <c:pt idx="2">
                  <c:v>27.355199999999996</c:v>
                </c:pt>
                <c:pt idx="3">
                  <c:v>18.781390000000002</c:v>
                </c:pt>
                <c:pt idx="4">
                  <c:v>18.034949999999995</c:v>
                </c:pt>
                <c:pt idx="5">
                  <c:v>14.903059999999996</c:v>
                </c:pt>
                <c:pt idx="6">
                  <c:v>12.149829999999994</c:v>
                </c:pt>
                <c:pt idx="7">
                  <c:v>11.761030000000005</c:v>
                </c:pt>
                <c:pt idx="8">
                  <c:v>10.873940000000005</c:v>
                </c:pt>
                <c:pt idx="9">
                  <c:v>10.291079999999994</c:v>
                </c:pt>
                <c:pt idx="10">
                  <c:v>10.036850000000001</c:v>
                </c:pt>
                <c:pt idx="11">
                  <c:v>9.9557850000000059</c:v>
                </c:pt>
                <c:pt idx="12">
                  <c:v>9.775156999999993</c:v>
                </c:pt>
                <c:pt idx="13">
                  <c:v>9.7043100000000067</c:v>
                </c:pt>
                <c:pt idx="14">
                  <c:v>8.8002419999999972</c:v>
                </c:pt>
                <c:pt idx="15">
                  <c:v>8.7162919999999957</c:v>
                </c:pt>
                <c:pt idx="16">
                  <c:v>8.5614419999999996</c:v>
                </c:pt>
                <c:pt idx="17">
                  <c:v>8.4339410000000044</c:v>
                </c:pt>
                <c:pt idx="18">
                  <c:v>8.3930660000000046</c:v>
                </c:pt>
                <c:pt idx="19">
                  <c:v>8.1563069999999982</c:v>
                </c:pt>
                <c:pt idx="20">
                  <c:v>7.8360650000000049</c:v>
                </c:pt>
                <c:pt idx="21">
                  <c:v>7.726579000000001</c:v>
                </c:pt>
                <c:pt idx="22">
                  <c:v>7.6718180000000018</c:v>
                </c:pt>
                <c:pt idx="23">
                  <c:v>7.6171499999999952</c:v>
                </c:pt>
                <c:pt idx="24">
                  <c:v>7.549270000000007</c:v>
                </c:pt>
                <c:pt idx="25">
                  <c:v>7.5275939999999935</c:v>
                </c:pt>
                <c:pt idx="26">
                  <c:v>7.4774790000000024</c:v>
                </c:pt>
                <c:pt idx="27">
                  <c:v>7.2539960000000008</c:v>
                </c:pt>
                <c:pt idx="28">
                  <c:v>7.2181700000000006</c:v>
                </c:pt>
                <c:pt idx="29">
                  <c:v>7.1074480000000051</c:v>
                </c:pt>
                <c:pt idx="30">
                  <c:v>7.069745999999995</c:v>
                </c:pt>
                <c:pt idx="31">
                  <c:v>6.9935870000000051</c:v>
                </c:pt>
                <c:pt idx="32">
                  <c:v>6.9004439999999931</c:v>
                </c:pt>
                <c:pt idx="33">
                  <c:v>6.8983240000000023</c:v>
                </c:pt>
                <c:pt idx="34">
                  <c:v>6.8934059999999988</c:v>
                </c:pt>
                <c:pt idx="35">
                  <c:v>6.8859479999999991</c:v>
                </c:pt>
                <c:pt idx="36">
                  <c:v>6.876182</c:v>
                </c:pt>
                <c:pt idx="37">
                  <c:v>6.8180540000000036</c:v>
                </c:pt>
                <c:pt idx="38">
                  <c:v>6.7996119999999962</c:v>
                </c:pt>
                <c:pt idx="39">
                  <c:v>6.7590390000000014</c:v>
                </c:pt>
                <c:pt idx="40">
                  <c:v>6.7371490000000023</c:v>
                </c:pt>
                <c:pt idx="41">
                  <c:v>6.7143310000000014</c:v>
                </c:pt>
                <c:pt idx="42">
                  <c:v>6.6412430000000029</c:v>
                </c:pt>
                <c:pt idx="43">
                  <c:v>6.508459000000002</c:v>
                </c:pt>
                <c:pt idx="44">
                  <c:v>6.452887000000004</c:v>
                </c:pt>
                <c:pt idx="45">
                  <c:v>6.3964569999999981</c:v>
                </c:pt>
                <c:pt idx="46">
                  <c:v>6.315804</c:v>
                </c:pt>
                <c:pt idx="47">
                  <c:v>6.2103450000000038</c:v>
                </c:pt>
                <c:pt idx="48">
                  <c:v>6.1154219999999953</c:v>
                </c:pt>
                <c:pt idx="49">
                  <c:v>6.0537350000000032</c:v>
                </c:pt>
                <c:pt idx="50">
                  <c:v>6.0326120000000003</c:v>
                </c:pt>
                <c:pt idx="51">
                  <c:v>5.9897069999999957</c:v>
                </c:pt>
                <c:pt idx="52">
                  <c:v>5.9462500000000063</c:v>
                </c:pt>
                <c:pt idx="53">
                  <c:v>5.932029</c:v>
                </c:pt>
                <c:pt idx="54">
                  <c:v>5.7880109999999974</c:v>
                </c:pt>
                <c:pt idx="55">
                  <c:v>5.693608999999995</c:v>
                </c:pt>
                <c:pt idx="56">
                  <c:v>5.5821949999999987</c:v>
                </c:pt>
                <c:pt idx="57">
                  <c:v>5.5099479999999943</c:v>
                </c:pt>
                <c:pt idx="58">
                  <c:v>5.4512050000000016</c:v>
                </c:pt>
                <c:pt idx="59">
                  <c:v>5.3583320000000043</c:v>
                </c:pt>
                <c:pt idx="60">
                  <c:v>5.3347009999999955</c:v>
                </c:pt>
                <c:pt idx="61">
                  <c:v>5.321280999999999</c:v>
                </c:pt>
                <c:pt idx="62">
                  <c:v>5.2859629999999953</c:v>
                </c:pt>
                <c:pt idx="63">
                  <c:v>5.2260200000000054</c:v>
                </c:pt>
                <c:pt idx="64">
                  <c:v>5.1959679999999935</c:v>
                </c:pt>
                <c:pt idx="65">
                  <c:v>5.1417560000000009</c:v>
                </c:pt>
                <c:pt idx="66">
                  <c:v>5.1304159999999968</c:v>
                </c:pt>
                <c:pt idx="67">
                  <c:v>5.083636999999996</c:v>
                </c:pt>
                <c:pt idx="68">
                  <c:v>5.0428619999999995</c:v>
                </c:pt>
                <c:pt idx="69">
                  <c:v>4.8594989999999996</c:v>
                </c:pt>
                <c:pt idx="70">
                  <c:v>4.8536830000000037</c:v>
                </c:pt>
                <c:pt idx="71">
                  <c:v>4.7843270000000047</c:v>
                </c:pt>
                <c:pt idx="72">
                  <c:v>4.4576990000000052</c:v>
                </c:pt>
                <c:pt idx="73">
                  <c:v>4.3989210000000014</c:v>
                </c:pt>
                <c:pt idx="74">
                  <c:v>4.3200649999999996</c:v>
                </c:pt>
                <c:pt idx="75">
                  <c:v>4.2427880000000044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C-44A6-A196-2D3C440F0395}"/>
            </c:ext>
          </c:extLst>
        </c:ser>
        <c:ser>
          <c:idx val="3"/>
          <c:order val="3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'CEA Summary'!$AL$2</c:f>
              <c:numCache>
                <c:formatCode>General</c:formatCode>
                <c:ptCount val="1"/>
                <c:pt idx="0">
                  <c:v>139</c:v>
                </c:pt>
              </c:numCache>
            </c:numRef>
          </c:xVal>
          <c:yVal>
            <c:numRef>
              <c:f>'CEA Summary'!$AM$2</c:f>
              <c:numCache>
                <c:formatCode>General</c:formatCode>
                <c:ptCount val="1"/>
                <c:pt idx="0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8C-44A6-A196-2D3C440F039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'CEA Limits'!$B$2:$B$77</c:f>
              <c:numCache>
                <c:formatCode>General</c:formatCode>
                <c:ptCount val="76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45</c:v>
                </c:pt>
                <c:pt idx="7">
                  <c:v>48</c:v>
                </c:pt>
                <c:pt idx="8">
                  <c:v>54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67</c:v>
                </c:pt>
                <c:pt idx="13">
                  <c:v>68</c:v>
                </c:pt>
                <c:pt idx="14">
                  <c:v>79</c:v>
                </c:pt>
                <c:pt idx="15">
                  <c:v>80</c:v>
                </c:pt>
                <c:pt idx="16">
                  <c:v>85</c:v>
                </c:pt>
                <c:pt idx="17">
                  <c:v>89</c:v>
                </c:pt>
                <c:pt idx="18">
                  <c:v>90</c:v>
                </c:pt>
                <c:pt idx="19">
                  <c:v>95</c:v>
                </c:pt>
                <c:pt idx="20">
                  <c:v>101</c:v>
                </c:pt>
                <c:pt idx="21">
                  <c:v>103</c:v>
                </c:pt>
                <c:pt idx="22">
                  <c:v>104</c:v>
                </c:pt>
                <c:pt idx="23">
                  <c:v>105</c:v>
                </c:pt>
                <c:pt idx="24">
                  <c:v>111</c:v>
                </c:pt>
                <c:pt idx="25">
                  <c:v>112</c:v>
                </c:pt>
                <c:pt idx="26">
                  <c:v>114</c:v>
                </c:pt>
                <c:pt idx="27">
                  <c:v>121</c:v>
                </c:pt>
                <c:pt idx="28">
                  <c:v>122</c:v>
                </c:pt>
                <c:pt idx="29">
                  <c:v>125</c:v>
                </c:pt>
                <c:pt idx="30">
                  <c:v>126</c:v>
                </c:pt>
                <c:pt idx="31">
                  <c:v>128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139</c:v>
                </c:pt>
                <c:pt idx="38">
                  <c:v>140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147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165</c:v>
                </c:pt>
                <c:pt idx="47">
                  <c:v>172</c:v>
                </c:pt>
                <c:pt idx="48">
                  <c:v>177</c:v>
                </c:pt>
                <c:pt idx="49">
                  <c:v>180</c:v>
                </c:pt>
                <c:pt idx="50">
                  <c:v>181</c:v>
                </c:pt>
                <c:pt idx="51">
                  <c:v>183</c:v>
                </c:pt>
                <c:pt idx="52">
                  <c:v>186</c:v>
                </c:pt>
                <c:pt idx="53">
                  <c:v>190</c:v>
                </c:pt>
                <c:pt idx="54">
                  <c:v>203</c:v>
                </c:pt>
                <c:pt idx="55">
                  <c:v>209</c:v>
                </c:pt>
                <c:pt idx="56">
                  <c:v>222</c:v>
                </c:pt>
                <c:pt idx="57">
                  <c:v>230</c:v>
                </c:pt>
                <c:pt idx="58">
                  <c:v>235</c:v>
                </c:pt>
                <c:pt idx="59">
                  <c:v>242</c:v>
                </c:pt>
                <c:pt idx="60">
                  <c:v>244</c:v>
                </c:pt>
                <c:pt idx="61">
                  <c:v>250</c:v>
                </c:pt>
                <c:pt idx="62">
                  <c:v>256</c:v>
                </c:pt>
                <c:pt idx="63">
                  <c:v>263</c:v>
                </c:pt>
                <c:pt idx="64">
                  <c:v>266</c:v>
                </c:pt>
                <c:pt idx="65">
                  <c:v>271</c:v>
                </c:pt>
                <c:pt idx="66">
                  <c:v>272</c:v>
                </c:pt>
                <c:pt idx="67">
                  <c:v>283</c:v>
                </c:pt>
                <c:pt idx="68">
                  <c:v>290</c:v>
                </c:pt>
                <c:pt idx="69">
                  <c:v>321</c:v>
                </c:pt>
                <c:pt idx="70">
                  <c:v>322</c:v>
                </c:pt>
                <c:pt idx="71">
                  <c:v>332</c:v>
                </c:pt>
                <c:pt idx="72">
                  <c:v>409</c:v>
                </c:pt>
                <c:pt idx="73">
                  <c:v>427</c:v>
                </c:pt>
                <c:pt idx="74">
                  <c:v>453</c:v>
                </c:pt>
                <c:pt idx="75">
                  <c:v>475</c:v>
                </c:pt>
              </c:numCache>
            </c:numRef>
          </c:xVal>
          <c:yVal>
            <c:numRef>
              <c:f>'CEA Limits'!$E$2:$E$77</c:f>
              <c:numCache>
                <c:formatCode>General</c:formatCode>
                <c:ptCount val="76"/>
                <c:pt idx="72">
                  <c:v>5.4777299999997808E-2</c:v>
                </c:pt>
                <c:pt idx="73">
                  <c:v>8.2965099999995573E-2</c:v>
                </c:pt>
                <c:pt idx="74">
                  <c:v>0.13839860000000215</c:v>
                </c:pt>
                <c:pt idx="75">
                  <c:v>0.20494060000000047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08-4873-B7B3-631BFEF13907}"/>
            </c:ext>
          </c:extLst>
        </c:ser>
        <c:ser>
          <c:idx val="5"/>
          <c:order val="5"/>
          <c:tx>
            <c:v>Upper 95 Limits</c:v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Limits'!$B$2:$B$77</c:f>
              <c:numCache>
                <c:formatCode>General</c:formatCode>
                <c:ptCount val="76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45</c:v>
                </c:pt>
                <c:pt idx="7">
                  <c:v>48</c:v>
                </c:pt>
                <c:pt idx="8">
                  <c:v>54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67</c:v>
                </c:pt>
                <c:pt idx="13">
                  <c:v>68</c:v>
                </c:pt>
                <c:pt idx="14">
                  <c:v>79</c:v>
                </c:pt>
                <c:pt idx="15">
                  <c:v>80</c:v>
                </c:pt>
                <c:pt idx="16">
                  <c:v>85</c:v>
                </c:pt>
                <c:pt idx="17">
                  <c:v>89</c:v>
                </c:pt>
                <c:pt idx="18">
                  <c:v>90</c:v>
                </c:pt>
                <c:pt idx="19">
                  <c:v>95</c:v>
                </c:pt>
                <c:pt idx="20">
                  <c:v>101</c:v>
                </c:pt>
                <c:pt idx="21">
                  <c:v>103</c:v>
                </c:pt>
                <c:pt idx="22">
                  <c:v>104</c:v>
                </c:pt>
                <c:pt idx="23">
                  <c:v>105</c:v>
                </c:pt>
                <c:pt idx="24">
                  <c:v>111</c:v>
                </c:pt>
                <c:pt idx="25">
                  <c:v>112</c:v>
                </c:pt>
                <c:pt idx="26">
                  <c:v>114</c:v>
                </c:pt>
                <c:pt idx="27">
                  <c:v>121</c:v>
                </c:pt>
                <c:pt idx="28">
                  <c:v>122</c:v>
                </c:pt>
                <c:pt idx="29">
                  <c:v>125</c:v>
                </c:pt>
                <c:pt idx="30">
                  <c:v>126</c:v>
                </c:pt>
                <c:pt idx="31">
                  <c:v>128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139</c:v>
                </c:pt>
                <c:pt idx="38">
                  <c:v>140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147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165</c:v>
                </c:pt>
                <c:pt idx="47">
                  <c:v>172</c:v>
                </c:pt>
                <c:pt idx="48">
                  <c:v>177</c:v>
                </c:pt>
                <c:pt idx="49">
                  <c:v>180</c:v>
                </c:pt>
                <c:pt idx="50">
                  <c:v>181</c:v>
                </c:pt>
                <c:pt idx="51">
                  <c:v>183</c:v>
                </c:pt>
                <c:pt idx="52">
                  <c:v>186</c:v>
                </c:pt>
                <c:pt idx="53">
                  <c:v>190</c:v>
                </c:pt>
                <c:pt idx="54">
                  <c:v>203</c:v>
                </c:pt>
                <c:pt idx="55">
                  <c:v>209</c:v>
                </c:pt>
                <c:pt idx="56">
                  <c:v>222</c:v>
                </c:pt>
                <c:pt idx="57">
                  <c:v>230</c:v>
                </c:pt>
                <c:pt idx="58">
                  <c:v>235</c:v>
                </c:pt>
                <c:pt idx="59">
                  <c:v>242</c:v>
                </c:pt>
                <c:pt idx="60">
                  <c:v>244</c:v>
                </c:pt>
                <c:pt idx="61">
                  <c:v>250</c:v>
                </c:pt>
                <c:pt idx="62">
                  <c:v>256</c:v>
                </c:pt>
                <c:pt idx="63">
                  <c:v>263</c:v>
                </c:pt>
                <c:pt idx="64">
                  <c:v>266</c:v>
                </c:pt>
                <c:pt idx="65">
                  <c:v>271</c:v>
                </c:pt>
                <c:pt idx="66">
                  <c:v>272</c:v>
                </c:pt>
                <c:pt idx="67">
                  <c:v>283</c:v>
                </c:pt>
                <c:pt idx="68">
                  <c:v>290</c:v>
                </c:pt>
                <c:pt idx="69">
                  <c:v>321</c:v>
                </c:pt>
                <c:pt idx="70">
                  <c:v>322</c:v>
                </c:pt>
                <c:pt idx="71">
                  <c:v>332</c:v>
                </c:pt>
                <c:pt idx="72">
                  <c:v>409</c:v>
                </c:pt>
                <c:pt idx="73">
                  <c:v>427</c:v>
                </c:pt>
                <c:pt idx="74">
                  <c:v>453</c:v>
                </c:pt>
                <c:pt idx="75">
                  <c:v>475</c:v>
                </c:pt>
              </c:numCache>
            </c:numRef>
          </c:xVal>
          <c:yVal>
            <c:numRef>
              <c:f>'CEA Limits'!$F$2:$F$77</c:f>
              <c:numCache>
                <c:formatCode>General</c:formatCode>
                <c:ptCount val="76"/>
                <c:pt idx="0">
                  <c:v>40</c:v>
                </c:pt>
                <c:pt idx="1">
                  <c:v>21.25807</c:v>
                </c:pt>
                <c:pt idx="2">
                  <c:v>16.50751</c:v>
                </c:pt>
                <c:pt idx="3">
                  <c:v>12.71264</c:v>
                </c:pt>
                <c:pt idx="4">
                  <c:v>12.32551</c:v>
                </c:pt>
                <c:pt idx="5">
                  <c:v>9.3211949999999995</c:v>
                </c:pt>
                <c:pt idx="6">
                  <c:v>8.1837250000000008</c:v>
                </c:pt>
                <c:pt idx="7">
                  <c:v>7.8680560000000002</c:v>
                </c:pt>
                <c:pt idx="8">
                  <c:v>7.2696909999999999</c:v>
                </c:pt>
                <c:pt idx="9">
                  <c:v>6.9345030000000003</c:v>
                </c:pt>
                <c:pt idx="10">
                  <c:v>6.8780049999999999</c:v>
                </c:pt>
                <c:pt idx="11">
                  <c:v>6.8194980000000003</c:v>
                </c:pt>
                <c:pt idx="12">
                  <c:v>6.7082959999999998</c:v>
                </c:pt>
                <c:pt idx="13">
                  <c:v>6.666779</c:v>
                </c:pt>
                <c:pt idx="14">
                  <c:v>6.1511769999999997</c:v>
                </c:pt>
                <c:pt idx="15">
                  <c:v>6.1030680000000004</c:v>
                </c:pt>
                <c:pt idx="16">
                  <c:v>5.866854</c:v>
                </c:pt>
                <c:pt idx="17">
                  <c:v>5.8205600000000004</c:v>
                </c:pt>
                <c:pt idx="18">
                  <c:v>5.8101929999999999</c:v>
                </c:pt>
                <c:pt idx="19">
                  <c:v>5.7286720000000004</c:v>
                </c:pt>
                <c:pt idx="20">
                  <c:v>5.588889</c:v>
                </c:pt>
                <c:pt idx="21">
                  <c:v>5.536492</c:v>
                </c:pt>
                <c:pt idx="22">
                  <c:v>5.5096049999999996</c:v>
                </c:pt>
                <c:pt idx="23">
                  <c:v>5.4823500000000003</c:v>
                </c:pt>
                <c:pt idx="24">
                  <c:v>5.3141720000000001</c:v>
                </c:pt>
                <c:pt idx="25">
                  <c:v>5.2857810000000001</c:v>
                </c:pt>
                <c:pt idx="26">
                  <c:v>5.228999</c:v>
                </c:pt>
                <c:pt idx="27">
                  <c:v>5.1542329999999996</c:v>
                </c:pt>
                <c:pt idx="28">
                  <c:v>5.1463710000000003</c:v>
                </c:pt>
                <c:pt idx="29">
                  <c:v>5.1162830000000001</c:v>
                </c:pt>
                <c:pt idx="30">
                  <c:v>5.1043830000000003</c:v>
                </c:pt>
                <c:pt idx="31">
                  <c:v>5.0782470000000002</c:v>
                </c:pt>
                <c:pt idx="32">
                  <c:v>5.0341800000000001</c:v>
                </c:pt>
                <c:pt idx="33">
                  <c:v>5.0184230000000003</c:v>
                </c:pt>
                <c:pt idx="34">
                  <c:v>5.0022149999999996</c:v>
                </c:pt>
                <c:pt idx="35">
                  <c:v>4.9856009999999999</c:v>
                </c:pt>
                <c:pt idx="36">
                  <c:v>4.9686219999999999</c:v>
                </c:pt>
                <c:pt idx="37">
                  <c:v>4.8977820000000003</c:v>
                </c:pt>
                <c:pt idx="38">
                  <c:v>4.8795000000000002</c:v>
                </c:pt>
                <c:pt idx="39">
                  <c:v>4.8424399999999999</c:v>
                </c:pt>
                <c:pt idx="40">
                  <c:v>4.823709</c:v>
                </c:pt>
                <c:pt idx="41">
                  <c:v>4.8048729999999997</c:v>
                </c:pt>
                <c:pt idx="42">
                  <c:v>4.7479189999999996</c:v>
                </c:pt>
                <c:pt idx="43">
                  <c:v>4.7207280000000003</c:v>
                </c:pt>
                <c:pt idx="44">
                  <c:v>4.7118000000000002</c:v>
                </c:pt>
                <c:pt idx="45">
                  <c:v>4.6998220000000002</c:v>
                </c:pt>
                <c:pt idx="46">
                  <c:v>4.6180890000000003</c:v>
                </c:pt>
                <c:pt idx="47">
                  <c:v>4.5343920000000004</c:v>
                </c:pt>
                <c:pt idx="48">
                  <c:v>4.4687789999999996</c:v>
                </c:pt>
                <c:pt idx="49">
                  <c:v>4.4280379999999999</c:v>
                </c:pt>
                <c:pt idx="50">
                  <c:v>4.4143030000000003</c:v>
                </c:pt>
                <c:pt idx="51">
                  <c:v>4.4065690000000002</c:v>
                </c:pt>
                <c:pt idx="52">
                  <c:v>4.4010850000000001</c:v>
                </c:pt>
                <c:pt idx="53">
                  <c:v>4.3857189999999999</c:v>
                </c:pt>
                <c:pt idx="54">
                  <c:v>4.2929510000000004</c:v>
                </c:pt>
                <c:pt idx="55">
                  <c:v>4.2367010000000001</c:v>
                </c:pt>
                <c:pt idx="56">
                  <c:v>4.1568430000000003</c:v>
                </c:pt>
                <c:pt idx="57">
                  <c:v>4.1253869999999999</c:v>
                </c:pt>
                <c:pt idx="58">
                  <c:v>4.0968549999999997</c:v>
                </c:pt>
                <c:pt idx="59">
                  <c:v>4.0490890000000004</c:v>
                </c:pt>
                <c:pt idx="60">
                  <c:v>4.0341829999999996</c:v>
                </c:pt>
                <c:pt idx="61">
                  <c:v>3.9870489999999998</c:v>
                </c:pt>
                <c:pt idx="62">
                  <c:v>3.970453</c:v>
                </c:pt>
                <c:pt idx="63">
                  <c:v>3.9532500000000002</c:v>
                </c:pt>
                <c:pt idx="64">
                  <c:v>3.9421300000000001</c:v>
                </c:pt>
                <c:pt idx="65">
                  <c:v>3.919699</c:v>
                </c:pt>
                <c:pt idx="66">
                  <c:v>3.9147110000000001</c:v>
                </c:pt>
                <c:pt idx="67">
                  <c:v>3.8515730000000001</c:v>
                </c:pt>
                <c:pt idx="68">
                  <c:v>3.8185889999999998</c:v>
                </c:pt>
                <c:pt idx="69">
                  <c:v>3.7131750000000001</c:v>
                </c:pt>
                <c:pt idx="70">
                  <c:v>3.7079010000000001</c:v>
                </c:pt>
                <c:pt idx="71">
                  <c:v>3.686436</c:v>
                </c:pt>
                <c:pt idx="72">
                  <c:v>3.4868809999999999</c:v>
                </c:pt>
                <c:pt idx="73">
                  <c:v>3.450793</c:v>
                </c:pt>
                <c:pt idx="74">
                  <c:v>3.401319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EA-4AA8-97E1-5A094B50CBB5}"/>
            </c:ext>
          </c:extLst>
        </c:ser>
        <c:ser>
          <c:idx val="6"/>
          <c:order val="6"/>
          <c:tx>
            <c:v>Lower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'CEA Limits'!$B$2:$B$77</c:f>
              <c:numCache>
                <c:formatCode>General</c:formatCode>
                <c:ptCount val="76"/>
                <c:pt idx="0">
                  <c:v>0</c:v>
                </c:pt>
                <c:pt idx="1">
                  <c:v>9</c:v>
                </c:pt>
                <c:pt idx="2">
                  <c:v>12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45</c:v>
                </c:pt>
                <c:pt idx="7">
                  <c:v>48</c:v>
                </c:pt>
                <c:pt idx="8">
                  <c:v>54</c:v>
                </c:pt>
                <c:pt idx="9">
                  <c:v>58</c:v>
                </c:pt>
                <c:pt idx="10">
                  <c:v>62</c:v>
                </c:pt>
                <c:pt idx="11">
                  <c:v>64</c:v>
                </c:pt>
                <c:pt idx="12">
                  <c:v>67</c:v>
                </c:pt>
                <c:pt idx="13">
                  <c:v>68</c:v>
                </c:pt>
                <c:pt idx="14">
                  <c:v>79</c:v>
                </c:pt>
                <c:pt idx="15">
                  <c:v>80</c:v>
                </c:pt>
                <c:pt idx="16">
                  <c:v>85</c:v>
                </c:pt>
                <c:pt idx="17">
                  <c:v>89</c:v>
                </c:pt>
                <c:pt idx="18">
                  <c:v>90</c:v>
                </c:pt>
                <c:pt idx="19">
                  <c:v>95</c:v>
                </c:pt>
                <c:pt idx="20">
                  <c:v>101</c:v>
                </c:pt>
                <c:pt idx="21">
                  <c:v>103</c:v>
                </c:pt>
                <c:pt idx="22">
                  <c:v>104</c:v>
                </c:pt>
                <c:pt idx="23">
                  <c:v>105</c:v>
                </c:pt>
                <c:pt idx="24">
                  <c:v>111</c:v>
                </c:pt>
                <c:pt idx="25">
                  <c:v>112</c:v>
                </c:pt>
                <c:pt idx="26">
                  <c:v>114</c:v>
                </c:pt>
                <c:pt idx="27">
                  <c:v>121</c:v>
                </c:pt>
                <c:pt idx="28">
                  <c:v>122</c:v>
                </c:pt>
                <c:pt idx="29">
                  <c:v>125</c:v>
                </c:pt>
                <c:pt idx="30">
                  <c:v>126</c:v>
                </c:pt>
                <c:pt idx="31">
                  <c:v>128</c:v>
                </c:pt>
                <c:pt idx="32">
                  <c:v>131</c:v>
                </c:pt>
                <c:pt idx="33">
                  <c:v>132</c:v>
                </c:pt>
                <c:pt idx="34">
                  <c:v>133</c:v>
                </c:pt>
                <c:pt idx="35">
                  <c:v>134</c:v>
                </c:pt>
                <c:pt idx="36">
                  <c:v>135</c:v>
                </c:pt>
                <c:pt idx="37">
                  <c:v>139</c:v>
                </c:pt>
                <c:pt idx="38">
                  <c:v>140</c:v>
                </c:pt>
                <c:pt idx="39">
                  <c:v>142</c:v>
                </c:pt>
                <c:pt idx="40">
                  <c:v>143</c:v>
                </c:pt>
                <c:pt idx="41">
                  <c:v>144</c:v>
                </c:pt>
                <c:pt idx="42">
                  <c:v>147</c:v>
                </c:pt>
                <c:pt idx="43">
                  <c:v>152</c:v>
                </c:pt>
                <c:pt idx="44">
                  <c:v>154</c:v>
                </c:pt>
                <c:pt idx="45">
                  <c:v>156</c:v>
                </c:pt>
                <c:pt idx="46">
                  <c:v>165</c:v>
                </c:pt>
                <c:pt idx="47">
                  <c:v>172</c:v>
                </c:pt>
                <c:pt idx="48">
                  <c:v>177</c:v>
                </c:pt>
                <c:pt idx="49">
                  <c:v>180</c:v>
                </c:pt>
                <c:pt idx="50">
                  <c:v>181</c:v>
                </c:pt>
                <c:pt idx="51">
                  <c:v>183</c:v>
                </c:pt>
                <c:pt idx="52">
                  <c:v>186</c:v>
                </c:pt>
                <c:pt idx="53">
                  <c:v>190</c:v>
                </c:pt>
                <c:pt idx="54">
                  <c:v>203</c:v>
                </c:pt>
                <c:pt idx="55">
                  <c:v>209</c:v>
                </c:pt>
                <c:pt idx="56">
                  <c:v>222</c:v>
                </c:pt>
                <c:pt idx="57">
                  <c:v>230</c:v>
                </c:pt>
                <c:pt idx="58">
                  <c:v>235</c:v>
                </c:pt>
                <c:pt idx="59">
                  <c:v>242</c:v>
                </c:pt>
                <c:pt idx="60">
                  <c:v>244</c:v>
                </c:pt>
                <c:pt idx="61">
                  <c:v>250</c:v>
                </c:pt>
                <c:pt idx="62">
                  <c:v>256</c:v>
                </c:pt>
                <c:pt idx="63">
                  <c:v>263</c:v>
                </c:pt>
                <c:pt idx="64">
                  <c:v>266</c:v>
                </c:pt>
                <c:pt idx="65">
                  <c:v>271</c:v>
                </c:pt>
                <c:pt idx="66">
                  <c:v>272</c:v>
                </c:pt>
                <c:pt idx="67">
                  <c:v>283</c:v>
                </c:pt>
                <c:pt idx="68">
                  <c:v>290</c:v>
                </c:pt>
                <c:pt idx="69">
                  <c:v>321</c:v>
                </c:pt>
                <c:pt idx="70">
                  <c:v>322</c:v>
                </c:pt>
                <c:pt idx="71">
                  <c:v>332</c:v>
                </c:pt>
                <c:pt idx="72">
                  <c:v>409</c:v>
                </c:pt>
                <c:pt idx="73">
                  <c:v>427</c:v>
                </c:pt>
                <c:pt idx="74">
                  <c:v>453</c:v>
                </c:pt>
                <c:pt idx="75">
                  <c:v>475</c:v>
                </c:pt>
              </c:numCache>
            </c:numRef>
          </c:xVal>
          <c:yVal>
            <c:numRef>
              <c:f>'CEA Limits'!$G$2:$G$77</c:f>
              <c:numCache>
                <c:formatCode>General</c:formatCode>
                <c:ptCount val="76"/>
                <c:pt idx="54">
                  <c:v>3.5156399999999997E-2</c:v>
                </c:pt>
                <c:pt idx="55">
                  <c:v>5.16883E-2</c:v>
                </c:pt>
                <c:pt idx="56">
                  <c:v>8.8667800000000005E-2</c:v>
                </c:pt>
                <c:pt idx="57">
                  <c:v>0.1126795</c:v>
                </c:pt>
                <c:pt idx="58">
                  <c:v>0.12834719999999999</c:v>
                </c:pt>
                <c:pt idx="59">
                  <c:v>0.1513148</c:v>
                </c:pt>
                <c:pt idx="60">
                  <c:v>0.15812609999999999</c:v>
                </c:pt>
                <c:pt idx="61">
                  <c:v>0.17930670000000001</c:v>
                </c:pt>
                <c:pt idx="62">
                  <c:v>0.20172799999999999</c:v>
                </c:pt>
                <c:pt idx="63">
                  <c:v>0.22967209999999999</c:v>
                </c:pt>
                <c:pt idx="64">
                  <c:v>0.24230099999999999</c:v>
                </c:pt>
                <c:pt idx="65">
                  <c:v>0.2643047</c:v>
                </c:pt>
                <c:pt idx="66">
                  <c:v>0.26885680000000001</c:v>
                </c:pt>
                <c:pt idx="67">
                  <c:v>0.32261420000000002</c:v>
                </c:pt>
                <c:pt idx="68">
                  <c:v>0.35045189999999998</c:v>
                </c:pt>
                <c:pt idx="69">
                  <c:v>0.39658169999999998</c:v>
                </c:pt>
                <c:pt idx="70">
                  <c:v>0.39840330000000002</c:v>
                </c:pt>
                <c:pt idx="71">
                  <c:v>0.41805179999999997</c:v>
                </c:pt>
                <c:pt idx="72">
                  <c:v>0.57183459999999997</c:v>
                </c:pt>
                <c:pt idx="73">
                  <c:v>0.60086430000000002</c:v>
                </c:pt>
                <c:pt idx="74">
                  <c:v>0.6607035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EA-4AA8-97E1-5A094B50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47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30 day deaths/strokes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National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cat>
          <c:val>
            <c:numRef>
              <c:f>'CEA Summary'!$F$30:$H$30</c:f>
              <c:numCache>
                <c:formatCode>0%</c:formatCode>
                <c:ptCount val="3"/>
                <c:pt idx="0">
                  <c:v>0.72</c:v>
                </c:pt>
                <c:pt idx="1">
                  <c:v>0.51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807-8B71-0B15A9C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389960"/>
        <c:axId val="406391600"/>
      </c:barChart>
      <c:scatterChart>
        <c:scatterStyle val="lineMarker"/>
        <c:varyColors val="0"/>
        <c:ser>
          <c:idx val="0"/>
          <c:order val="0"/>
          <c:tx>
            <c:strRef>
              <c:f>'CEA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'CEA Summary'!$F$28:$H$28</c:f>
              <c:strCache>
                <c:ptCount val="3"/>
                <c:pt idx="0">
                  <c:v>Patients referred within 7 days of symptom</c:v>
                </c:pt>
                <c:pt idx="1">
                  <c:v>Patients receiving surgery within 7 days of referral</c:v>
                </c:pt>
                <c:pt idx="2">
                  <c:v>Patients receiving surgery within 14 days of symptom</c:v>
                </c:pt>
              </c:strCache>
            </c:strRef>
          </c:xVal>
          <c:yVal>
            <c:numRef>
              <c:f>'CEA Summary'!$F$29:$H$29</c:f>
              <c:numCache>
                <c:formatCode>0%</c:formatCode>
                <c:ptCount val="3"/>
                <c:pt idx="0">
                  <c:v>0.67</c:v>
                </c:pt>
                <c:pt idx="1">
                  <c:v>0.57999999999999996</c:v>
                </c:pt>
                <c:pt idx="2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9D-4807-8B71-0B15A9C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389960"/>
        <c:axId val="406391600"/>
      </c:scatterChart>
      <c:catAx>
        <c:axId val="40638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91600"/>
        <c:crosses val="autoZero"/>
        <c:auto val="1"/>
        <c:lblAlgn val="ctr"/>
        <c:lblOffset val="100"/>
        <c:noMultiLvlLbl val="0"/>
      </c:catAx>
      <c:valAx>
        <c:axId val="4063916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38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'AAA Funnel'!$C$1</c:f>
              <c:strCache>
                <c:ptCount val="1"/>
                <c:pt idx="0">
                  <c:v>Mortality 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'AAA Funnel'!$B$2:$B$76</c:f>
              <c:numCache>
                <c:formatCode>General</c:formatCode>
                <c:ptCount val="75"/>
                <c:pt idx="0">
                  <c:v>114</c:v>
                </c:pt>
                <c:pt idx="1">
                  <c:v>179</c:v>
                </c:pt>
                <c:pt idx="2">
                  <c:v>94</c:v>
                </c:pt>
                <c:pt idx="3">
                  <c:v>56</c:v>
                </c:pt>
                <c:pt idx="4">
                  <c:v>133</c:v>
                </c:pt>
                <c:pt idx="5">
                  <c:v>306</c:v>
                </c:pt>
                <c:pt idx="6">
                  <c:v>98</c:v>
                </c:pt>
                <c:pt idx="7">
                  <c:v>80</c:v>
                </c:pt>
                <c:pt idx="8">
                  <c:v>73</c:v>
                </c:pt>
                <c:pt idx="9">
                  <c:v>90</c:v>
                </c:pt>
                <c:pt idx="10">
                  <c:v>106</c:v>
                </c:pt>
                <c:pt idx="11">
                  <c:v>146</c:v>
                </c:pt>
                <c:pt idx="12">
                  <c:v>190</c:v>
                </c:pt>
                <c:pt idx="13">
                  <c:v>195</c:v>
                </c:pt>
                <c:pt idx="14">
                  <c:v>169</c:v>
                </c:pt>
                <c:pt idx="15">
                  <c:v>93</c:v>
                </c:pt>
                <c:pt idx="16">
                  <c:v>188</c:v>
                </c:pt>
                <c:pt idx="17">
                  <c:v>190</c:v>
                </c:pt>
                <c:pt idx="18">
                  <c:v>184</c:v>
                </c:pt>
                <c:pt idx="19">
                  <c:v>86</c:v>
                </c:pt>
                <c:pt idx="20">
                  <c:v>256</c:v>
                </c:pt>
                <c:pt idx="21">
                  <c:v>89</c:v>
                </c:pt>
                <c:pt idx="22">
                  <c:v>340</c:v>
                </c:pt>
                <c:pt idx="23">
                  <c:v>79</c:v>
                </c:pt>
                <c:pt idx="24">
                  <c:v>270</c:v>
                </c:pt>
                <c:pt idx="25">
                  <c:v>118</c:v>
                </c:pt>
                <c:pt idx="26">
                  <c:v>314</c:v>
                </c:pt>
                <c:pt idx="27">
                  <c:v>235</c:v>
                </c:pt>
                <c:pt idx="28">
                  <c:v>362</c:v>
                </c:pt>
                <c:pt idx="29">
                  <c:v>226</c:v>
                </c:pt>
                <c:pt idx="30">
                  <c:v>16</c:v>
                </c:pt>
                <c:pt idx="31">
                  <c:v>110</c:v>
                </c:pt>
                <c:pt idx="32">
                  <c:v>133</c:v>
                </c:pt>
                <c:pt idx="33">
                  <c:v>101</c:v>
                </c:pt>
                <c:pt idx="34">
                  <c:v>252</c:v>
                </c:pt>
                <c:pt idx="35">
                  <c:v>200</c:v>
                </c:pt>
                <c:pt idx="36">
                  <c:v>107</c:v>
                </c:pt>
                <c:pt idx="37">
                  <c:v>119</c:v>
                </c:pt>
                <c:pt idx="38">
                  <c:v>116</c:v>
                </c:pt>
                <c:pt idx="39">
                  <c:v>65</c:v>
                </c:pt>
                <c:pt idx="40">
                  <c:v>96</c:v>
                </c:pt>
                <c:pt idx="41">
                  <c:v>65</c:v>
                </c:pt>
                <c:pt idx="42">
                  <c:v>182</c:v>
                </c:pt>
                <c:pt idx="43">
                  <c:v>259</c:v>
                </c:pt>
                <c:pt idx="44">
                  <c:v>18</c:v>
                </c:pt>
                <c:pt idx="45">
                  <c:v>204</c:v>
                </c:pt>
                <c:pt idx="46">
                  <c:v>175</c:v>
                </c:pt>
                <c:pt idx="47">
                  <c:v>200</c:v>
                </c:pt>
                <c:pt idx="48">
                  <c:v>266</c:v>
                </c:pt>
                <c:pt idx="49">
                  <c:v>104</c:v>
                </c:pt>
                <c:pt idx="50">
                  <c:v>131</c:v>
                </c:pt>
                <c:pt idx="51">
                  <c:v>180</c:v>
                </c:pt>
                <c:pt idx="52">
                  <c:v>187</c:v>
                </c:pt>
                <c:pt idx="53">
                  <c:v>164</c:v>
                </c:pt>
                <c:pt idx="54">
                  <c:v>168</c:v>
                </c:pt>
                <c:pt idx="55">
                  <c:v>98</c:v>
                </c:pt>
                <c:pt idx="56">
                  <c:v>172</c:v>
                </c:pt>
                <c:pt idx="57">
                  <c:v>130</c:v>
                </c:pt>
                <c:pt idx="58">
                  <c:v>73</c:v>
                </c:pt>
                <c:pt idx="59">
                  <c:v>219</c:v>
                </c:pt>
                <c:pt idx="60">
                  <c:v>65</c:v>
                </c:pt>
                <c:pt idx="61">
                  <c:v>171</c:v>
                </c:pt>
                <c:pt idx="62">
                  <c:v>214</c:v>
                </c:pt>
                <c:pt idx="63">
                  <c:v>220</c:v>
                </c:pt>
                <c:pt idx="64">
                  <c:v>113</c:v>
                </c:pt>
                <c:pt idx="65">
                  <c:v>108</c:v>
                </c:pt>
                <c:pt idx="66">
                  <c:v>104</c:v>
                </c:pt>
                <c:pt idx="67">
                  <c:v>24</c:v>
                </c:pt>
                <c:pt idx="68">
                  <c:v>186</c:v>
                </c:pt>
                <c:pt idx="69">
                  <c:v>55</c:v>
                </c:pt>
                <c:pt idx="70">
                  <c:v>138</c:v>
                </c:pt>
                <c:pt idx="71">
                  <c:v>56</c:v>
                </c:pt>
                <c:pt idx="72">
                  <c:v>150</c:v>
                </c:pt>
                <c:pt idx="73">
                  <c:v>57</c:v>
                </c:pt>
                <c:pt idx="74">
                  <c:v>343</c:v>
                </c:pt>
              </c:numCache>
            </c:numRef>
          </c:xVal>
          <c:yVal>
            <c:numRef>
              <c:f>'AAA Funnel'!$C$2:$C$76</c:f>
              <c:numCache>
                <c:formatCode>General</c:formatCode>
                <c:ptCount val="75"/>
                <c:pt idx="0">
                  <c:v>0.9</c:v>
                </c:pt>
                <c:pt idx="1">
                  <c:v>3.8</c:v>
                </c:pt>
                <c:pt idx="2">
                  <c:v>5.6</c:v>
                </c:pt>
                <c:pt idx="3">
                  <c:v>1.8</c:v>
                </c:pt>
                <c:pt idx="4">
                  <c:v>1.6</c:v>
                </c:pt>
                <c:pt idx="5">
                  <c:v>0.7</c:v>
                </c:pt>
                <c:pt idx="6">
                  <c:v>4.5999999999999996</c:v>
                </c:pt>
                <c:pt idx="7">
                  <c:v>1.2</c:v>
                </c:pt>
                <c:pt idx="8">
                  <c:v>0</c:v>
                </c:pt>
                <c:pt idx="9">
                  <c:v>1.1000000000000001</c:v>
                </c:pt>
                <c:pt idx="10">
                  <c:v>2.2000000000000002</c:v>
                </c:pt>
                <c:pt idx="11">
                  <c:v>0</c:v>
                </c:pt>
                <c:pt idx="12">
                  <c:v>1.6</c:v>
                </c:pt>
                <c:pt idx="13">
                  <c:v>1.5</c:v>
                </c:pt>
                <c:pt idx="14">
                  <c:v>1.8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2.8</c:v>
                </c:pt>
                <c:pt idx="18">
                  <c:v>2.8</c:v>
                </c:pt>
                <c:pt idx="19">
                  <c:v>1.2</c:v>
                </c:pt>
                <c:pt idx="20">
                  <c:v>1.1000000000000001</c:v>
                </c:pt>
                <c:pt idx="21">
                  <c:v>1.2</c:v>
                </c:pt>
                <c:pt idx="22">
                  <c:v>0.3</c:v>
                </c:pt>
                <c:pt idx="23">
                  <c:v>1.4</c:v>
                </c:pt>
                <c:pt idx="24">
                  <c:v>1.1000000000000001</c:v>
                </c:pt>
                <c:pt idx="25">
                  <c:v>2.5</c:v>
                </c:pt>
                <c:pt idx="26">
                  <c:v>0.3</c:v>
                </c:pt>
                <c:pt idx="27">
                  <c:v>0</c:v>
                </c:pt>
                <c:pt idx="28">
                  <c:v>1.8</c:v>
                </c:pt>
                <c:pt idx="29">
                  <c:v>1.3</c:v>
                </c:pt>
                <c:pt idx="30">
                  <c:v>5.7</c:v>
                </c:pt>
                <c:pt idx="31">
                  <c:v>1.9</c:v>
                </c:pt>
                <c:pt idx="32">
                  <c:v>2.8</c:v>
                </c:pt>
                <c:pt idx="33">
                  <c:v>2.8</c:v>
                </c:pt>
                <c:pt idx="34">
                  <c:v>2.5</c:v>
                </c:pt>
                <c:pt idx="35">
                  <c:v>0</c:v>
                </c:pt>
                <c:pt idx="36">
                  <c:v>3.6</c:v>
                </c:pt>
                <c:pt idx="37">
                  <c:v>2.5</c:v>
                </c:pt>
                <c:pt idx="38">
                  <c:v>0.9</c:v>
                </c:pt>
                <c:pt idx="39">
                  <c:v>1.6</c:v>
                </c:pt>
                <c:pt idx="40">
                  <c:v>3</c:v>
                </c:pt>
                <c:pt idx="41">
                  <c:v>1.7</c:v>
                </c:pt>
                <c:pt idx="42">
                  <c:v>0.6</c:v>
                </c:pt>
                <c:pt idx="43">
                  <c:v>2.2999999999999998</c:v>
                </c:pt>
                <c:pt idx="44">
                  <c:v>0</c:v>
                </c:pt>
                <c:pt idx="45">
                  <c:v>3.1</c:v>
                </c:pt>
                <c:pt idx="46">
                  <c:v>0.6</c:v>
                </c:pt>
                <c:pt idx="47">
                  <c:v>1.9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3.5</c:v>
                </c:pt>
                <c:pt idx="52">
                  <c:v>0.6</c:v>
                </c:pt>
                <c:pt idx="53">
                  <c:v>1.2</c:v>
                </c:pt>
                <c:pt idx="54">
                  <c:v>0</c:v>
                </c:pt>
                <c:pt idx="55">
                  <c:v>3.2</c:v>
                </c:pt>
                <c:pt idx="56">
                  <c:v>0.6</c:v>
                </c:pt>
                <c:pt idx="57">
                  <c:v>1.5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1.2</c:v>
                </c:pt>
                <c:pt idx="62">
                  <c:v>1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0</c:v>
                </c:pt>
                <c:pt idx="70">
                  <c:v>1.4</c:v>
                </c:pt>
                <c:pt idx="71">
                  <c:v>0</c:v>
                </c:pt>
                <c:pt idx="72">
                  <c:v>0.7</c:v>
                </c:pt>
                <c:pt idx="73">
                  <c:v>0</c:v>
                </c:pt>
                <c:pt idx="74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3-4E9D-ADE0-4F5A6DAF54D4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'AAA Limits'!$B$2:$B$73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24</c:v>
                </c:pt>
                <c:pt idx="6">
                  <c:v>26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65</c:v>
                </c:pt>
                <c:pt idx="11">
                  <c:v>73</c:v>
                </c:pt>
                <c:pt idx="12">
                  <c:v>79</c:v>
                </c:pt>
                <c:pt idx="13">
                  <c:v>80</c:v>
                </c:pt>
                <c:pt idx="14">
                  <c:v>86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93</c:v>
                </c:pt>
                <c:pt idx="19">
                  <c:v>94</c:v>
                </c:pt>
                <c:pt idx="20">
                  <c:v>96</c:v>
                </c:pt>
                <c:pt idx="21">
                  <c:v>98</c:v>
                </c:pt>
                <c:pt idx="22">
                  <c:v>101</c:v>
                </c:pt>
                <c:pt idx="23">
                  <c:v>104</c:v>
                </c:pt>
                <c:pt idx="24">
                  <c:v>106</c:v>
                </c:pt>
                <c:pt idx="25">
                  <c:v>107</c:v>
                </c:pt>
                <c:pt idx="26">
                  <c:v>108</c:v>
                </c:pt>
                <c:pt idx="27">
                  <c:v>110</c:v>
                </c:pt>
                <c:pt idx="28">
                  <c:v>113</c:v>
                </c:pt>
                <c:pt idx="29">
                  <c:v>114</c:v>
                </c:pt>
                <c:pt idx="30">
                  <c:v>116</c:v>
                </c:pt>
                <c:pt idx="31">
                  <c:v>118</c:v>
                </c:pt>
                <c:pt idx="32">
                  <c:v>119</c:v>
                </c:pt>
                <c:pt idx="33">
                  <c:v>130</c:v>
                </c:pt>
                <c:pt idx="34">
                  <c:v>131</c:v>
                </c:pt>
                <c:pt idx="35">
                  <c:v>133</c:v>
                </c:pt>
                <c:pt idx="36">
                  <c:v>138</c:v>
                </c:pt>
                <c:pt idx="37">
                  <c:v>146</c:v>
                </c:pt>
                <c:pt idx="38">
                  <c:v>150</c:v>
                </c:pt>
                <c:pt idx="39">
                  <c:v>164</c:v>
                </c:pt>
                <c:pt idx="40">
                  <c:v>168</c:v>
                </c:pt>
                <c:pt idx="41">
                  <c:v>169</c:v>
                </c:pt>
                <c:pt idx="42">
                  <c:v>171</c:v>
                </c:pt>
                <c:pt idx="43">
                  <c:v>172</c:v>
                </c:pt>
                <c:pt idx="44">
                  <c:v>175</c:v>
                </c:pt>
                <c:pt idx="45">
                  <c:v>179</c:v>
                </c:pt>
                <c:pt idx="46">
                  <c:v>180</c:v>
                </c:pt>
                <c:pt idx="47">
                  <c:v>182</c:v>
                </c:pt>
                <c:pt idx="48">
                  <c:v>184</c:v>
                </c:pt>
                <c:pt idx="49">
                  <c:v>186</c:v>
                </c:pt>
                <c:pt idx="50">
                  <c:v>187</c:v>
                </c:pt>
                <c:pt idx="51">
                  <c:v>188</c:v>
                </c:pt>
                <c:pt idx="52">
                  <c:v>190</c:v>
                </c:pt>
                <c:pt idx="53">
                  <c:v>195</c:v>
                </c:pt>
                <c:pt idx="54">
                  <c:v>200</c:v>
                </c:pt>
                <c:pt idx="55">
                  <c:v>204</c:v>
                </c:pt>
                <c:pt idx="56">
                  <c:v>214</c:v>
                </c:pt>
                <c:pt idx="57">
                  <c:v>219</c:v>
                </c:pt>
                <c:pt idx="58">
                  <c:v>220</c:v>
                </c:pt>
                <c:pt idx="59">
                  <c:v>226</c:v>
                </c:pt>
                <c:pt idx="60">
                  <c:v>235</c:v>
                </c:pt>
                <c:pt idx="61">
                  <c:v>252</c:v>
                </c:pt>
                <c:pt idx="62">
                  <c:v>256</c:v>
                </c:pt>
                <c:pt idx="63">
                  <c:v>259</c:v>
                </c:pt>
                <c:pt idx="64">
                  <c:v>266</c:v>
                </c:pt>
                <c:pt idx="65">
                  <c:v>270</c:v>
                </c:pt>
                <c:pt idx="66">
                  <c:v>306</c:v>
                </c:pt>
                <c:pt idx="67">
                  <c:v>314</c:v>
                </c:pt>
                <c:pt idx="68">
                  <c:v>340</c:v>
                </c:pt>
                <c:pt idx="69">
                  <c:v>343</c:v>
                </c:pt>
                <c:pt idx="70">
                  <c:v>362</c:v>
                </c:pt>
                <c:pt idx="71">
                  <c:v>375</c:v>
                </c:pt>
              </c:numCache>
            </c:numRef>
          </c:xVal>
          <c:yVal>
            <c:numRef>
              <c:f>'AAA Limits'!$D$2:$D$73</c:f>
              <c:numCache>
                <c:formatCode>General</c:formatCode>
                <c:ptCount val="72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1.4</c:v>
                </c:pt>
                <c:pt idx="29">
                  <c:v>1.4</c:v>
                </c:pt>
                <c:pt idx="30">
                  <c:v>1.4</c:v>
                </c:pt>
                <c:pt idx="31">
                  <c:v>1.4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1.4</c:v>
                </c:pt>
                <c:pt idx="39">
                  <c:v>1.4</c:v>
                </c:pt>
                <c:pt idx="40">
                  <c:v>1.4</c:v>
                </c:pt>
                <c:pt idx="41">
                  <c:v>1.4</c:v>
                </c:pt>
                <c:pt idx="42">
                  <c:v>1.4</c:v>
                </c:pt>
                <c:pt idx="43">
                  <c:v>1.4</c:v>
                </c:pt>
                <c:pt idx="44">
                  <c:v>1.4</c:v>
                </c:pt>
                <c:pt idx="45">
                  <c:v>1.4</c:v>
                </c:pt>
                <c:pt idx="46">
                  <c:v>1.4</c:v>
                </c:pt>
                <c:pt idx="47">
                  <c:v>1.4</c:v>
                </c:pt>
                <c:pt idx="48">
                  <c:v>1.4</c:v>
                </c:pt>
                <c:pt idx="49">
                  <c:v>1.4</c:v>
                </c:pt>
                <c:pt idx="50">
                  <c:v>1.4</c:v>
                </c:pt>
                <c:pt idx="51">
                  <c:v>1.4</c:v>
                </c:pt>
                <c:pt idx="52">
                  <c:v>1.4</c:v>
                </c:pt>
                <c:pt idx="53">
                  <c:v>1.4</c:v>
                </c:pt>
                <c:pt idx="54">
                  <c:v>1.4</c:v>
                </c:pt>
                <c:pt idx="55">
                  <c:v>1.4</c:v>
                </c:pt>
                <c:pt idx="56">
                  <c:v>1.4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1.4</c:v>
                </c:pt>
                <c:pt idx="66">
                  <c:v>1.4</c:v>
                </c:pt>
                <c:pt idx="67">
                  <c:v>1.4</c:v>
                </c:pt>
                <c:pt idx="68">
                  <c:v>1.4</c:v>
                </c:pt>
                <c:pt idx="69">
                  <c:v>1.4</c:v>
                </c:pt>
                <c:pt idx="70">
                  <c:v>1.4</c:v>
                </c:pt>
                <c:pt idx="71">
                  <c:v>1.4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3-4E9D-ADE0-4F5A6DAF54D4}"/>
            </c:ext>
          </c:extLst>
        </c:ser>
        <c:ser>
          <c:idx val="2"/>
          <c:order val="2"/>
          <c:tx>
            <c:v>Upper 99.8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'AAA Limits'!$B$2:$B$73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24</c:v>
                </c:pt>
                <c:pt idx="6">
                  <c:v>26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65</c:v>
                </c:pt>
                <c:pt idx="11">
                  <c:v>73</c:v>
                </c:pt>
                <c:pt idx="12">
                  <c:v>79</c:v>
                </c:pt>
                <c:pt idx="13">
                  <c:v>80</c:v>
                </c:pt>
                <c:pt idx="14">
                  <c:v>86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93</c:v>
                </c:pt>
                <c:pt idx="19">
                  <c:v>94</c:v>
                </c:pt>
                <c:pt idx="20">
                  <c:v>96</c:v>
                </c:pt>
                <c:pt idx="21">
                  <c:v>98</c:v>
                </c:pt>
                <c:pt idx="22">
                  <c:v>101</c:v>
                </c:pt>
                <c:pt idx="23">
                  <c:v>104</c:v>
                </c:pt>
                <c:pt idx="24">
                  <c:v>106</c:v>
                </c:pt>
                <c:pt idx="25">
                  <c:v>107</c:v>
                </c:pt>
                <c:pt idx="26">
                  <c:v>108</c:v>
                </c:pt>
                <c:pt idx="27">
                  <c:v>110</c:v>
                </c:pt>
                <c:pt idx="28">
                  <c:v>113</c:v>
                </c:pt>
                <c:pt idx="29">
                  <c:v>114</c:v>
                </c:pt>
                <c:pt idx="30">
                  <c:v>116</c:v>
                </c:pt>
                <c:pt idx="31">
                  <c:v>118</c:v>
                </c:pt>
                <c:pt idx="32">
                  <c:v>119</c:v>
                </c:pt>
                <c:pt idx="33">
                  <c:v>130</c:v>
                </c:pt>
                <c:pt idx="34">
                  <c:v>131</c:v>
                </c:pt>
                <c:pt idx="35">
                  <c:v>133</c:v>
                </c:pt>
                <c:pt idx="36">
                  <c:v>138</c:v>
                </c:pt>
                <c:pt idx="37">
                  <c:v>146</c:v>
                </c:pt>
                <c:pt idx="38">
                  <c:v>150</c:v>
                </c:pt>
                <c:pt idx="39">
                  <c:v>164</c:v>
                </c:pt>
                <c:pt idx="40">
                  <c:v>168</c:v>
                </c:pt>
                <c:pt idx="41">
                  <c:v>169</c:v>
                </c:pt>
                <c:pt idx="42">
                  <c:v>171</c:v>
                </c:pt>
                <c:pt idx="43">
                  <c:v>172</c:v>
                </c:pt>
                <c:pt idx="44">
                  <c:v>175</c:v>
                </c:pt>
                <c:pt idx="45">
                  <c:v>179</c:v>
                </c:pt>
                <c:pt idx="46">
                  <c:v>180</c:v>
                </c:pt>
                <c:pt idx="47">
                  <c:v>182</c:v>
                </c:pt>
                <c:pt idx="48">
                  <c:v>184</c:v>
                </c:pt>
                <c:pt idx="49">
                  <c:v>186</c:v>
                </c:pt>
                <c:pt idx="50">
                  <c:v>187</c:v>
                </c:pt>
                <c:pt idx="51">
                  <c:v>188</c:v>
                </c:pt>
                <c:pt idx="52">
                  <c:v>190</c:v>
                </c:pt>
                <c:pt idx="53">
                  <c:v>195</c:v>
                </c:pt>
                <c:pt idx="54">
                  <c:v>200</c:v>
                </c:pt>
                <c:pt idx="55">
                  <c:v>204</c:v>
                </c:pt>
                <c:pt idx="56">
                  <c:v>214</c:v>
                </c:pt>
                <c:pt idx="57">
                  <c:v>219</c:v>
                </c:pt>
                <c:pt idx="58">
                  <c:v>220</c:v>
                </c:pt>
                <c:pt idx="59">
                  <c:v>226</c:v>
                </c:pt>
                <c:pt idx="60">
                  <c:v>235</c:v>
                </c:pt>
                <c:pt idx="61">
                  <c:v>252</c:v>
                </c:pt>
                <c:pt idx="62">
                  <c:v>256</c:v>
                </c:pt>
                <c:pt idx="63">
                  <c:v>259</c:v>
                </c:pt>
                <c:pt idx="64">
                  <c:v>266</c:v>
                </c:pt>
                <c:pt idx="65">
                  <c:v>270</c:v>
                </c:pt>
                <c:pt idx="66">
                  <c:v>306</c:v>
                </c:pt>
                <c:pt idx="67">
                  <c:v>314</c:v>
                </c:pt>
                <c:pt idx="68">
                  <c:v>340</c:v>
                </c:pt>
                <c:pt idx="69">
                  <c:v>343</c:v>
                </c:pt>
                <c:pt idx="70">
                  <c:v>362</c:v>
                </c:pt>
                <c:pt idx="71">
                  <c:v>375</c:v>
                </c:pt>
              </c:numCache>
            </c:numRef>
          </c:xVal>
          <c:yVal>
            <c:numRef>
              <c:f>'AAA Limits'!$C$2:$C$73</c:f>
              <c:numCache>
                <c:formatCode>General</c:formatCode>
                <c:ptCount val="72"/>
                <c:pt idx="0">
                  <c:v>50</c:v>
                </c:pt>
                <c:pt idx="1">
                  <c:v>49.369959999999999</c:v>
                </c:pt>
                <c:pt idx="2">
                  <c:v>20.400890000000004</c:v>
                </c:pt>
                <c:pt idx="3">
                  <c:v>20.231520000000003</c:v>
                </c:pt>
                <c:pt idx="4">
                  <c:v>19.350309999999993</c:v>
                </c:pt>
                <c:pt idx="5">
                  <c:v>15.947379999999995</c:v>
                </c:pt>
                <c:pt idx="6">
                  <c:v>14.94341</c:v>
                </c:pt>
                <c:pt idx="7">
                  <c:v>9.0875680000000045</c:v>
                </c:pt>
                <c:pt idx="8">
                  <c:v>9.0668189999999953</c:v>
                </c:pt>
                <c:pt idx="9">
                  <c:v>9.0514689999999973</c:v>
                </c:pt>
                <c:pt idx="10">
                  <c:v>8.6241509999999977</c:v>
                </c:pt>
                <c:pt idx="11">
                  <c:v>8.0041980000000024</c:v>
                </c:pt>
                <c:pt idx="12">
                  <c:v>7.5386139999999955</c:v>
                </c:pt>
                <c:pt idx="13">
                  <c:v>7.4635530000000045</c:v>
                </c:pt>
                <c:pt idx="14">
                  <c:v>7.2757799999999975</c:v>
                </c:pt>
                <c:pt idx="15">
                  <c:v>7.230401999999998</c:v>
                </c:pt>
                <c:pt idx="16">
                  <c:v>7.2027599999999978</c:v>
                </c:pt>
                <c:pt idx="17">
                  <c:v>7.1723659999999967</c:v>
                </c:pt>
                <c:pt idx="18">
                  <c:v>7.0680399999999963</c:v>
                </c:pt>
                <c:pt idx="19">
                  <c:v>7.0298279999999949</c:v>
                </c:pt>
                <c:pt idx="20">
                  <c:v>6.9496359999999981</c:v>
                </c:pt>
                <c:pt idx="21">
                  <c:v>6.8656469999999956</c:v>
                </c:pt>
                <c:pt idx="22">
                  <c:v>6.7351110000000034</c:v>
                </c:pt>
                <c:pt idx="23">
                  <c:v>6.6017669999999953</c:v>
                </c:pt>
                <c:pt idx="24">
                  <c:v>6.5124179999999967</c:v>
                </c:pt>
                <c:pt idx="25">
                  <c:v>6.4677980000000019</c:v>
                </c:pt>
                <c:pt idx="26">
                  <c:v>6.4232820000000004</c:v>
                </c:pt>
                <c:pt idx="27">
                  <c:v>6.3347370000000041</c:v>
                </c:pt>
                <c:pt idx="28">
                  <c:v>6.2365350000000035</c:v>
                </c:pt>
                <c:pt idx="29">
                  <c:v>6.2336899999999957</c:v>
                </c:pt>
                <c:pt idx="30">
                  <c:v>6.2197359999999975</c:v>
                </c:pt>
                <c:pt idx="31">
                  <c:v>6.1964470000000063</c:v>
                </c:pt>
                <c:pt idx="32">
                  <c:v>6.1818509999999947</c:v>
                </c:pt>
                <c:pt idx="33">
                  <c:v>5.9391470000000055</c:v>
                </c:pt>
                <c:pt idx="34">
                  <c:v>5.9124970000000019</c:v>
                </c:pt>
                <c:pt idx="35">
                  <c:v>5.8580060000000032</c:v>
                </c:pt>
                <c:pt idx="36">
                  <c:v>5.7171960000000013</c:v>
                </c:pt>
                <c:pt idx="37">
                  <c:v>5.5131839999999954</c:v>
                </c:pt>
                <c:pt idx="38">
                  <c:v>5.4963139999999981</c:v>
                </c:pt>
                <c:pt idx="39">
                  <c:v>5.3082490000000035</c:v>
                </c:pt>
                <c:pt idx="40">
                  <c:v>5.2351249999999965</c:v>
                </c:pt>
                <c:pt idx="41">
                  <c:v>5.2161720000000003</c:v>
                </c:pt>
                <c:pt idx="42">
                  <c:v>5.1776559999999989</c:v>
                </c:pt>
                <c:pt idx="43">
                  <c:v>5.1581410000000005</c:v>
                </c:pt>
                <c:pt idx="44">
                  <c:v>5.0988289999999949</c:v>
                </c:pt>
                <c:pt idx="45">
                  <c:v>5.0186199999999985</c:v>
                </c:pt>
                <c:pt idx="46">
                  <c:v>4.9984680000000026</c:v>
                </c:pt>
                <c:pt idx="47">
                  <c:v>4.9933070000000015</c:v>
                </c:pt>
                <c:pt idx="48">
                  <c:v>4.9880449999999996</c:v>
                </c:pt>
                <c:pt idx="49">
                  <c:v>4.9790480000000059</c:v>
                </c:pt>
                <c:pt idx="50">
                  <c:v>4.9733030000000014</c:v>
                </c:pt>
                <c:pt idx="51">
                  <c:v>4.9668029999999987</c:v>
                </c:pt>
                <c:pt idx="52">
                  <c:v>4.9517349999999993</c:v>
                </c:pt>
                <c:pt idx="53">
                  <c:v>4.9040739999999943</c:v>
                </c:pt>
                <c:pt idx="54">
                  <c:v>4.8457310000000007</c:v>
                </c:pt>
                <c:pt idx="55">
                  <c:v>4.7937179999999984</c:v>
                </c:pt>
                <c:pt idx="56">
                  <c:v>4.651527999999999</c:v>
                </c:pt>
                <c:pt idx="57">
                  <c:v>4.6032440000000037</c:v>
                </c:pt>
                <c:pt idx="58">
                  <c:v>4.6017989999999998</c:v>
                </c:pt>
                <c:pt idx="59">
                  <c:v>4.5799669999999963</c:v>
                </c:pt>
                <c:pt idx="60">
                  <c:v>4.5162739999999957</c:v>
                </c:pt>
                <c:pt idx="61">
                  <c:v>4.3431530000000009</c:v>
                </c:pt>
                <c:pt idx="62">
                  <c:v>4.299443999999994</c:v>
                </c:pt>
                <c:pt idx="63">
                  <c:v>4.297386000000003</c:v>
                </c:pt>
                <c:pt idx="64">
                  <c:v>4.2765050000000002</c:v>
                </c:pt>
                <c:pt idx="65">
                  <c:v>4.2566960000000051</c:v>
                </c:pt>
                <c:pt idx="66">
                  <c:v>4.0380300000000062</c:v>
                </c:pt>
                <c:pt idx="67">
                  <c:v>4.0044479999999965</c:v>
                </c:pt>
                <c:pt idx="68">
                  <c:v>3.8535459999999944</c:v>
                </c:pt>
                <c:pt idx="69">
                  <c:v>3.8501449999999977</c:v>
                </c:pt>
                <c:pt idx="70">
                  <c:v>3.7853199999999987</c:v>
                </c:pt>
                <c:pt idx="71">
                  <c:v>3.715059999999994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23-4E9D-ADE0-4F5A6DAF54D4}"/>
            </c:ext>
          </c:extLst>
        </c:ser>
        <c:ser>
          <c:idx val="3"/>
          <c:order val="3"/>
          <c:tx>
            <c:strRef>
              <c:f>'AAA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'AAA Summary'!$AL$2</c:f>
              <c:numCache>
                <c:formatCode>General</c:formatCode>
                <c:ptCount val="1"/>
                <c:pt idx="0">
                  <c:v>133</c:v>
                </c:pt>
              </c:numCache>
            </c:numRef>
          </c:xVal>
          <c:yVal>
            <c:numRef>
              <c:f>'AAA Summary'!$AM$2</c:f>
              <c:numCache>
                <c:formatCode>General</c:formatCode>
                <c:ptCount val="1"/>
                <c:pt idx="0">
                  <c:v>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23-4E9D-ADE0-4F5A6DAF54D4}"/>
            </c:ext>
          </c:extLst>
        </c:ser>
        <c:ser>
          <c:idx val="4"/>
          <c:order val="4"/>
          <c:tx>
            <c:v>Upper 95 Funnel Limit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'AAA Limits'!$B$2:$B$73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24</c:v>
                </c:pt>
                <c:pt idx="6">
                  <c:v>26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65</c:v>
                </c:pt>
                <c:pt idx="11">
                  <c:v>73</c:v>
                </c:pt>
                <c:pt idx="12">
                  <c:v>79</c:v>
                </c:pt>
                <c:pt idx="13">
                  <c:v>80</c:v>
                </c:pt>
                <c:pt idx="14">
                  <c:v>86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93</c:v>
                </c:pt>
                <c:pt idx="19">
                  <c:v>94</c:v>
                </c:pt>
                <c:pt idx="20">
                  <c:v>96</c:v>
                </c:pt>
                <c:pt idx="21">
                  <c:v>98</c:v>
                </c:pt>
                <c:pt idx="22">
                  <c:v>101</c:v>
                </c:pt>
                <c:pt idx="23">
                  <c:v>104</c:v>
                </c:pt>
                <c:pt idx="24">
                  <c:v>106</c:v>
                </c:pt>
                <c:pt idx="25">
                  <c:v>107</c:v>
                </c:pt>
                <c:pt idx="26">
                  <c:v>108</c:v>
                </c:pt>
                <c:pt idx="27">
                  <c:v>110</c:v>
                </c:pt>
                <c:pt idx="28">
                  <c:v>113</c:v>
                </c:pt>
                <c:pt idx="29">
                  <c:v>114</c:v>
                </c:pt>
                <c:pt idx="30">
                  <c:v>116</c:v>
                </c:pt>
                <c:pt idx="31">
                  <c:v>118</c:v>
                </c:pt>
                <c:pt idx="32">
                  <c:v>119</c:v>
                </c:pt>
                <c:pt idx="33">
                  <c:v>130</c:v>
                </c:pt>
                <c:pt idx="34">
                  <c:v>131</c:v>
                </c:pt>
                <c:pt idx="35">
                  <c:v>133</c:v>
                </c:pt>
                <c:pt idx="36">
                  <c:v>138</c:v>
                </c:pt>
                <c:pt idx="37">
                  <c:v>146</c:v>
                </c:pt>
                <c:pt idx="38">
                  <c:v>150</c:v>
                </c:pt>
                <c:pt idx="39">
                  <c:v>164</c:v>
                </c:pt>
                <c:pt idx="40">
                  <c:v>168</c:v>
                </c:pt>
                <c:pt idx="41">
                  <c:v>169</c:v>
                </c:pt>
                <c:pt idx="42">
                  <c:v>171</c:v>
                </c:pt>
                <c:pt idx="43">
                  <c:v>172</c:v>
                </c:pt>
                <c:pt idx="44">
                  <c:v>175</c:v>
                </c:pt>
                <c:pt idx="45">
                  <c:v>179</c:v>
                </c:pt>
                <c:pt idx="46">
                  <c:v>180</c:v>
                </c:pt>
                <c:pt idx="47">
                  <c:v>182</c:v>
                </c:pt>
                <c:pt idx="48">
                  <c:v>184</c:v>
                </c:pt>
                <c:pt idx="49">
                  <c:v>186</c:v>
                </c:pt>
                <c:pt idx="50">
                  <c:v>187</c:v>
                </c:pt>
                <c:pt idx="51">
                  <c:v>188</c:v>
                </c:pt>
                <c:pt idx="52">
                  <c:v>190</c:v>
                </c:pt>
                <c:pt idx="53">
                  <c:v>195</c:v>
                </c:pt>
                <c:pt idx="54">
                  <c:v>200</c:v>
                </c:pt>
                <c:pt idx="55">
                  <c:v>204</c:v>
                </c:pt>
                <c:pt idx="56">
                  <c:v>214</c:v>
                </c:pt>
                <c:pt idx="57">
                  <c:v>219</c:v>
                </c:pt>
                <c:pt idx="58">
                  <c:v>220</c:v>
                </c:pt>
                <c:pt idx="59">
                  <c:v>226</c:v>
                </c:pt>
                <c:pt idx="60">
                  <c:v>235</c:v>
                </c:pt>
                <c:pt idx="61">
                  <c:v>252</c:v>
                </c:pt>
                <c:pt idx="62">
                  <c:v>256</c:v>
                </c:pt>
                <c:pt idx="63">
                  <c:v>259</c:v>
                </c:pt>
                <c:pt idx="64">
                  <c:v>266</c:v>
                </c:pt>
                <c:pt idx="65">
                  <c:v>270</c:v>
                </c:pt>
                <c:pt idx="66">
                  <c:v>306</c:v>
                </c:pt>
                <c:pt idx="67">
                  <c:v>314</c:v>
                </c:pt>
                <c:pt idx="68">
                  <c:v>340</c:v>
                </c:pt>
                <c:pt idx="69">
                  <c:v>343</c:v>
                </c:pt>
                <c:pt idx="70">
                  <c:v>362</c:v>
                </c:pt>
                <c:pt idx="71">
                  <c:v>375</c:v>
                </c:pt>
              </c:numCache>
            </c:numRef>
          </c:xVal>
          <c:yVal>
            <c:numRef>
              <c:f>'AAA Limits'!$E$2:$E$73</c:f>
              <c:numCache>
                <c:formatCode>General</c:formatCode>
                <c:ptCount val="72"/>
                <c:pt idx="0">
                  <c:v>50</c:v>
                </c:pt>
                <c:pt idx="1">
                  <c:v>32.920439999999999</c:v>
                </c:pt>
                <c:pt idx="2">
                  <c:v>13.05222</c:v>
                </c:pt>
                <c:pt idx="3">
                  <c:v>12.3316</c:v>
                </c:pt>
                <c:pt idx="4">
                  <c:v>11.16924</c:v>
                </c:pt>
                <c:pt idx="5">
                  <c:v>10.278980000000001</c:v>
                </c:pt>
                <c:pt idx="6">
                  <c:v>9.8444350000000007</c:v>
                </c:pt>
                <c:pt idx="7">
                  <c:v>6.3048909999999996</c:v>
                </c:pt>
                <c:pt idx="8">
                  <c:v>6.2543049999999996</c:v>
                </c:pt>
                <c:pt idx="9">
                  <c:v>6.2022310000000003</c:v>
                </c:pt>
                <c:pt idx="10">
                  <c:v>5.7642230000000003</c:v>
                </c:pt>
                <c:pt idx="11">
                  <c:v>5.3400949999999998</c:v>
                </c:pt>
                <c:pt idx="12">
                  <c:v>5.0492569999999999</c:v>
                </c:pt>
                <c:pt idx="13">
                  <c:v>5.012372</c:v>
                </c:pt>
                <c:pt idx="14">
                  <c:v>4.9673870000000004</c:v>
                </c:pt>
                <c:pt idx="15">
                  <c:v>4.9370510000000003</c:v>
                </c:pt>
                <c:pt idx="16">
                  <c:v>4.9198579999999996</c:v>
                </c:pt>
                <c:pt idx="17">
                  <c:v>4.9015120000000003</c:v>
                </c:pt>
                <c:pt idx="18">
                  <c:v>4.8407809999999998</c:v>
                </c:pt>
                <c:pt idx="19">
                  <c:v>4.8189970000000004</c:v>
                </c:pt>
                <c:pt idx="20">
                  <c:v>4.7736619999999998</c:v>
                </c:pt>
                <c:pt idx="21">
                  <c:v>4.7264650000000001</c:v>
                </c:pt>
                <c:pt idx="22">
                  <c:v>4.6532619999999998</c:v>
                </c:pt>
                <c:pt idx="23">
                  <c:v>4.5783430000000003</c:v>
                </c:pt>
                <c:pt idx="24">
                  <c:v>4.5279559999999996</c:v>
                </c:pt>
                <c:pt idx="25">
                  <c:v>4.5027229999999996</c:v>
                </c:pt>
                <c:pt idx="26">
                  <c:v>4.4774989999999999</c:v>
                </c:pt>
                <c:pt idx="27">
                  <c:v>4.4271630000000002</c:v>
                </c:pt>
                <c:pt idx="28">
                  <c:v>4.3522299999999996</c:v>
                </c:pt>
                <c:pt idx="29">
                  <c:v>4.3274679999999996</c:v>
                </c:pt>
                <c:pt idx="30">
                  <c:v>4.2783439999999997</c:v>
                </c:pt>
                <c:pt idx="31">
                  <c:v>4.2298220000000004</c:v>
                </c:pt>
                <c:pt idx="32">
                  <c:v>4.2144870000000001</c:v>
                </c:pt>
                <c:pt idx="33">
                  <c:v>4.1523000000000003</c:v>
                </c:pt>
                <c:pt idx="34">
                  <c:v>4.1422400000000001</c:v>
                </c:pt>
                <c:pt idx="35">
                  <c:v>4.120654</c:v>
                </c:pt>
                <c:pt idx="36">
                  <c:v>4.0598830000000001</c:v>
                </c:pt>
                <c:pt idx="37">
                  <c:v>3.9498389999999999</c:v>
                </c:pt>
                <c:pt idx="38">
                  <c:v>3.8917109999999999</c:v>
                </c:pt>
                <c:pt idx="39">
                  <c:v>3.7308629999999998</c:v>
                </c:pt>
                <c:pt idx="40">
                  <c:v>3.7188400000000001</c:v>
                </c:pt>
                <c:pt idx="41">
                  <c:v>3.7146219999999999</c:v>
                </c:pt>
                <c:pt idx="42">
                  <c:v>3.7049280000000002</c:v>
                </c:pt>
                <c:pt idx="43">
                  <c:v>3.6995049999999998</c:v>
                </c:pt>
                <c:pt idx="44">
                  <c:v>3.6812019999999999</c:v>
                </c:pt>
                <c:pt idx="45">
                  <c:v>3.6528070000000001</c:v>
                </c:pt>
                <c:pt idx="46">
                  <c:v>3.6451129999999998</c:v>
                </c:pt>
                <c:pt idx="47">
                  <c:v>3.6291199999999999</c:v>
                </c:pt>
                <c:pt idx="48">
                  <c:v>3.6124100000000001</c:v>
                </c:pt>
                <c:pt idx="49">
                  <c:v>3.5950799999999998</c:v>
                </c:pt>
                <c:pt idx="50">
                  <c:v>3.5862120000000002</c:v>
                </c:pt>
                <c:pt idx="51">
                  <c:v>3.5772210000000002</c:v>
                </c:pt>
                <c:pt idx="52">
                  <c:v>3.5589110000000002</c:v>
                </c:pt>
                <c:pt idx="53">
                  <c:v>3.5116139999999998</c:v>
                </c:pt>
                <c:pt idx="54">
                  <c:v>3.4628549999999998</c:v>
                </c:pt>
                <c:pt idx="55">
                  <c:v>3.4232770000000001</c:v>
                </c:pt>
                <c:pt idx="56">
                  <c:v>3.3980990000000002</c:v>
                </c:pt>
                <c:pt idx="57">
                  <c:v>3.3802949999999998</c:v>
                </c:pt>
                <c:pt idx="58">
                  <c:v>3.3760509999999999</c:v>
                </c:pt>
                <c:pt idx="59">
                  <c:v>3.3467319999999998</c:v>
                </c:pt>
                <c:pt idx="60">
                  <c:v>3.29345</c:v>
                </c:pt>
                <c:pt idx="61">
                  <c:v>3.179252</c:v>
                </c:pt>
                <c:pt idx="62">
                  <c:v>3.1770779999999998</c:v>
                </c:pt>
                <c:pt idx="63">
                  <c:v>3.1729289999999999</c:v>
                </c:pt>
                <c:pt idx="64">
                  <c:v>3.1563940000000001</c:v>
                </c:pt>
                <c:pt idx="65">
                  <c:v>3.143443</c:v>
                </c:pt>
                <c:pt idx="66">
                  <c:v>3.0001030000000002</c:v>
                </c:pt>
                <c:pt idx="67">
                  <c:v>2.9869870000000001</c:v>
                </c:pt>
                <c:pt idx="68">
                  <c:v>2.9026179999999999</c:v>
                </c:pt>
                <c:pt idx="69">
                  <c:v>2.8904529999999999</c:v>
                </c:pt>
                <c:pt idx="70">
                  <c:v>2.8549890000000002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C7-4EBA-8BDB-F600F855F0B4}"/>
            </c:ext>
          </c:extLst>
        </c:ser>
        <c:ser>
          <c:idx val="5"/>
          <c:order val="5"/>
          <c:tx>
            <c:v>Lower 95 Funnel Limit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'AAA Limits'!$B$2:$B$73</c:f>
              <c:numCache>
                <c:formatCode>General</c:formatCode>
                <c:ptCount val="72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18</c:v>
                </c:pt>
                <c:pt idx="5">
                  <c:v>24</c:v>
                </c:pt>
                <c:pt idx="6">
                  <c:v>26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65</c:v>
                </c:pt>
                <c:pt idx="11">
                  <c:v>73</c:v>
                </c:pt>
                <c:pt idx="12">
                  <c:v>79</c:v>
                </c:pt>
                <c:pt idx="13">
                  <c:v>80</c:v>
                </c:pt>
                <c:pt idx="14">
                  <c:v>86</c:v>
                </c:pt>
                <c:pt idx="15">
                  <c:v>88</c:v>
                </c:pt>
                <c:pt idx="16">
                  <c:v>89</c:v>
                </c:pt>
                <c:pt idx="17">
                  <c:v>90</c:v>
                </c:pt>
                <c:pt idx="18">
                  <c:v>93</c:v>
                </c:pt>
                <c:pt idx="19">
                  <c:v>94</c:v>
                </c:pt>
                <c:pt idx="20">
                  <c:v>96</c:v>
                </c:pt>
                <c:pt idx="21">
                  <c:v>98</c:v>
                </c:pt>
                <c:pt idx="22">
                  <c:v>101</c:v>
                </c:pt>
                <c:pt idx="23">
                  <c:v>104</c:v>
                </c:pt>
                <c:pt idx="24">
                  <c:v>106</c:v>
                </c:pt>
                <c:pt idx="25">
                  <c:v>107</c:v>
                </c:pt>
                <c:pt idx="26">
                  <c:v>108</c:v>
                </c:pt>
                <c:pt idx="27">
                  <c:v>110</c:v>
                </c:pt>
                <c:pt idx="28">
                  <c:v>113</c:v>
                </c:pt>
                <c:pt idx="29">
                  <c:v>114</c:v>
                </c:pt>
                <c:pt idx="30">
                  <c:v>116</c:v>
                </c:pt>
                <c:pt idx="31">
                  <c:v>118</c:v>
                </c:pt>
                <c:pt idx="32">
                  <c:v>119</c:v>
                </c:pt>
                <c:pt idx="33">
                  <c:v>130</c:v>
                </c:pt>
                <c:pt idx="34">
                  <c:v>131</c:v>
                </c:pt>
                <c:pt idx="35">
                  <c:v>133</c:v>
                </c:pt>
                <c:pt idx="36">
                  <c:v>138</c:v>
                </c:pt>
                <c:pt idx="37">
                  <c:v>146</c:v>
                </c:pt>
                <c:pt idx="38">
                  <c:v>150</c:v>
                </c:pt>
                <c:pt idx="39">
                  <c:v>164</c:v>
                </c:pt>
                <c:pt idx="40">
                  <c:v>168</c:v>
                </c:pt>
                <c:pt idx="41">
                  <c:v>169</c:v>
                </c:pt>
                <c:pt idx="42">
                  <c:v>171</c:v>
                </c:pt>
                <c:pt idx="43">
                  <c:v>172</c:v>
                </c:pt>
                <c:pt idx="44">
                  <c:v>175</c:v>
                </c:pt>
                <c:pt idx="45">
                  <c:v>179</c:v>
                </c:pt>
                <c:pt idx="46">
                  <c:v>180</c:v>
                </c:pt>
                <c:pt idx="47">
                  <c:v>182</c:v>
                </c:pt>
                <c:pt idx="48">
                  <c:v>184</c:v>
                </c:pt>
                <c:pt idx="49">
                  <c:v>186</c:v>
                </c:pt>
                <c:pt idx="50">
                  <c:v>187</c:v>
                </c:pt>
                <c:pt idx="51">
                  <c:v>188</c:v>
                </c:pt>
                <c:pt idx="52">
                  <c:v>190</c:v>
                </c:pt>
                <c:pt idx="53">
                  <c:v>195</c:v>
                </c:pt>
                <c:pt idx="54">
                  <c:v>200</c:v>
                </c:pt>
                <c:pt idx="55">
                  <c:v>204</c:v>
                </c:pt>
                <c:pt idx="56">
                  <c:v>214</c:v>
                </c:pt>
                <c:pt idx="57">
                  <c:v>219</c:v>
                </c:pt>
                <c:pt idx="58">
                  <c:v>220</c:v>
                </c:pt>
                <c:pt idx="59">
                  <c:v>226</c:v>
                </c:pt>
                <c:pt idx="60">
                  <c:v>235</c:v>
                </c:pt>
                <c:pt idx="61">
                  <c:v>252</c:v>
                </c:pt>
                <c:pt idx="62">
                  <c:v>256</c:v>
                </c:pt>
                <c:pt idx="63">
                  <c:v>259</c:v>
                </c:pt>
                <c:pt idx="64">
                  <c:v>266</c:v>
                </c:pt>
                <c:pt idx="65">
                  <c:v>270</c:v>
                </c:pt>
                <c:pt idx="66">
                  <c:v>306</c:v>
                </c:pt>
                <c:pt idx="67">
                  <c:v>314</c:v>
                </c:pt>
                <c:pt idx="68">
                  <c:v>340</c:v>
                </c:pt>
                <c:pt idx="69">
                  <c:v>343</c:v>
                </c:pt>
                <c:pt idx="70">
                  <c:v>362</c:v>
                </c:pt>
                <c:pt idx="71">
                  <c:v>375</c:v>
                </c:pt>
              </c:numCache>
            </c:numRef>
          </c:xVal>
          <c:yVal>
            <c:numRef>
              <c:f>'AAA Limits'!$F$2:$F$73</c:f>
              <c:numCache>
                <c:formatCode>General</c:formatCode>
                <c:ptCount val="72"/>
                <c:pt idx="64">
                  <c:v>1.4084E-3</c:v>
                </c:pt>
                <c:pt idx="65">
                  <c:v>7.0486999999999998E-3</c:v>
                </c:pt>
                <c:pt idx="66">
                  <c:v>5.8624200000000001E-2</c:v>
                </c:pt>
                <c:pt idx="67">
                  <c:v>7.0756799999999995E-2</c:v>
                </c:pt>
                <c:pt idx="68">
                  <c:v>0.1135785</c:v>
                </c:pt>
                <c:pt idx="69">
                  <c:v>0.11894540000000001</c:v>
                </c:pt>
                <c:pt idx="70">
                  <c:v>0.1555994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C7-4EBA-8BDB-F600F855F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37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</c:valAx>
      <c:valAx>
        <c:axId val="578493408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'AAA Summary'!$L$33</c:f>
          <c:strCache>
            <c:ptCount val="1"/>
            <c:pt idx="0">
              <c:v>%patients discussed at MDT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'Elective Infra-Renal AAA Repair'!$H$7</c:f>
              <c:strCache>
                <c:ptCount val="1"/>
                <c:pt idx="0">
                  <c:v>%patients discussed at MDT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'Elective Infra-Renal AAA Repair'!$U$8:$U$82</c:f>
              <c:numCache>
                <c:formatCode>General</c:formatCode>
                <c:ptCount val="75"/>
                <c:pt idx="0">
                  <c:v>42</c:v>
                </c:pt>
                <c:pt idx="1">
                  <c:v>36</c:v>
                </c:pt>
                <c:pt idx="2">
                  <c:v>37</c:v>
                </c:pt>
                <c:pt idx="3">
                  <c:v>48</c:v>
                </c:pt>
                <c:pt idx="4">
                  <c:v>3</c:v>
                </c:pt>
                <c:pt idx="5">
                  <c:v>26</c:v>
                </c:pt>
                <c:pt idx="6">
                  <c:v>52</c:v>
                </c:pt>
                <c:pt idx="7">
                  <c:v>20</c:v>
                </c:pt>
                <c:pt idx="8">
                  <c:v>57</c:v>
                </c:pt>
                <c:pt idx="9">
                  <c:v>28</c:v>
                </c:pt>
                <c:pt idx="10">
                  <c:v>9</c:v>
                </c:pt>
                <c:pt idx="11">
                  <c:v>24</c:v>
                </c:pt>
                <c:pt idx="12">
                  <c:v>38</c:v>
                </c:pt>
                <c:pt idx="13">
                  <c:v>65</c:v>
                </c:pt>
                <c:pt idx="14">
                  <c:v>39</c:v>
                </c:pt>
                <c:pt idx="15">
                  <c:v>49</c:v>
                </c:pt>
                <c:pt idx="16">
                  <c:v>31</c:v>
                </c:pt>
                <c:pt idx="17">
                  <c:v>40</c:v>
                </c:pt>
                <c:pt idx="18">
                  <c:v>6</c:v>
                </c:pt>
                <c:pt idx="19">
                  <c:v>17</c:v>
                </c:pt>
                <c:pt idx="20">
                  <c:v>43</c:v>
                </c:pt>
                <c:pt idx="21">
                  <c:v>62</c:v>
                </c:pt>
                <c:pt idx="22">
                  <c:v>12</c:v>
                </c:pt>
                <c:pt idx="23">
                  <c:v>4</c:v>
                </c:pt>
                <c:pt idx="24">
                  <c:v>63</c:v>
                </c:pt>
                <c:pt idx="25">
                  <c:v>2</c:v>
                </c:pt>
                <c:pt idx="26">
                  <c:v>66</c:v>
                </c:pt>
                <c:pt idx="27">
                  <c:v>53</c:v>
                </c:pt>
                <c:pt idx="28">
                  <c:v>14</c:v>
                </c:pt>
                <c:pt idx="29">
                  <c:v>16</c:v>
                </c:pt>
                <c:pt idx="30">
                  <c:v>21</c:v>
                </c:pt>
                <c:pt idx="31">
                  <c:v>44</c:v>
                </c:pt>
                <c:pt idx="32">
                  <c:v>67</c:v>
                </c:pt>
                <c:pt idx="33">
                  <c:v>58</c:v>
                </c:pt>
                <c:pt idx="34">
                  <c:v>34</c:v>
                </c:pt>
                <c:pt idx="35">
                  <c:v>8</c:v>
                </c:pt>
                <c:pt idx="36">
                  <c:v>7</c:v>
                </c:pt>
                <c:pt idx="37">
                  <c:v>35</c:v>
                </c:pt>
                <c:pt idx="38">
                  <c:v>68</c:v>
                </c:pt>
                <c:pt idx="39">
                  <c:v>27</c:v>
                </c:pt>
                <c:pt idx="40">
                  <c:v>69</c:v>
                </c:pt>
                <c:pt idx="41">
                  <c:v>5</c:v>
                </c:pt>
                <c:pt idx="42">
                  <c:v>32</c:v>
                </c:pt>
                <c:pt idx="43">
                  <c:v>41</c:v>
                </c:pt>
                <c:pt idx="44">
                  <c:v>46</c:v>
                </c:pt>
                <c:pt idx="45">
                  <c:v>60</c:v>
                </c:pt>
                <c:pt idx="46">
                  <c:v>13</c:v>
                </c:pt>
                <c:pt idx="47">
                  <c:v>45</c:v>
                </c:pt>
                <c:pt idx="48">
                  <c:v>70</c:v>
                </c:pt>
                <c:pt idx="49">
                  <c:v>22</c:v>
                </c:pt>
                <c:pt idx="50">
                  <c:v>54</c:v>
                </c:pt>
                <c:pt idx="51">
                  <c:v>71</c:v>
                </c:pt>
                <c:pt idx="52">
                  <c:v>55</c:v>
                </c:pt>
                <c:pt idx="53">
                  <c:v>61</c:v>
                </c:pt>
                <c:pt idx="54">
                  <c:v>18</c:v>
                </c:pt>
                <c:pt idx="55">
                  <c:v>15</c:v>
                </c:pt>
                <c:pt idx="56">
                  <c:v>25</c:v>
                </c:pt>
                <c:pt idx="57">
                  <c:v>59</c:v>
                </c:pt>
                <c:pt idx="58">
                  <c:v>11</c:v>
                </c:pt>
                <c:pt idx="59">
                  <c:v>29</c:v>
                </c:pt>
                <c:pt idx="60">
                  <c:v>47</c:v>
                </c:pt>
                <c:pt idx="61">
                  <c:v>64</c:v>
                </c:pt>
                <c:pt idx="62">
                  <c:v>23</c:v>
                </c:pt>
                <c:pt idx="63">
                  <c:v>72</c:v>
                </c:pt>
                <c:pt idx="64">
                  <c:v>73</c:v>
                </c:pt>
                <c:pt idx="65">
                  <c:v>56</c:v>
                </c:pt>
                <c:pt idx="66">
                  <c:v>30</c:v>
                </c:pt>
                <c:pt idx="67">
                  <c:v>50</c:v>
                </c:pt>
                <c:pt idx="68">
                  <c:v>51</c:v>
                </c:pt>
                <c:pt idx="69">
                  <c:v>74</c:v>
                </c:pt>
                <c:pt idx="70">
                  <c:v>1</c:v>
                </c:pt>
                <c:pt idx="71">
                  <c:v>75</c:v>
                </c:pt>
                <c:pt idx="72">
                  <c:v>33</c:v>
                </c:pt>
                <c:pt idx="73">
                  <c:v>19</c:v>
                </c:pt>
                <c:pt idx="74">
                  <c:v>10</c:v>
                </c:pt>
              </c:numCache>
            </c:numRef>
          </c:cat>
          <c:val>
            <c:numRef>
              <c:f>'Elective Infra-Renal AAA Repair'!$V$8:$V$84</c:f>
              <c:numCache>
                <c:formatCode>0%</c:formatCode>
                <c:ptCount val="77"/>
                <c:pt idx="0">
                  <c:v>0.91</c:v>
                </c:pt>
                <c:pt idx="1">
                  <c:v>0.9</c:v>
                </c:pt>
                <c:pt idx="2">
                  <c:v>0.9</c:v>
                </c:pt>
                <c:pt idx="3">
                  <c:v>0.93</c:v>
                </c:pt>
                <c:pt idx="4">
                  <c:v>0.32</c:v>
                </c:pt>
                <c:pt idx="5">
                  <c:v>0.85</c:v>
                </c:pt>
                <c:pt idx="6">
                  <c:v>0.94</c:v>
                </c:pt>
                <c:pt idx="7">
                  <c:v>0.8</c:v>
                </c:pt>
                <c:pt idx="8">
                  <c:v>0.96</c:v>
                </c:pt>
                <c:pt idx="9">
                  <c:v>0.87</c:v>
                </c:pt>
                <c:pt idx="10">
                  <c:v>0.7</c:v>
                </c:pt>
                <c:pt idx="11">
                  <c:v>0.84</c:v>
                </c:pt>
                <c:pt idx="12">
                  <c:v>0.9</c:v>
                </c:pt>
                <c:pt idx="13">
                  <c:v>1</c:v>
                </c:pt>
                <c:pt idx="14">
                  <c:v>0.9</c:v>
                </c:pt>
                <c:pt idx="15">
                  <c:v>0.93</c:v>
                </c:pt>
                <c:pt idx="16">
                  <c:v>0.88</c:v>
                </c:pt>
                <c:pt idx="17">
                  <c:v>0.9</c:v>
                </c:pt>
                <c:pt idx="18">
                  <c:v>0.6</c:v>
                </c:pt>
                <c:pt idx="19">
                  <c:v>0.78</c:v>
                </c:pt>
                <c:pt idx="20">
                  <c:v>0.91</c:v>
                </c:pt>
                <c:pt idx="21">
                  <c:v>0.98</c:v>
                </c:pt>
                <c:pt idx="22">
                  <c:v>0.73</c:v>
                </c:pt>
                <c:pt idx="23">
                  <c:v>0.43</c:v>
                </c:pt>
                <c:pt idx="24">
                  <c:v>0.98</c:v>
                </c:pt>
                <c:pt idx="25">
                  <c:v>0.28000000000000003</c:v>
                </c:pt>
                <c:pt idx="26">
                  <c:v>1</c:v>
                </c:pt>
                <c:pt idx="27">
                  <c:v>0.95</c:v>
                </c:pt>
                <c:pt idx="28">
                  <c:v>0.76</c:v>
                </c:pt>
                <c:pt idx="29">
                  <c:v>0.77</c:v>
                </c:pt>
                <c:pt idx="30">
                  <c:v>0.8</c:v>
                </c:pt>
                <c:pt idx="31">
                  <c:v>0.91</c:v>
                </c:pt>
                <c:pt idx="32">
                  <c:v>1</c:v>
                </c:pt>
                <c:pt idx="33">
                  <c:v>0.96</c:v>
                </c:pt>
                <c:pt idx="34">
                  <c:v>0.89</c:v>
                </c:pt>
                <c:pt idx="35">
                  <c:v>0.67</c:v>
                </c:pt>
                <c:pt idx="36">
                  <c:v>0.6</c:v>
                </c:pt>
                <c:pt idx="37">
                  <c:v>0.89</c:v>
                </c:pt>
                <c:pt idx="38">
                  <c:v>1</c:v>
                </c:pt>
                <c:pt idx="39">
                  <c:v>0.85</c:v>
                </c:pt>
                <c:pt idx="40">
                  <c:v>1</c:v>
                </c:pt>
                <c:pt idx="41">
                  <c:v>0.43</c:v>
                </c:pt>
                <c:pt idx="42">
                  <c:v>0.88</c:v>
                </c:pt>
                <c:pt idx="43">
                  <c:v>0.9</c:v>
                </c:pt>
                <c:pt idx="44">
                  <c:v>0.92</c:v>
                </c:pt>
                <c:pt idx="45">
                  <c:v>0.97</c:v>
                </c:pt>
                <c:pt idx="46">
                  <c:v>0.75</c:v>
                </c:pt>
                <c:pt idx="47">
                  <c:v>0.91</c:v>
                </c:pt>
                <c:pt idx="48">
                  <c:v>1</c:v>
                </c:pt>
                <c:pt idx="49">
                  <c:v>0.81</c:v>
                </c:pt>
                <c:pt idx="50">
                  <c:v>0.95</c:v>
                </c:pt>
                <c:pt idx="51">
                  <c:v>1</c:v>
                </c:pt>
                <c:pt idx="52">
                  <c:v>0.95</c:v>
                </c:pt>
                <c:pt idx="53">
                  <c:v>0.97</c:v>
                </c:pt>
                <c:pt idx="54">
                  <c:v>0.78</c:v>
                </c:pt>
                <c:pt idx="55">
                  <c:v>0.76</c:v>
                </c:pt>
                <c:pt idx="56">
                  <c:v>0.84</c:v>
                </c:pt>
                <c:pt idx="57">
                  <c:v>0.96</c:v>
                </c:pt>
                <c:pt idx="58">
                  <c:v>0.71</c:v>
                </c:pt>
                <c:pt idx="59">
                  <c:v>0.87</c:v>
                </c:pt>
                <c:pt idx="60">
                  <c:v>0.92</c:v>
                </c:pt>
                <c:pt idx="61">
                  <c:v>0.98</c:v>
                </c:pt>
                <c:pt idx="62">
                  <c:v>0.81</c:v>
                </c:pt>
                <c:pt idx="63">
                  <c:v>1</c:v>
                </c:pt>
                <c:pt idx="64">
                  <c:v>1</c:v>
                </c:pt>
                <c:pt idx="65">
                  <c:v>0.95</c:v>
                </c:pt>
                <c:pt idx="66">
                  <c:v>0.87</c:v>
                </c:pt>
                <c:pt idx="67">
                  <c:v>0.93</c:v>
                </c:pt>
                <c:pt idx="68">
                  <c:v>0.93</c:v>
                </c:pt>
                <c:pt idx="69">
                  <c:v>1</c:v>
                </c:pt>
                <c:pt idx="70">
                  <c:v>0.24</c:v>
                </c:pt>
                <c:pt idx="71">
                  <c:v>1</c:v>
                </c:pt>
                <c:pt idx="72">
                  <c:v>0.88</c:v>
                </c:pt>
                <c:pt idx="73">
                  <c:v>0.78</c:v>
                </c:pt>
                <c:pt idx="7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areaChart>
      <c:scatterChart>
        <c:scatterStyle val="lineMarker"/>
        <c:varyColors val="0"/>
        <c:ser>
          <c:idx val="1"/>
          <c:order val="1"/>
          <c:tx>
            <c:strRef>
              <c:f>'AAA Summary'!$B$29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1"/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'AAA Summary'!$AD$4</c:f>
              <c:numCache>
                <c:formatCode>General</c:formatCode>
                <c:ptCount val="1"/>
                <c:pt idx="0">
                  <c:v>42</c:v>
                </c:pt>
              </c:numCache>
            </c:numRef>
          </c:xVal>
          <c:yVal>
            <c:numRef>
              <c:f>'AAA Summary'!$AB$4</c:f>
              <c:numCache>
                <c:formatCode>General</c:formatCode>
                <c:ptCount val="1"/>
                <c:pt idx="0">
                  <c:v>0.91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14-4594-B984-3CC6BE08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777608"/>
        <c:axId val="636780232"/>
      </c:scatterChart>
      <c:dateAx>
        <c:axId val="636777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6780232"/>
        <c:crosses val="autoZero"/>
        <c:auto val="0"/>
        <c:lblOffset val="100"/>
        <c:baseTimeUnit val="days"/>
      </c:dateAx>
      <c:valAx>
        <c:axId val="6367802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7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'Bypass Summary'!$O$3</c:f>
          <c:strCache>
            <c:ptCount val="1"/>
            <c:pt idx="0">
              <c:v>Median (IQR) CLTI waiting time (days)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'Bypass Summary'!$O$3</c:f>
              <c:strCache>
                <c:ptCount val="1"/>
                <c:pt idx="0">
                  <c:v>Median (IQR) CLTI waiting time (days)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'Bypass Summary'!$AJ$2:$AJ$70</c:f>
                <c:numCache>
                  <c:formatCode>General</c:formatCode>
                  <c:ptCount val="69"/>
                  <c:pt idx="0">
                    <c:v>2</c:v>
                  </c:pt>
                  <c:pt idx="1">
                    <c:v>2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10</c:v>
                  </c:pt>
                  <c:pt idx="6">
                    <c:v>3</c:v>
                  </c:pt>
                  <c:pt idx="7">
                    <c:v>3</c:v>
                  </c:pt>
                  <c:pt idx="8">
                    <c:v>3</c:v>
                  </c:pt>
                  <c:pt idx="9">
                    <c:v>3</c:v>
                  </c:pt>
                  <c:pt idx="10">
                    <c:v>6</c:v>
                  </c:pt>
                  <c:pt idx="11">
                    <c:v>2</c:v>
                  </c:pt>
                  <c:pt idx="12">
                    <c:v>3</c:v>
                  </c:pt>
                  <c:pt idx="13">
                    <c:v>3</c:v>
                  </c:pt>
                  <c:pt idx="14">
                    <c:v>3</c:v>
                  </c:pt>
                  <c:pt idx="15">
                    <c:v>3</c:v>
                  </c:pt>
                  <c:pt idx="16">
                    <c:v>3</c:v>
                  </c:pt>
                  <c:pt idx="17">
                    <c:v>3</c:v>
                  </c:pt>
                  <c:pt idx="18">
                    <c:v>3</c:v>
                  </c:pt>
                  <c:pt idx="19">
                    <c:v>5</c:v>
                  </c:pt>
                  <c:pt idx="20">
                    <c:v>6</c:v>
                  </c:pt>
                  <c:pt idx="21">
                    <c:v>3</c:v>
                  </c:pt>
                  <c:pt idx="22">
                    <c:v>1</c:v>
                  </c:pt>
                  <c:pt idx="23">
                    <c:v>2</c:v>
                  </c:pt>
                  <c:pt idx="24">
                    <c:v>2</c:v>
                  </c:pt>
                  <c:pt idx="25">
                    <c:v>2</c:v>
                  </c:pt>
                  <c:pt idx="26">
                    <c:v>3</c:v>
                  </c:pt>
                  <c:pt idx="27">
                    <c:v>3</c:v>
                  </c:pt>
                  <c:pt idx="28">
                    <c:v>4</c:v>
                  </c:pt>
                  <c:pt idx="29">
                    <c:v>2</c:v>
                  </c:pt>
                  <c:pt idx="30">
                    <c:v>3</c:v>
                  </c:pt>
                  <c:pt idx="31">
                    <c:v>3</c:v>
                  </c:pt>
                  <c:pt idx="32">
                    <c:v>2</c:v>
                  </c:pt>
                  <c:pt idx="33">
                    <c:v>2</c:v>
                  </c:pt>
                  <c:pt idx="34">
                    <c:v>3</c:v>
                  </c:pt>
                  <c:pt idx="35">
                    <c:v>3</c:v>
                  </c:pt>
                  <c:pt idx="36">
                    <c:v>3</c:v>
                  </c:pt>
                  <c:pt idx="37">
                    <c:v>4</c:v>
                  </c:pt>
                  <c:pt idx="38">
                    <c:v>6</c:v>
                  </c:pt>
                  <c:pt idx="39">
                    <c:v>3</c:v>
                  </c:pt>
                  <c:pt idx="40">
                    <c:v>4</c:v>
                  </c:pt>
                  <c:pt idx="41">
                    <c:v>6</c:v>
                  </c:pt>
                  <c:pt idx="42">
                    <c:v>5</c:v>
                  </c:pt>
                  <c:pt idx="43">
                    <c:v>9</c:v>
                  </c:pt>
                  <c:pt idx="44">
                    <c:v>5</c:v>
                  </c:pt>
                  <c:pt idx="45">
                    <c:v>3</c:v>
                  </c:pt>
                  <c:pt idx="46">
                    <c:v>3</c:v>
                  </c:pt>
                  <c:pt idx="47">
                    <c:v>2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4</c:v>
                  </c:pt>
                  <c:pt idx="52">
                    <c:v>5</c:v>
                  </c:pt>
                  <c:pt idx="53">
                    <c:v>5</c:v>
                  </c:pt>
                  <c:pt idx="54">
                    <c:v>6</c:v>
                  </c:pt>
                  <c:pt idx="55">
                    <c:v>6</c:v>
                  </c:pt>
                  <c:pt idx="56">
                    <c:v>6</c:v>
                  </c:pt>
                  <c:pt idx="57">
                    <c:v>6</c:v>
                  </c:pt>
                  <c:pt idx="58">
                    <c:v>3</c:v>
                  </c:pt>
                  <c:pt idx="59">
                    <c:v>3</c:v>
                  </c:pt>
                  <c:pt idx="60">
                    <c:v>6</c:v>
                  </c:pt>
                  <c:pt idx="61">
                    <c:v>6</c:v>
                  </c:pt>
                  <c:pt idx="62">
                    <c:v>3</c:v>
                  </c:pt>
                  <c:pt idx="63">
                    <c:v>4</c:v>
                  </c:pt>
                  <c:pt idx="64">
                    <c:v>3</c:v>
                  </c:pt>
                  <c:pt idx="65">
                    <c:v>6</c:v>
                  </c:pt>
                  <c:pt idx="66">
                    <c:v>4</c:v>
                  </c:pt>
                  <c:pt idx="67">
                    <c:v>2</c:v>
                  </c:pt>
                  <c:pt idx="68">
                    <c:v>4</c:v>
                  </c:pt>
                </c:numCache>
              </c:numRef>
            </c:plus>
            <c:minus>
              <c:numRef>
                <c:f>'Bypass Summary'!$AI$2:$AI$70</c:f>
                <c:numCache>
                  <c:formatCode>General</c:formatCode>
                  <c:ptCount val="69"/>
                  <c:pt idx="0">
                    <c:v>2</c:v>
                  </c:pt>
                  <c:pt idx="1">
                    <c:v>2</c:v>
                  </c:pt>
                  <c:pt idx="2">
                    <c:v>2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  <c:pt idx="6">
                    <c:v>3</c:v>
                  </c:pt>
                  <c:pt idx="7">
                    <c:v>3</c:v>
                  </c:pt>
                  <c:pt idx="8">
                    <c:v>3</c:v>
                  </c:pt>
                  <c:pt idx="9">
                    <c:v>3</c:v>
                  </c:pt>
                  <c:pt idx="10">
                    <c:v>3</c:v>
                  </c:pt>
                  <c:pt idx="11">
                    <c:v>2</c:v>
                  </c:pt>
                  <c:pt idx="12">
                    <c:v>2</c:v>
                  </c:pt>
                  <c:pt idx="13">
                    <c:v>2</c:v>
                  </c:pt>
                  <c:pt idx="14">
                    <c:v>2</c:v>
                  </c:pt>
                  <c:pt idx="15">
                    <c:v>2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2</c:v>
                  </c:pt>
                  <c:pt idx="20">
                    <c:v>1</c:v>
                  </c:pt>
                  <c:pt idx="21">
                    <c:v>4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3</c:v>
                  </c:pt>
                  <c:pt idx="26">
                    <c:v>3</c:v>
                  </c:pt>
                  <c:pt idx="27">
                    <c:v>3</c:v>
                  </c:pt>
                  <c:pt idx="28">
                    <c:v>3</c:v>
                  </c:pt>
                  <c:pt idx="29">
                    <c:v>2</c:v>
                  </c:pt>
                  <c:pt idx="30">
                    <c:v>2</c:v>
                  </c:pt>
                  <c:pt idx="31">
                    <c:v>2</c:v>
                  </c:pt>
                  <c:pt idx="32">
                    <c:v>4</c:v>
                  </c:pt>
                  <c:pt idx="33">
                    <c:v>4</c:v>
                  </c:pt>
                  <c:pt idx="34">
                    <c:v>4</c:v>
                  </c:pt>
                  <c:pt idx="35">
                    <c:v>4</c:v>
                  </c:pt>
                  <c:pt idx="36">
                    <c:v>4</c:v>
                  </c:pt>
                  <c:pt idx="37">
                    <c:v>4</c:v>
                  </c:pt>
                  <c:pt idx="38">
                    <c:v>4</c:v>
                  </c:pt>
                  <c:pt idx="39">
                    <c:v>3</c:v>
                  </c:pt>
                  <c:pt idx="40">
                    <c:v>3</c:v>
                  </c:pt>
                  <c:pt idx="41">
                    <c:v>3</c:v>
                  </c:pt>
                  <c:pt idx="42">
                    <c:v>2</c:v>
                  </c:pt>
                  <c:pt idx="43">
                    <c:v>1</c:v>
                  </c:pt>
                  <c:pt idx="44">
                    <c:v>7</c:v>
                  </c:pt>
                  <c:pt idx="45">
                    <c:v>4</c:v>
                  </c:pt>
                  <c:pt idx="46">
                    <c:v>4</c:v>
                  </c:pt>
                  <c:pt idx="47">
                    <c:v>3</c:v>
                  </c:pt>
                  <c:pt idx="48">
                    <c:v>3</c:v>
                  </c:pt>
                  <c:pt idx="49">
                    <c:v>3</c:v>
                  </c:pt>
                  <c:pt idx="50">
                    <c:v>3</c:v>
                  </c:pt>
                  <c:pt idx="51">
                    <c:v>3</c:v>
                  </c:pt>
                  <c:pt idx="52">
                    <c:v>3</c:v>
                  </c:pt>
                  <c:pt idx="53">
                    <c:v>3</c:v>
                  </c:pt>
                  <c:pt idx="54">
                    <c:v>3</c:v>
                  </c:pt>
                  <c:pt idx="55">
                    <c:v>3</c:v>
                  </c:pt>
                  <c:pt idx="56">
                    <c:v>3</c:v>
                  </c:pt>
                  <c:pt idx="57">
                    <c:v>3</c:v>
                  </c:pt>
                  <c:pt idx="58">
                    <c:v>2</c:v>
                  </c:pt>
                  <c:pt idx="59">
                    <c:v>2</c:v>
                  </c:pt>
                  <c:pt idx="60">
                    <c:v>5</c:v>
                  </c:pt>
                  <c:pt idx="61">
                    <c:v>4</c:v>
                  </c:pt>
                  <c:pt idx="62">
                    <c:v>3</c:v>
                  </c:pt>
                  <c:pt idx="63">
                    <c:v>5</c:v>
                  </c:pt>
                  <c:pt idx="64">
                    <c:v>4</c:v>
                  </c:pt>
                  <c:pt idx="65">
                    <c:v>3</c:v>
                  </c:pt>
                  <c:pt idx="66">
                    <c:v>2</c:v>
                  </c:pt>
                  <c:pt idx="67">
                    <c:v>7</c:v>
                  </c:pt>
                  <c:pt idx="68">
                    <c:v>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'Bypass Summary'!$AE$2:$AE$70</c:f>
              <c:strCache>
                <c:ptCount val="69"/>
                <c:pt idx="0">
                  <c:v>RTK</c:v>
                </c:pt>
                <c:pt idx="1">
                  <c:v>RCB</c:v>
                </c:pt>
                <c:pt idx="2">
                  <c:v>SS999</c:v>
                </c:pt>
                <c:pt idx="3">
                  <c:v>REF</c:v>
                </c:pt>
                <c:pt idx="4">
                  <c:v>RXW</c:v>
                </c:pt>
                <c:pt idx="5">
                  <c:v>RVV</c:v>
                </c:pt>
                <c:pt idx="6">
                  <c:v>SN999</c:v>
                </c:pt>
                <c:pt idx="7">
                  <c:v>RBA</c:v>
                </c:pt>
                <c:pt idx="8">
                  <c:v>RNA</c:v>
                </c:pt>
                <c:pt idx="9">
                  <c:v>RWE</c:v>
                </c:pt>
                <c:pt idx="10">
                  <c:v>SH999</c:v>
                </c:pt>
                <c:pt idx="11">
                  <c:v>RTH</c:v>
                </c:pt>
                <c:pt idx="12">
                  <c:v>ZT001</c:v>
                </c:pt>
                <c:pt idx="13">
                  <c:v>RXR</c:v>
                </c:pt>
                <c:pt idx="14">
                  <c:v>RTE</c:v>
                </c:pt>
                <c:pt idx="15">
                  <c:v>RPA</c:v>
                </c:pt>
                <c:pt idx="16">
                  <c:v>RVJ</c:v>
                </c:pt>
                <c:pt idx="17">
                  <c:v>RNL</c:v>
                </c:pt>
                <c:pt idx="18">
                  <c:v>RDZ</c:v>
                </c:pt>
                <c:pt idx="19">
                  <c:v>R1K</c:v>
                </c:pt>
                <c:pt idx="20">
                  <c:v>RX1</c:v>
                </c:pt>
                <c:pt idx="21">
                  <c:v>RTR</c:v>
                </c:pt>
                <c:pt idx="22">
                  <c:v>RM1</c:v>
                </c:pt>
                <c:pt idx="23">
                  <c:v>7A6</c:v>
                </c:pt>
                <c:pt idx="24">
                  <c:v>RXN</c:v>
                </c:pt>
                <c:pt idx="25">
                  <c:v>RNS</c:v>
                </c:pt>
                <c:pt idx="26">
                  <c:v>RGT</c:v>
                </c:pt>
                <c:pt idx="27">
                  <c:v>RH8</c:v>
                </c:pt>
                <c:pt idx="28">
                  <c:v>RJR</c:v>
                </c:pt>
                <c:pt idx="29">
                  <c:v>SG999</c:v>
                </c:pt>
                <c:pt idx="30">
                  <c:v>RW6</c:v>
                </c:pt>
                <c:pt idx="31">
                  <c:v>RHM</c:v>
                </c:pt>
                <c:pt idx="32">
                  <c:v>RAL</c:v>
                </c:pt>
                <c:pt idx="33">
                  <c:v>RWP</c:v>
                </c:pt>
                <c:pt idx="34">
                  <c:v>RXH</c:v>
                </c:pt>
                <c:pt idx="35">
                  <c:v>RJ1</c:v>
                </c:pt>
                <c:pt idx="36">
                  <c:v>RAJ</c:v>
                </c:pt>
                <c:pt idx="37">
                  <c:v>RHQ</c:v>
                </c:pt>
                <c:pt idx="38">
                  <c:v>RDE</c:v>
                </c:pt>
                <c:pt idx="39">
                  <c:v>RC1</c:v>
                </c:pt>
                <c:pt idx="40">
                  <c:v>RKB</c:v>
                </c:pt>
                <c:pt idx="41">
                  <c:v>RDU</c:v>
                </c:pt>
                <c:pt idx="42">
                  <c:v>RWA</c:v>
                </c:pt>
                <c:pt idx="43">
                  <c:v>RWG</c:v>
                </c:pt>
                <c:pt idx="44">
                  <c:v>RWY</c:v>
                </c:pt>
                <c:pt idx="45">
                  <c:v>RRK</c:v>
                </c:pt>
                <c:pt idx="46">
                  <c:v>RTG</c:v>
                </c:pt>
                <c:pt idx="47">
                  <c:v>7A4</c:v>
                </c:pt>
                <c:pt idx="48">
                  <c:v>7A5</c:v>
                </c:pt>
                <c:pt idx="49">
                  <c:v>RJ7</c:v>
                </c:pt>
                <c:pt idx="50">
                  <c:v>7A3</c:v>
                </c:pt>
                <c:pt idx="51">
                  <c:v>RJE</c:v>
                </c:pt>
                <c:pt idx="52">
                  <c:v>RR8</c:v>
                </c:pt>
                <c:pt idx="53">
                  <c:v>RK9</c:v>
                </c:pt>
                <c:pt idx="54">
                  <c:v>RAE</c:v>
                </c:pt>
                <c:pt idx="55">
                  <c:v>RYJ</c:v>
                </c:pt>
                <c:pt idx="56">
                  <c:v>R0A</c:v>
                </c:pt>
                <c:pt idx="57">
                  <c:v>ST999</c:v>
                </c:pt>
                <c:pt idx="58">
                  <c:v>REM</c:v>
                </c:pt>
                <c:pt idx="59">
                  <c:v>RTD</c:v>
                </c:pt>
                <c:pt idx="60">
                  <c:v>RWD</c:v>
                </c:pt>
                <c:pt idx="61">
                  <c:v>RJZ</c:v>
                </c:pt>
                <c:pt idx="62">
                  <c:v>RLN</c:v>
                </c:pt>
                <c:pt idx="63">
                  <c:v>RQ8</c:v>
                </c:pt>
                <c:pt idx="64">
                  <c:v>R1H</c:v>
                </c:pt>
                <c:pt idx="65">
                  <c:v>7A1</c:v>
                </c:pt>
                <c:pt idx="66">
                  <c:v>RP5</c:v>
                </c:pt>
                <c:pt idx="67">
                  <c:v>SA999</c:v>
                </c:pt>
                <c:pt idx="68">
                  <c:v>RF4</c:v>
                </c:pt>
              </c:strCache>
            </c:strRef>
          </c:cat>
          <c:val>
            <c:numRef>
              <c:f>'Bypass Summary'!$AH$2:$AH$70</c:f>
              <c:numCache>
                <c:formatCode>General</c:formatCode>
                <c:ptCount val="6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13</c:v>
                </c:pt>
                <c:pt idx="6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2-448E-A020-AB6DEF4F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'Bypass Summary'!$AC$2</c:f>
                <c:numCache>
                  <c:formatCode>General</c:formatCode>
                  <c:ptCount val="1"/>
                  <c:pt idx="0">
                    <c:v>2</c:v>
                  </c:pt>
                </c:numCache>
              </c:numRef>
            </c:plus>
            <c:minus>
              <c:numRef>
                <c:f>'Bypass Summary'!$AB$2</c:f>
                <c:numCache>
                  <c:formatCode>General</c:formatCode>
                  <c:ptCount val="1"/>
                  <c:pt idx="0">
                    <c:v>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'Bypass Summary'!$AD$2</c:f>
              <c:numCache>
                <c:formatCode>General</c:formatCode>
                <c:ptCount val="1"/>
                <c:pt idx="0">
                  <c:v>24</c:v>
                </c:pt>
              </c:numCache>
            </c:numRef>
          </c:xVal>
          <c:yVal>
            <c:numRef>
              <c:f>'Bypass Summary'!$AA$2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E2-448E-A020-AB6DEF4FA64F}"/>
            </c:ext>
          </c:extLst>
        </c:ser>
        <c:ser>
          <c:idx val="2"/>
          <c:order val="2"/>
          <c:tx>
            <c:v>National Standard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Summary'!$AG$2:$AG$70</c:f>
              <c:numCache>
                <c:formatCode>General</c:formatCode>
                <c:ptCount val="6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</c:numCache>
            </c:numRef>
          </c:xVal>
          <c:yVal>
            <c:numRef>
              <c:f>'Bypass Summary'!$AK$2:$AK$70</c:f>
              <c:numCache>
                <c:formatCode>General</c:formatCode>
                <c:ptCount val="6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E2-448E-A020-AB6DEF4F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Bypass'!$E$1</c:f>
              <c:strCache>
                <c:ptCount val="1"/>
                <c:pt idx="0">
                  <c:v>% 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Bypass'!$C$2:$C$77</c:f>
              <c:numCache>
                <c:formatCode>General</c:formatCode>
                <c:ptCount val="76"/>
                <c:pt idx="0">
                  <c:v>206</c:v>
                </c:pt>
                <c:pt idx="1">
                  <c:v>181</c:v>
                </c:pt>
                <c:pt idx="2">
                  <c:v>104</c:v>
                </c:pt>
                <c:pt idx="3">
                  <c:v>231</c:v>
                </c:pt>
                <c:pt idx="4">
                  <c:v>43</c:v>
                </c:pt>
                <c:pt idx="5">
                  <c:v>173</c:v>
                </c:pt>
                <c:pt idx="6">
                  <c:v>473</c:v>
                </c:pt>
                <c:pt idx="7">
                  <c:v>111</c:v>
                </c:pt>
                <c:pt idx="8">
                  <c:v>242</c:v>
                </c:pt>
                <c:pt idx="9">
                  <c:v>265</c:v>
                </c:pt>
                <c:pt idx="10">
                  <c:v>139</c:v>
                </c:pt>
                <c:pt idx="11">
                  <c:v>369</c:v>
                </c:pt>
                <c:pt idx="12">
                  <c:v>209</c:v>
                </c:pt>
                <c:pt idx="13">
                  <c:v>114</c:v>
                </c:pt>
                <c:pt idx="14">
                  <c:v>388</c:v>
                </c:pt>
                <c:pt idx="15">
                  <c:v>82</c:v>
                </c:pt>
                <c:pt idx="16">
                  <c:v>144</c:v>
                </c:pt>
                <c:pt idx="17">
                  <c:v>71</c:v>
                </c:pt>
                <c:pt idx="18">
                  <c:v>77</c:v>
                </c:pt>
                <c:pt idx="19">
                  <c:v>322</c:v>
                </c:pt>
                <c:pt idx="20">
                  <c:v>326</c:v>
                </c:pt>
                <c:pt idx="21">
                  <c:v>545</c:v>
                </c:pt>
                <c:pt idx="22">
                  <c:v>216</c:v>
                </c:pt>
                <c:pt idx="23">
                  <c:v>415</c:v>
                </c:pt>
                <c:pt idx="24">
                  <c:v>394</c:v>
                </c:pt>
                <c:pt idx="25">
                  <c:v>241</c:v>
                </c:pt>
                <c:pt idx="26">
                  <c:v>290</c:v>
                </c:pt>
                <c:pt idx="27">
                  <c:v>337</c:v>
                </c:pt>
                <c:pt idx="28">
                  <c:v>335</c:v>
                </c:pt>
                <c:pt idx="29">
                  <c:v>460</c:v>
                </c:pt>
                <c:pt idx="30">
                  <c:v>132</c:v>
                </c:pt>
                <c:pt idx="31">
                  <c:v>200</c:v>
                </c:pt>
                <c:pt idx="32">
                  <c:v>130</c:v>
                </c:pt>
                <c:pt idx="33">
                  <c:v>124</c:v>
                </c:pt>
                <c:pt idx="34">
                  <c:v>163</c:v>
                </c:pt>
                <c:pt idx="35">
                  <c:v>17</c:v>
                </c:pt>
                <c:pt idx="36">
                  <c:v>121</c:v>
                </c:pt>
                <c:pt idx="37">
                  <c:v>130</c:v>
                </c:pt>
                <c:pt idx="38">
                  <c:v>186</c:v>
                </c:pt>
                <c:pt idx="39">
                  <c:v>61</c:v>
                </c:pt>
                <c:pt idx="40">
                  <c:v>81</c:v>
                </c:pt>
                <c:pt idx="41">
                  <c:v>113</c:v>
                </c:pt>
                <c:pt idx="42">
                  <c:v>153</c:v>
                </c:pt>
                <c:pt idx="43">
                  <c:v>606</c:v>
                </c:pt>
                <c:pt idx="44">
                  <c:v>212</c:v>
                </c:pt>
                <c:pt idx="45">
                  <c:v>188</c:v>
                </c:pt>
                <c:pt idx="46">
                  <c:v>227</c:v>
                </c:pt>
                <c:pt idx="47">
                  <c:v>185</c:v>
                </c:pt>
                <c:pt idx="48">
                  <c:v>563</c:v>
                </c:pt>
                <c:pt idx="49">
                  <c:v>69</c:v>
                </c:pt>
                <c:pt idx="50">
                  <c:v>232</c:v>
                </c:pt>
                <c:pt idx="51">
                  <c:v>15</c:v>
                </c:pt>
                <c:pt idx="52">
                  <c:v>226</c:v>
                </c:pt>
                <c:pt idx="53">
                  <c:v>200</c:v>
                </c:pt>
                <c:pt idx="54">
                  <c:v>218</c:v>
                </c:pt>
                <c:pt idx="55">
                  <c:v>144</c:v>
                </c:pt>
                <c:pt idx="56">
                  <c:v>282</c:v>
                </c:pt>
                <c:pt idx="57">
                  <c:v>150</c:v>
                </c:pt>
                <c:pt idx="58">
                  <c:v>196</c:v>
                </c:pt>
                <c:pt idx="59">
                  <c:v>210</c:v>
                </c:pt>
                <c:pt idx="60">
                  <c:v>340</c:v>
                </c:pt>
                <c:pt idx="61">
                  <c:v>433</c:v>
                </c:pt>
                <c:pt idx="62">
                  <c:v>515</c:v>
                </c:pt>
                <c:pt idx="63">
                  <c:v>69</c:v>
                </c:pt>
                <c:pt idx="64">
                  <c:v>177</c:v>
                </c:pt>
                <c:pt idx="65">
                  <c:v>11</c:v>
                </c:pt>
                <c:pt idx="66">
                  <c:v>395</c:v>
                </c:pt>
                <c:pt idx="67">
                  <c:v>386</c:v>
                </c:pt>
                <c:pt idx="68">
                  <c:v>551</c:v>
                </c:pt>
                <c:pt idx="69">
                  <c:v>230</c:v>
                </c:pt>
                <c:pt idx="70">
                  <c:v>353</c:v>
                </c:pt>
                <c:pt idx="71">
                  <c:v>246</c:v>
                </c:pt>
                <c:pt idx="72">
                  <c:v>180</c:v>
                </c:pt>
                <c:pt idx="73">
                  <c:v>78</c:v>
                </c:pt>
                <c:pt idx="74">
                  <c:v>399</c:v>
                </c:pt>
                <c:pt idx="75">
                  <c:v>407</c:v>
                </c:pt>
              </c:numCache>
            </c:numRef>
          </c:xVal>
          <c:yVal>
            <c:numRef>
              <c:f>'Lower Limb Bypass'!$E$2:$E$77</c:f>
              <c:numCache>
                <c:formatCode>0.0%</c:formatCode>
                <c:ptCount val="76"/>
                <c:pt idx="0">
                  <c:v>2.1999999999999999E-2</c:v>
                </c:pt>
                <c:pt idx="1">
                  <c:v>5.8000000000000003E-2</c:v>
                </c:pt>
                <c:pt idx="2">
                  <c:v>4.1000000000000002E-2</c:v>
                </c:pt>
                <c:pt idx="3">
                  <c:v>1.7999999999999999E-2</c:v>
                </c:pt>
                <c:pt idx="4">
                  <c:v>6.5000000000000002E-2</c:v>
                </c:pt>
                <c:pt idx="5">
                  <c:v>3.1E-2</c:v>
                </c:pt>
                <c:pt idx="6">
                  <c:v>2.7E-2</c:v>
                </c:pt>
                <c:pt idx="7">
                  <c:v>2.3E-2</c:v>
                </c:pt>
                <c:pt idx="8">
                  <c:v>2.5999999999999999E-2</c:v>
                </c:pt>
                <c:pt idx="9">
                  <c:v>0.01</c:v>
                </c:pt>
                <c:pt idx="10">
                  <c:v>1.9E-2</c:v>
                </c:pt>
                <c:pt idx="11">
                  <c:v>4.0000000000000001E-3</c:v>
                </c:pt>
                <c:pt idx="12">
                  <c:v>3.2000000000000001E-2</c:v>
                </c:pt>
                <c:pt idx="13">
                  <c:v>1.7000000000000001E-2</c:v>
                </c:pt>
                <c:pt idx="14">
                  <c:v>2.5999999999999999E-2</c:v>
                </c:pt>
                <c:pt idx="15">
                  <c:v>0.01</c:v>
                </c:pt>
                <c:pt idx="16">
                  <c:v>0.01</c:v>
                </c:pt>
                <c:pt idx="17">
                  <c:v>3.9E-2</c:v>
                </c:pt>
                <c:pt idx="18">
                  <c:v>2.7E-2</c:v>
                </c:pt>
                <c:pt idx="19">
                  <c:v>4.1000000000000002E-2</c:v>
                </c:pt>
                <c:pt idx="20">
                  <c:v>3.4000000000000002E-2</c:v>
                </c:pt>
                <c:pt idx="21">
                  <c:v>1.7999999999999999E-2</c:v>
                </c:pt>
                <c:pt idx="22">
                  <c:v>1.4E-2</c:v>
                </c:pt>
                <c:pt idx="23">
                  <c:v>0.02</c:v>
                </c:pt>
                <c:pt idx="24">
                  <c:v>4.1000000000000002E-2</c:v>
                </c:pt>
                <c:pt idx="25">
                  <c:v>0.03</c:v>
                </c:pt>
                <c:pt idx="26">
                  <c:v>4.4999999999999998E-2</c:v>
                </c:pt>
                <c:pt idx="27">
                  <c:v>1.4999999999999999E-2</c:v>
                </c:pt>
                <c:pt idx="28">
                  <c:v>3.3000000000000002E-2</c:v>
                </c:pt>
                <c:pt idx="29">
                  <c:v>2.9000000000000001E-2</c:v>
                </c:pt>
                <c:pt idx="30">
                  <c:v>2.5999999999999999E-2</c:v>
                </c:pt>
                <c:pt idx="31">
                  <c:v>2.3E-2</c:v>
                </c:pt>
                <c:pt idx="32">
                  <c:v>3.7999999999999999E-2</c:v>
                </c:pt>
                <c:pt idx="33">
                  <c:v>8.9999999999999993E-3</c:v>
                </c:pt>
                <c:pt idx="34">
                  <c:v>2.7E-2</c:v>
                </c:pt>
                <c:pt idx="35">
                  <c:v>4.1000000000000002E-2</c:v>
                </c:pt>
                <c:pt idx="36">
                  <c:v>2.9000000000000001E-2</c:v>
                </c:pt>
                <c:pt idx="37">
                  <c:v>0</c:v>
                </c:pt>
                <c:pt idx="38">
                  <c:v>2.3E-2</c:v>
                </c:pt>
                <c:pt idx="39">
                  <c:v>3.2000000000000001E-2</c:v>
                </c:pt>
                <c:pt idx="40">
                  <c:v>2.5999999999999999E-2</c:v>
                </c:pt>
                <c:pt idx="41">
                  <c:v>0</c:v>
                </c:pt>
                <c:pt idx="42">
                  <c:v>1.4999999999999999E-2</c:v>
                </c:pt>
                <c:pt idx="43">
                  <c:v>1.7999999999999999E-2</c:v>
                </c:pt>
                <c:pt idx="44">
                  <c:v>4.4999999999999998E-2</c:v>
                </c:pt>
                <c:pt idx="45">
                  <c:v>4.2000000000000003E-2</c:v>
                </c:pt>
                <c:pt idx="46">
                  <c:v>5.5E-2</c:v>
                </c:pt>
                <c:pt idx="47">
                  <c:v>2.3E-2</c:v>
                </c:pt>
                <c:pt idx="48">
                  <c:v>1.7999999999999999E-2</c:v>
                </c:pt>
                <c:pt idx="49">
                  <c:v>0.10299999999999999</c:v>
                </c:pt>
                <c:pt idx="50">
                  <c:v>1.9E-2</c:v>
                </c:pt>
                <c:pt idx="51">
                  <c:v>7.9000000000000001E-2</c:v>
                </c:pt>
                <c:pt idx="52">
                  <c:v>1.7999999999999999E-2</c:v>
                </c:pt>
                <c:pt idx="53">
                  <c:v>1.2999999999999999E-2</c:v>
                </c:pt>
                <c:pt idx="54">
                  <c:v>3.4000000000000002E-2</c:v>
                </c:pt>
                <c:pt idx="55">
                  <c:v>2.3E-2</c:v>
                </c:pt>
                <c:pt idx="56">
                  <c:v>2.5000000000000001E-2</c:v>
                </c:pt>
                <c:pt idx="57">
                  <c:v>1.4999999999999999E-2</c:v>
                </c:pt>
                <c:pt idx="58">
                  <c:v>2.3E-2</c:v>
                </c:pt>
                <c:pt idx="59">
                  <c:v>1.6E-2</c:v>
                </c:pt>
                <c:pt idx="60">
                  <c:v>0.02</c:v>
                </c:pt>
                <c:pt idx="61">
                  <c:v>1.0999999999999999E-2</c:v>
                </c:pt>
                <c:pt idx="62">
                  <c:v>2.3E-2</c:v>
                </c:pt>
                <c:pt idx="63">
                  <c:v>0</c:v>
                </c:pt>
                <c:pt idx="64">
                  <c:v>1.7999999999999999E-2</c:v>
                </c:pt>
                <c:pt idx="65">
                  <c:v>0</c:v>
                </c:pt>
                <c:pt idx="66">
                  <c:v>4.1000000000000002E-2</c:v>
                </c:pt>
                <c:pt idx="67">
                  <c:v>1.7000000000000001E-2</c:v>
                </c:pt>
                <c:pt idx="68">
                  <c:v>2.3E-2</c:v>
                </c:pt>
                <c:pt idx="69">
                  <c:v>2.3E-2</c:v>
                </c:pt>
                <c:pt idx="70">
                  <c:v>0.02</c:v>
                </c:pt>
                <c:pt idx="71">
                  <c:v>0</c:v>
                </c:pt>
                <c:pt idx="72">
                  <c:v>0.03</c:v>
                </c:pt>
                <c:pt idx="73">
                  <c:v>3.9E-2</c:v>
                </c:pt>
                <c:pt idx="74">
                  <c:v>2.7E-2</c:v>
                </c:pt>
                <c:pt idx="75">
                  <c:v>3.1E-2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3F-4104-BBA1-A6FFBC42C836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'Bypass Funnel'!$B$2:$B$81</c:f>
              <c:numCache>
                <c:formatCode>General</c:formatCode>
                <c:ptCount val="8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43</c:v>
                </c:pt>
                <c:pt idx="8">
                  <c:v>61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77</c:v>
                </c:pt>
                <c:pt idx="14">
                  <c:v>78</c:v>
                </c:pt>
                <c:pt idx="15">
                  <c:v>81</c:v>
                </c:pt>
                <c:pt idx="16">
                  <c:v>82</c:v>
                </c:pt>
                <c:pt idx="17">
                  <c:v>104</c:v>
                </c:pt>
                <c:pt idx="18">
                  <c:v>111</c:v>
                </c:pt>
                <c:pt idx="19">
                  <c:v>113</c:v>
                </c:pt>
                <c:pt idx="20">
                  <c:v>114</c:v>
                </c:pt>
                <c:pt idx="21">
                  <c:v>121</c:v>
                </c:pt>
                <c:pt idx="22">
                  <c:v>124</c:v>
                </c:pt>
                <c:pt idx="23">
                  <c:v>130</c:v>
                </c:pt>
                <c:pt idx="24">
                  <c:v>132</c:v>
                </c:pt>
                <c:pt idx="25">
                  <c:v>139</c:v>
                </c:pt>
                <c:pt idx="26">
                  <c:v>144</c:v>
                </c:pt>
                <c:pt idx="27">
                  <c:v>150</c:v>
                </c:pt>
                <c:pt idx="28">
                  <c:v>153</c:v>
                </c:pt>
                <c:pt idx="29">
                  <c:v>163</c:v>
                </c:pt>
                <c:pt idx="30">
                  <c:v>165</c:v>
                </c:pt>
                <c:pt idx="31">
                  <c:v>173</c:v>
                </c:pt>
                <c:pt idx="32">
                  <c:v>177</c:v>
                </c:pt>
                <c:pt idx="33">
                  <c:v>180</c:v>
                </c:pt>
                <c:pt idx="34">
                  <c:v>181</c:v>
                </c:pt>
                <c:pt idx="35">
                  <c:v>185</c:v>
                </c:pt>
                <c:pt idx="36">
                  <c:v>186</c:v>
                </c:pt>
                <c:pt idx="37">
                  <c:v>188</c:v>
                </c:pt>
                <c:pt idx="38">
                  <c:v>196</c:v>
                </c:pt>
                <c:pt idx="39">
                  <c:v>200</c:v>
                </c:pt>
                <c:pt idx="40">
                  <c:v>206</c:v>
                </c:pt>
                <c:pt idx="41">
                  <c:v>209</c:v>
                </c:pt>
                <c:pt idx="42">
                  <c:v>210</c:v>
                </c:pt>
                <c:pt idx="43">
                  <c:v>212</c:v>
                </c:pt>
                <c:pt idx="44">
                  <c:v>216</c:v>
                </c:pt>
                <c:pt idx="45">
                  <c:v>218</c:v>
                </c:pt>
                <c:pt idx="46">
                  <c:v>226</c:v>
                </c:pt>
                <c:pt idx="47">
                  <c:v>227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241</c:v>
                </c:pt>
                <c:pt idx="52">
                  <c:v>242</c:v>
                </c:pt>
                <c:pt idx="53">
                  <c:v>246</c:v>
                </c:pt>
                <c:pt idx="54">
                  <c:v>265</c:v>
                </c:pt>
                <c:pt idx="55">
                  <c:v>282</c:v>
                </c:pt>
                <c:pt idx="56">
                  <c:v>290</c:v>
                </c:pt>
                <c:pt idx="57">
                  <c:v>322</c:v>
                </c:pt>
                <c:pt idx="58">
                  <c:v>326</c:v>
                </c:pt>
                <c:pt idx="59">
                  <c:v>335</c:v>
                </c:pt>
                <c:pt idx="60">
                  <c:v>337</c:v>
                </c:pt>
                <c:pt idx="61">
                  <c:v>340</c:v>
                </c:pt>
                <c:pt idx="62">
                  <c:v>353</c:v>
                </c:pt>
                <c:pt idx="63">
                  <c:v>369</c:v>
                </c:pt>
                <c:pt idx="64">
                  <c:v>386</c:v>
                </c:pt>
                <c:pt idx="65">
                  <c:v>388</c:v>
                </c:pt>
                <c:pt idx="66">
                  <c:v>394</c:v>
                </c:pt>
                <c:pt idx="67">
                  <c:v>395</c:v>
                </c:pt>
                <c:pt idx="68">
                  <c:v>399</c:v>
                </c:pt>
                <c:pt idx="69">
                  <c:v>407</c:v>
                </c:pt>
                <c:pt idx="70">
                  <c:v>415</c:v>
                </c:pt>
                <c:pt idx="71">
                  <c:v>433</c:v>
                </c:pt>
                <c:pt idx="72">
                  <c:v>460</c:v>
                </c:pt>
                <c:pt idx="73">
                  <c:v>473</c:v>
                </c:pt>
                <c:pt idx="74">
                  <c:v>515</c:v>
                </c:pt>
                <c:pt idx="75">
                  <c:v>545</c:v>
                </c:pt>
                <c:pt idx="76">
                  <c:v>551</c:v>
                </c:pt>
                <c:pt idx="77">
                  <c:v>563</c:v>
                </c:pt>
                <c:pt idx="78">
                  <c:v>606</c:v>
                </c:pt>
                <c:pt idx="79">
                  <c:v>650</c:v>
                </c:pt>
              </c:numCache>
            </c:numRef>
          </c:xVal>
          <c:yVal>
            <c:numRef>
              <c:f>'Bypass Funnel'!$D$2:$D$81</c:f>
              <c:numCache>
                <c:formatCode>0.0%</c:formatCode>
                <c:ptCount val="80"/>
                <c:pt idx="0">
                  <c:v>2.4E-2</c:v>
                </c:pt>
                <c:pt idx="1">
                  <c:v>2.4E-2</c:v>
                </c:pt>
                <c:pt idx="2">
                  <c:v>2.4E-2</c:v>
                </c:pt>
                <c:pt idx="3">
                  <c:v>2.4E-2</c:v>
                </c:pt>
                <c:pt idx="4">
                  <c:v>2.4E-2</c:v>
                </c:pt>
                <c:pt idx="5">
                  <c:v>2.4E-2</c:v>
                </c:pt>
                <c:pt idx="6">
                  <c:v>2.4E-2</c:v>
                </c:pt>
                <c:pt idx="7">
                  <c:v>2.4E-2</c:v>
                </c:pt>
                <c:pt idx="8">
                  <c:v>2.4E-2</c:v>
                </c:pt>
                <c:pt idx="9">
                  <c:v>2.4E-2</c:v>
                </c:pt>
                <c:pt idx="10">
                  <c:v>2.4E-2</c:v>
                </c:pt>
                <c:pt idx="11">
                  <c:v>2.4E-2</c:v>
                </c:pt>
                <c:pt idx="12">
                  <c:v>2.4E-2</c:v>
                </c:pt>
                <c:pt idx="13">
                  <c:v>2.4E-2</c:v>
                </c:pt>
                <c:pt idx="14">
                  <c:v>2.4E-2</c:v>
                </c:pt>
                <c:pt idx="15">
                  <c:v>2.4E-2</c:v>
                </c:pt>
                <c:pt idx="16">
                  <c:v>2.4E-2</c:v>
                </c:pt>
                <c:pt idx="17">
                  <c:v>2.4E-2</c:v>
                </c:pt>
                <c:pt idx="18">
                  <c:v>2.4E-2</c:v>
                </c:pt>
                <c:pt idx="19">
                  <c:v>2.4E-2</c:v>
                </c:pt>
                <c:pt idx="20">
                  <c:v>2.4E-2</c:v>
                </c:pt>
                <c:pt idx="21">
                  <c:v>2.4E-2</c:v>
                </c:pt>
                <c:pt idx="22">
                  <c:v>2.4E-2</c:v>
                </c:pt>
                <c:pt idx="23">
                  <c:v>2.4E-2</c:v>
                </c:pt>
                <c:pt idx="24">
                  <c:v>2.4E-2</c:v>
                </c:pt>
                <c:pt idx="25">
                  <c:v>2.4E-2</c:v>
                </c:pt>
                <c:pt idx="26">
                  <c:v>2.4E-2</c:v>
                </c:pt>
                <c:pt idx="27">
                  <c:v>2.4E-2</c:v>
                </c:pt>
                <c:pt idx="28">
                  <c:v>2.4E-2</c:v>
                </c:pt>
                <c:pt idx="29">
                  <c:v>2.4E-2</c:v>
                </c:pt>
                <c:pt idx="30">
                  <c:v>2.4E-2</c:v>
                </c:pt>
                <c:pt idx="31">
                  <c:v>2.4E-2</c:v>
                </c:pt>
                <c:pt idx="32">
                  <c:v>2.4E-2</c:v>
                </c:pt>
                <c:pt idx="33">
                  <c:v>2.4E-2</c:v>
                </c:pt>
                <c:pt idx="34">
                  <c:v>2.4E-2</c:v>
                </c:pt>
                <c:pt idx="35">
                  <c:v>2.4E-2</c:v>
                </c:pt>
                <c:pt idx="36">
                  <c:v>2.4E-2</c:v>
                </c:pt>
                <c:pt idx="37">
                  <c:v>2.4E-2</c:v>
                </c:pt>
                <c:pt idx="38">
                  <c:v>2.4E-2</c:v>
                </c:pt>
                <c:pt idx="39">
                  <c:v>2.4E-2</c:v>
                </c:pt>
                <c:pt idx="40">
                  <c:v>2.4E-2</c:v>
                </c:pt>
                <c:pt idx="41">
                  <c:v>2.4E-2</c:v>
                </c:pt>
                <c:pt idx="42">
                  <c:v>2.4E-2</c:v>
                </c:pt>
                <c:pt idx="43">
                  <c:v>2.4E-2</c:v>
                </c:pt>
                <c:pt idx="44">
                  <c:v>2.4E-2</c:v>
                </c:pt>
                <c:pt idx="45">
                  <c:v>2.4E-2</c:v>
                </c:pt>
                <c:pt idx="46">
                  <c:v>2.4E-2</c:v>
                </c:pt>
                <c:pt idx="47">
                  <c:v>2.4E-2</c:v>
                </c:pt>
                <c:pt idx="48">
                  <c:v>2.4E-2</c:v>
                </c:pt>
                <c:pt idx="49">
                  <c:v>2.4E-2</c:v>
                </c:pt>
                <c:pt idx="50">
                  <c:v>2.4E-2</c:v>
                </c:pt>
                <c:pt idx="51">
                  <c:v>2.4E-2</c:v>
                </c:pt>
                <c:pt idx="52">
                  <c:v>2.4E-2</c:v>
                </c:pt>
                <c:pt idx="53">
                  <c:v>2.4E-2</c:v>
                </c:pt>
                <c:pt idx="54">
                  <c:v>2.4E-2</c:v>
                </c:pt>
                <c:pt idx="55">
                  <c:v>2.4E-2</c:v>
                </c:pt>
                <c:pt idx="56">
                  <c:v>2.4E-2</c:v>
                </c:pt>
                <c:pt idx="57">
                  <c:v>2.4E-2</c:v>
                </c:pt>
                <c:pt idx="58">
                  <c:v>2.4E-2</c:v>
                </c:pt>
                <c:pt idx="59">
                  <c:v>2.4E-2</c:v>
                </c:pt>
                <c:pt idx="60">
                  <c:v>2.4E-2</c:v>
                </c:pt>
                <c:pt idx="61">
                  <c:v>2.4E-2</c:v>
                </c:pt>
                <c:pt idx="62">
                  <c:v>2.4E-2</c:v>
                </c:pt>
                <c:pt idx="63">
                  <c:v>2.4E-2</c:v>
                </c:pt>
                <c:pt idx="64">
                  <c:v>2.4E-2</c:v>
                </c:pt>
                <c:pt idx="65">
                  <c:v>2.4E-2</c:v>
                </c:pt>
                <c:pt idx="66">
                  <c:v>2.4E-2</c:v>
                </c:pt>
                <c:pt idx="67">
                  <c:v>2.4E-2</c:v>
                </c:pt>
                <c:pt idx="68">
                  <c:v>2.4E-2</c:v>
                </c:pt>
                <c:pt idx="69">
                  <c:v>2.4E-2</c:v>
                </c:pt>
                <c:pt idx="70">
                  <c:v>2.4E-2</c:v>
                </c:pt>
                <c:pt idx="71">
                  <c:v>2.4E-2</c:v>
                </c:pt>
                <c:pt idx="72">
                  <c:v>2.4E-2</c:v>
                </c:pt>
                <c:pt idx="73">
                  <c:v>2.4E-2</c:v>
                </c:pt>
                <c:pt idx="74">
                  <c:v>2.4E-2</c:v>
                </c:pt>
                <c:pt idx="75">
                  <c:v>2.4E-2</c:v>
                </c:pt>
                <c:pt idx="76">
                  <c:v>2.4E-2</c:v>
                </c:pt>
                <c:pt idx="77">
                  <c:v>2.4E-2</c:v>
                </c:pt>
                <c:pt idx="78">
                  <c:v>2.4E-2</c:v>
                </c:pt>
                <c:pt idx="79">
                  <c:v>2.4E-2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F-4104-BBA1-A6FFBC42C836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'Bypass Funnel'!$B$2:$B$81</c:f>
              <c:numCache>
                <c:formatCode>General</c:formatCode>
                <c:ptCount val="8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43</c:v>
                </c:pt>
                <c:pt idx="8">
                  <c:v>61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77</c:v>
                </c:pt>
                <c:pt idx="14">
                  <c:v>78</c:v>
                </c:pt>
                <c:pt idx="15">
                  <c:v>81</c:v>
                </c:pt>
                <c:pt idx="16">
                  <c:v>82</c:v>
                </c:pt>
                <c:pt idx="17">
                  <c:v>104</c:v>
                </c:pt>
                <c:pt idx="18">
                  <c:v>111</c:v>
                </c:pt>
                <c:pt idx="19">
                  <c:v>113</c:v>
                </c:pt>
                <c:pt idx="20">
                  <c:v>114</c:v>
                </c:pt>
                <c:pt idx="21">
                  <c:v>121</c:v>
                </c:pt>
                <c:pt idx="22">
                  <c:v>124</c:v>
                </c:pt>
                <c:pt idx="23">
                  <c:v>130</c:v>
                </c:pt>
                <c:pt idx="24">
                  <c:v>132</c:v>
                </c:pt>
                <c:pt idx="25">
                  <c:v>139</c:v>
                </c:pt>
                <c:pt idx="26">
                  <c:v>144</c:v>
                </c:pt>
                <c:pt idx="27">
                  <c:v>150</c:v>
                </c:pt>
                <c:pt idx="28">
                  <c:v>153</c:v>
                </c:pt>
                <c:pt idx="29">
                  <c:v>163</c:v>
                </c:pt>
                <c:pt idx="30">
                  <c:v>165</c:v>
                </c:pt>
                <c:pt idx="31">
                  <c:v>173</c:v>
                </c:pt>
                <c:pt idx="32">
                  <c:v>177</c:v>
                </c:pt>
                <c:pt idx="33">
                  <c:v>180</c:v>
                </c:pt>
                <c:pt idx="34">
                  <c:v>181</c:v>
                </c:pt>
                <c:pt idx="35">
                  <c:v>185</c:v>
                </c:pt>
                <c:pt idx="36">
                  <c:v>186</c:v>
                </c:pt>
                <c:pt idx="37">
                  <c:v>188</c:v>
                </c:pt>
                <c:pt idx="38">
                  <c:v>196</c:v>
                </c:pt>
                <c:pt idx="39">
                  <c:v>200</c:v>
                </c:pt>
                <c:pt idx="40">
                  <c:v>206</c:v>
                </c:pt>
                <c:pt idx="41">
                  <c:v>209</c:v>
                </c:pt>
                <c:pt idx="42">
                  <c:v>210</c:v>
                </c:pt>
                <c:pt idx="43">
                  <c:v>212</c:v>
                </c:pt>
                <c:pt idx="44">
                  <c:v>216</c:v>
                </c:pt>
                <c:pt idx="45">
                  <c:v>218</c:v>
                </c:pt>
                <c:pt idx="46">
                  <c:v>226</c:v>
                </c:pt>
                <c:pt idx="47">
                  <c:v>227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241</c:v>
                </c:pt>
                <c:pt idx="52">
                  <c:v>242</c:v>
                </c:pt>
                <c:pt idx="53">
                  <c:v>246</c:v>
                </c:pt>
                <c:pt idx="54">
                  <c:v>265</c:v>
                </c:pt>
                <c:pt idx="55">
                  <c:v>282</c:v>
                </c:pt>
                <c:pt idx="56">
                  <c:v>290</c:v>
                </c:pt>
                <c:pt idx="57">
                  <c:v>322</c:v>
                </c:pt>
                <c:pt idx="58">
                  <c:v>326</c:v>
                </c:pt>
                <c:pt idx="59">
                  <c:v>335</c:v>
                </c:pt>
                <c:pt idx="60">
                  <c:v>337</c:v>
                </c:pt>
                <c:pt idx="61">
                  <c:v>340</c:v>
                </c:pt>
                <c:pt idx="62">
                  <c:v>353</c:v>
                </c:pt>
                <c:pt idx="63">
                  <c:v>369</c:v>
                </c:pt>
                <c:pt idx="64">
                  <c:v>386</c:v>
                </c:pt>
                <c:pt idx="65">
                  <c:v>388</c:v>
                </c:pt>
                <c:pt idx="66">
                  <c:v>394</c:v>
                </c:pt>
                <c:pt idx="67">
                  <c:v>395</c:v>
                </c:pt>
                <c:pt idx="68">
                  <c:v>399</c:v>
                </c:pt>
                <c:pt idx="69">
                  <c:v>407</c:v>
                </c:pt>
                <c:pt idx="70">
                  <c:v>415</c:v>
                </c:pt>
                <c:pt idx="71">
                  <c:v>433</c:v>
                </c:pt>
                <c:pt idx="72">
                  <c:v>460</c:v>
                </c:pt>
                <c:pt idx="73">
                  <c:v>473</c:v>
                </c:pt>
                <c:pt idx="74">
                  <c:v>515</c:v>
                </c:pt>
                <c:pt idx="75">
                  <c:v>545</c:v>
                </c:pt>
                <c:pt idx="76">
                  <c:v>551</c:v>
                </c:pt>
                <c:pt idx="77">
                  <c:v>563</c:v>
                </c:pt>
                <c:pt idx="78">
                  <c:v>606</c:v>
                </c:pt>
                <c:pt idx="79">
                  <c:v>650</c:v>
                </c:pt>
              </c:numCache>
            </c:numRef>
          </c:xVal>
          <c:yVal>
            <c:numRef>
              <c:f>'Bypass Funnel'!$C$2:$C$81</c:f>
              <c:numCache>
                <c:formatCode>0.00%</c:formatCode>
                <c:ptCount val="80"/>
                <c:pt idx="0">
                  <c:v>0.5</c:v>
                </c:pt>
                <c:pt idx="1">
                  <c:v>0.48502160000000005</c:v>
                </c:pt>
                <c:pt idx="2">
                  <c:v>0.32201150000000001</c:v>
                </c:pt>
                <c:pt idx="3">
                  <c:v>0.28895949999999998</c:v>
                </c:pt>
                <c:pt idx="4">
                  <c:v>0.25835130000000006</c:v>
                </c:pt>
                <c:pt idx="5">
                  <c:v>0.24477660000000001</c:v>
                </c:pt>
                <c:pt idx="6">
                  <c:v>0.23235489999999998</c:v>
                </c:pt>
                <c:pt idx="7">
                  <c:v>0.13659390000000002</c:v>
                </c:pt>
                <c:pt idx="8">
                  <c:v>0.11314070000000001</c:v>
                </c:pt>
                <c:pt idx="9">
                  <c:v>0.10718000000000004</c:v>
                </c:pt>
                <c:pt idx="10">
                  <c:v>0.10663960000000003</c:v>
                </c:pt>
                <c:pt idx="11">
                  <c:v>0.10602829999999998</c:v>
                </c:pt>
                <c:pt idx="12">
                  <c:v>0.10535849999999997</c:v>
                </c:pt>
                <c:pt idx="13">
                  <c:v>0.10144909999999996</c:v>
                </c:pt>
                <c:pt idx="14">
                  <c:v>0.10060190000000006</c:v>
                </c:pt>
                <c:pt idx="15">
                  <c:v>9.8011159999999931E-2</c:v>
                </c:pt>
                <c:pt idx="16">
                  <c:v>9.7141189999999961E-2</c:v>
                </c:pt>
                <c:pt idx="17">
                  <c:v>8.7035039999999952E-2</c:v>
                </c:pt>
                <c:pt idx="18">
                  <c:v>8.5780040000000071E-2</c:v>
                </c:pt>
                <c:pt idx="19">
                  <c:v>8.5126159999999937E-2</c:v>
                </c:pt>
                <c:pt idx="20">
                  <c:v>8.4768130000000066E-2</c:v>
                </c:pt>
                <c:pt idx="21">
                  <c:v>8.1891760000000036E-2</c:v>
                </c:pt>
                <c:pt idx="22">
                  <c:v>8.0548289999999981E-2</c:v>
                </c:pt>
                <c:pt idx="23">
                  <c:v>7.9851050000000048E-2</c:v>
                </c:pt>
                <c:pt idx="24">
                  <c:v>7.946561000000002E-2</c:v>
                </c:pt>
                <c:pt idx="25">
                  <c:v>7.7585250000000064E-2</c:v>
                </c:pt>
                <c:pt idx="26">
                  <c:v>7.5947610000000054E-2</c:v>
                </c:pt>
                <c:pt idx="27">
                  <c:v>7.4946000000000054E-2</c:v>
                </c:pt>
                <c:pt idx="28">
                  <c:v>7.4604960000000067E-2</c:v>
                </c:pt>
                <c:pt idx="29">
                  <c:v>7.2549389999999936E-2</c:v>
                </c:pt>
                <c:pt idx="30">
                  <c:v>7.2036590000000011E-2</c:v>
                </c:pt>
                <c:pt idx="31">
                  <c:v>7.0753579999999941E-2</c:v>
                </c:pt>
                <c:pt idx="32">
                  <c:v>7.0369850000000012E-2</c:v>
                </c:pt>
                <c:pt idx="33">
                  <c:v>6.9948660000000024E-2</c:v>
                </c:pt>
                <c:pt idx="34">
                  <c:v>6.9788259999999977E-2</c:v>
                </c:pt>
                <c:pt idx="35">
                  <c:v>6.9067830000000038E-2</c:v>
                </c:pt>
                <c:pt idx="36">
                  <c:v>6.887136999999996E-2</c:v>
                </c:pt>
                <c:pt idx="37">
                  <c:v>6.8462870000000037E-2</c:v>
                </c:pt>
                <c:pt idx="38">
                  <c:v>6.7339429999999964E-2</c:v>
                </c:pt>
                <c:pt idx="39">
                  <c:v>6.7065159999999929E-2</c:v>
                </c:pt>
                <c:pt idx="40">
                  <c:v>6.6354249999999976E-2</c:v>
                </c:pt>
                <c:pt idx="41">
                  <c:v>6.590365000000005E-2</c:v>
                </c:pt>
                <c:pt idx="42">
                  <c:v>6.5742869999999981E-2</c:v>
                </c:pt>
                <c:pt idx="43">
                  <c:v>6.5407960000000001E-2</c:v>
                </c:pt>
                <c:pt idx="44">
                  <c:v>6.4694750000000023E-2</c:v>
                </c:pt>
                <c:pt idx="45">
                  <c:v>6.4496649999999961E-2</c:v>
                </c:pt>
                <c:pt idx="46">
                  <c:v>6.4083899999999971E-2</c:v>
                </c:pt>
                <c:pt idx="47">
                  <c:v>6.3991950000000061E-2</c:v>
                </c:pt>
                <c:pt idx="48">
                  <c:v>6.3676130000000053E-2</c:v>
                </c:pt>
                <c:pt idx="49">
                  <c:v>6.3559070000000023E-2</c:v>
                </c:pt>
                <c:pt idx="50">
                  <c:v>6.3436820000000005E-2</c:v>
                </c:pt>
                <c:pt idx="51">
                  <c:v>6.2158340000000006E-2</c:v>
                </c:pt>
                <c:pt idx="52">
                  <c:v>6.2031149999999965E-2</c:v>
                </c:pt>
                <c:pt idx="53">
                  <c:v>6.1958209999999951E-2</c:v>
                </c:pt>
                <c:pt idx="54">
                  <c:v>6.0181570000000024E-2</c:v>
                </c:pt>
                <c:pt idx="55">
                  <c:v>5.9176750000000028E-2</c:v>
                </c:pt>
                <c:pt idx="56">
                  <c:v>5.8375180000000026E-2</c:v>
                </c:pt>
                <c:pt idx="57">
                  <c:v>5.6403920000000059E-2</c:v>
                </c:pt>
                <c:pt idx="58">
                  <c:v>5.630027999999996E-2</c:v>
                </c:pt>
                <c:pt idx="59">
                  <c:v>5.5823129999999992E-2</c:v>
                </c:pt>
                <c:pt idx="60">
                  <c:v>5.5682319999999945E-2</c:v>
                </c:pt>
                <c:pt idx="61">
                  <c:v>5.5452990000000001E-2</c:v>
                </c:pt>
                <c:pt idx="62">
                  <c:v>5.4858540000000032E-2</c:v>
                </c:pt>
                <c:pt idx="63">
                  <c:v>5.3958319999999983E-2</c:v>
                </c:pt>
                <c:pt idx="64">
                  <c:v>5.3354180000000043E-2</c:v>
                </c:pt>
                <c:pt idx="65">
                  <c:v>5.3257109999999983E-2</c:v>
                </c:pt>
                <c:pt idx="66">
                  <c:v>5.2914399999999945E-2</c:v>
                </c:pt>
                <c:pt idx="67">
                  <c:v>5.2850830000000001E-2</c:v>
                </c:pt>
                <c:pt idx="68">
                  <c:v>5.2581349999999957E-2</c:v>
                </c:pt>
                <c:pt idx="69">
                  <c:v>5.2437649999999961E-2</c:v>
                </c:pt>
                <c:pt idx="70">
                  <c:v>5.2157899999999986E-2</c:v>
                </c:pt>
                <c:pt idx="71">
                  <c:v>5.142583000000002E-2</c:v>
                </c:pt>
                <c:pt idx="72">
                  <c:v>5.0485520000000006E-2</c:v>
                </c:pt>
                <c:pt idx="73">
                  <c:v>5.0128969999999953E-2</c:v>
                </c:pt>
                <c:pt idx="74">
                  <c:v>4.882452000000001E-2</c:v>
                </c:pt>
                <c:pt idx="75">
                  <c:v>4.8074419999999944E-2</c:v>
                </c:pt>
                <c:pt idx="76">
                  <c:v>4.7989060000000021E-2</c:v>
                </c:pt>
                <c:pt idx="77">
                  <c:v>4.7655110000000035E-2</c:v>
                </c:pt>
                <c:pt idx="78">
                  <c:v>4.6726440000000057E-2</c:v>
                </c:pt>
                <c:pt idx="79">
                  <c:v>4.5849130000000002E-2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3F-4104-BBA1-A6FFBC42C836}"/>
            </c:ext>
          </c:extLst>
        </c:ser>
        <c:ser>
          <c:idx val="3"/>
          <c:order val="3"/>
          <c:tx>
            <c:strRef>
              <c:f>'Bypass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'Bypass Summary'!$D$30</c:f>
              <c:numCache>
                <c:formatCode>General</c:formatCode>
                <c:ptCount val="1"/>
                <c:pt idx="0">
                  <c:v>206</c:v>
                </c:pt>
              </c:numCache>
            </c:numRef>
          </c:xVal>
          <c:yVal>
            <c:numRef>
              <c:f>'Bypass Summary'!$F$30</c:f>
              <c:numCache>
                <c:formatCode>0.0%</c:formatCode>
                <c:ptCount val="1"/>
                <c:pt idx="0">
                  <c:v>2.1999999999999999E-2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3F-4104-BBA1-A6FFBC42C836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'Bypass Funnel'!$B$2:$B$81</c:f>
              <c:numCache>
                <c:formatCode>General</c:formatCode>
                <c:ptCount val="8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43</c:v>
                </c:pt>
                <c:pt idx="8">
                  <c:v>61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77</c:v>
                </c:pt>
                <c:pt idx="14">
                  <c:v>78</c:v>
                </c:pt>
                <c:pt idx="15">
                  <c:v>81</c:v>
                </c:pt>
                <c:pt idx="16">
                  <c:v>82</c:v>
                </c:pt>
                <c:pt idx="17">
                  <c:v>104</c:v>
                </c:pt>
                <c:pt idx="18">
                  <c:v>111</c:v>
                </c:pt>
                <c:pt idx="19">
                  <c:v>113</c:v>
                </c:pt>
                <c:pt idx="20">
                  <c:v>114</c:v>
                </c:pt>
                <c:pt idx="21">
                  <c:v>121</c:v>
                </c:pt>
                <c:pt idx="22">
                  <c:v>124</c:v>
                </c:pt>
                <c:pt idx="23">
                  <c:v>130</c:v>
                </c:pt>
                <c:pt idx="24">
                  <c:v>132</c:v>
                </c:pt>
                <c:pt idx="25">
                  <c:v>139</c:v>
                </c:pt>
                <c:pt idx="26">
                  <c:v>144</c:v>
                </c:pt>
                <c:pt idx="27">
                  <c:v>150</c:v>
                </c:pt>
                <c:pt idx="28">
                  <c:v>153</c:v>
                </c:pt>
                <c:pt idx="29">
                  <c:v>163</c:v>
                </c:pt>
                <c:pt idx="30">
                  <c:v>165</c:v>
                </c:pt>
                <c:pt idx="31">
                  <c:v>173</c:v>
                </c:pt>
                <c:pt idx="32">
                  <c:v>177</c:v>
                </c:pt>
                <c:pt idx="33">
                  <c:v>180</c:v>
                </c:pt>
                <c:pt idx="34">
                  <c:v>181</c:v>
                </c:pt>
                <c:pt idx="35">
                  <c:v>185</c:v>
                </c:pt>
                <c:pt idx="36">
                  <c:v>186</c:v>
                </c:pt>
                <c:pt idx="37">
                  <c:v>188</c:v>
                </c:pt>
                <c:pt idx="38">
                  <c:v>196</c:v>
                </c:pt>
                <c:pt idx="39">
                  <c:v>200</c:v>
                </c:pt>
                <c:pt idx="40">
                  <c:v>206</c:v>
                </c:pt>
                <c:pt idx="41">
                  <c:v>209</c:v>
                </c:pt>
                <c:pt idx="42">
                  <c:v>210</c:v>
                </c:pt>
                <c:pt idx="43">
                  <c:v>212</c:v>
                </c:pt>
                <c:pt idx="44">
                  <c:v>216</c:v>
                </c:pt>
                <c:pt idx="45">
                  <c:v>218</c:v>
                </c:pt>
                <c:pt idx="46">
                  <c:v>226</c:v>
                </c:pt>
                <c:pt idx="47">
                  <c:v>227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241</c:v>
                </c:pt>
                <c:pt idx="52">
                  <c:v>242</c:v>
                </c:pt>
                <c:pt idx="53">
                  <c:v>246</c:v>
                </c:pt>
                <c:pt idx="54">
                  <c:v>265</c:v>
                </c:pt>
                <c:pt idx="55">
                  <c:v>282</c:v>
                </c:pt>
                <c:pt idx="56">
                  <c:v>290</c:v>
                </c:pt>
                <c:pt idx="57">
                  <c:v>322</c:v>
                </c:pt>
                <c:pt idx="58">
                  <c:v>326</c:v>
                </c:pt>
                <c:pt idx="59">
                  <c:v>335</c:v>
                </c:pt>
                <c:pt idx="60">
                  <c:v>337</c:v>
                </c:pt>
                <c:pt idx="61">
                  <c:v>340</c:v>
                </c:pt>
                <c:pt idx="62">
                  <c:v>353</c:v>
                </c:pt>
                <c:pt idx="63">
                  <c:v>369</c:v>
                </c:pt>
                <c:pt idx="64">
                  <c:v>386</c:v>
                </c:pt>
                <c:pt idx="65">
                  <c:v>388</c:v>
                </c:pt>
                <c:pt idx="66">
                  <c:v>394</c:v>
                </c:pt>
                <c:pt idx="67">
                  <c:v>395</c:v>
                </c:pt>
                <c:pt idx="68">
                  <c:v>399</c:v>
                </c:pt>
                <c:pt idx="69">
                  <c:v>407</c:v>
                </c:pt>
                <c:pt idx="70">
                  <c:v>415</c:v>
                </c:pt>
                <c:pt idx="71">
                  <c:v>433</c:v>
                </c:pt>
                <c:pt idx="72">
                  <c:v>460</c:v>
                </c:pt>
                <c:pt idx="73">
                  <c:v>473</c:v>
                </c:pt>
                <c:pt idx="74">
                  <c:v>515</c:v>
                </c:pt>
                <c:pt idx="75">
                  <c:v>545</c:v>
                </c:pt>
                <c:pt idx="76">
                  <c:v>551</c:v>
                </c:pt>
                <c:pt idx="77">
                  <c:v>563</c:v>
                </c:pt>
                <c:pt idx="78">
                  <c:v>606</c:v>
                </c:pt>
                <c:pt idx="79">
                  <c:v>650</c:v>
                </c:pt>
              </c:numCache>
            </c:numRef>
          </c:xVal>
          <c:yVal>
            <c:numRef>
              <c:f>'Bypass Funnel'!$E$2:$E$81</c:f>
              <c:numCache>
                <c:formatCode>0.00%</c:formatCode>
                <c:ptCount val="80"/>
                <c:pt idx="56">
                  <c:v>1.3485000000002857E-4</c:v>
                </c:pt>
                <c:pt idx="57">
                  <c:v>7.0524300000002422E-4</c:v>
                </c:pt>
                <c:pt idx="58">
                  <c:v>7.9850399999997984E-4</c:v>
                </c:pt>
                <c:pt idx="59">
                  <c:v>1.0329509999999686E-3</c:v>
                </c:pt>
                <c:pt idx="60">
                  <c:v>1.0902049999999975E-3</c:v>
                </c:pt>
                <c:pt idx="61">
                  <c:v>1.1799670000000617E-3</c:v>
                </c:pt>
                <c:pt idx="62">
                  <c:v>1.6302480000000229E-3</c:v>
                </c:pt>
                <c:pt idx="63">
                  <c:v>2.356666999999959E-3</c:v>
                </c:pt>
                <c:pt idx="64">
                  <c:v>2.7623339999999531E-3</c:v>
                </c:pt>
                <c:pt idx="65">
                  <c:v>2.7817559999999729E-3</c:v>
                </c:pt>
                <c:pt idx="66">
                  <c:v>2.8462179999999646E-3</c:v>
                </c:pt>
                <c:pt idx="67">
                  <c:v>2.8579159999999604E-3</c:v>
                </c:pt>
                <c:pt idx="68">
                  <c:v>2.9076229999999725E-3</c:v>
                </c:pt>
                <c:pt idx="69">
                  <c:v>3.022205999999983E-3</c:v>
                </c:pt>
                <c:pt idx="70">
                  <c:v>3.1596820000000035E-3</c:v>
                </c:pt>
                <c:pt idx="71">
                  <c:v>3.5727489999999307E-3</c:v>
                </c:pt>
                <c:pt idx="72">
                  <c:v>4.4066379999999584E-3</c:v>
                </c:pt>
                <c:pt idx="73">
                  <c:v>4.4984150000000507E-3</c:v>
                </c:pt>
                <c:pt idx="74">
                  <c:v>5.1737869999999471E-3</c:v>
                </c:pt>
                <c:pt idx="75">
                  <c:v>5.7227989999999807E-3</c:v>
                </c:pt>
                <c:pt idx="76">
                  <c:v>5.7671589999999636E-3</c:v>
                </c:pt>
                <c:pt idx="77">
                  <c:v>5.8866580000000116E-3</c:v>
                </c:pt>
                <c:pt idx="78">
                  <c:v>6.664784000000026E-3</c:v>
                </c:pt>
                <c:pt idx="79">
                  <c:v>7.0721570000000615E-3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9F-4DF7-B07A-EA317F3CEB46}"/>
            </c:ext>
          </c:extLst>
        </c:ser>
        <c:ser>
          <c:idx val="5"/>
          <c:order val="5"/>
          <c:tx>
            <c:v>Upper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'Bypass Funnel'!$B$2:$B$81</c:f>
              <c:numCache>
                <c:formatCode>General</c:formatCode>
                <c:ptCount val="8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43</c:v>
                </c:pt>
                <c:pt idx="8">
                  <c:v>61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77</c:v>
                </c:pt>
                <c:pt idx="14">
                  <c:v>78</c:v>
                </c:pt>
                <c:pt idx="15">
                  <c:v>81</c:v>
                </c:pt>
                <c:pt idx="16">
                  <c:v>82</c:v>
                </c:pt>
                <c:pt idx="17">
                  <c:v>104</c:v>
                </c:pt>
                <c:pt idx="18">
                  <c:v>111</c:v>
                </c:pt>
                <c:pt idx="19">
                  <c:v>113</c:v>
                </c:pt>
                <c:pt idx="20">
                  <c:v>114</c:v>
                </c:pt>
                <c:pt idx="21">
                  <c:v>121</c:v>
                </c:pt>
                <c:pt idx="22">
                  <c:v>124</c:v>
                </c:pt>
                <c:pt idx="23">
                  <c:v>130</c:v>
                </c:pt>
                <c:pt idx="24">
                  <c:v>132</c:v>
                </c:pt>
                <c:pt idx="25">
                  <c:v>139</c:v>
                </c:pt>
                <c:pt idx="26">
                  <c:v>144</c:v>
                </c:pt>
                <c:pt idx="27">
                  <c:v>150</c:v>
                </c:pt>
                <c:pt idx="28">
                  <c:v>153</c:v>
                </c:pt>
                <c:pt idx="29">
                  <c:v>163</c:v>
                </c:pt>
                <c:pt idx="30">
                  <c:v>165</c:v>
                </c:pt>
                <c:pt idx="31">
                  <c:v>173</c:v>
                </c:pt>
                <c:pt idx="32">
                  <c:v>177</c:v>
                </c:pt>
                <c:pt idx="33">
                  <c:v>180</c:v>
                </c:pt>
                <c:pt idx="34">
                  <c:v>181</c:v>
                </c:pt>
                <c:pt idx="35">
                  <c:v>185</c:v>
                </c:pt>
                <c:pt idx="36">
                  <c:v>186</c:v>
                </c:pt>
                <c:pt idx="37">
                  <c:v>188</c:v>
                </c:pt>
                <c:pt idx="38">
                  <c:v>196</c:v>
                </c:pt>
                <c:pt idx="39">
                  <c:v>200</c:v>
                </c:pt>
                <c:pt idx="40">
                  <c:v>206</c:v>
                </c:pt>
                <c:pt idx="41">
                  <c:v>209</c:v>
                </c:pt>
                <c:pt idx="42">
                  <c:v>210</c:v>
                </c:pt>
                <c:pt idx="43">
                  <c:v>212</c:v>
                </c:pt>
                <c:pt idx="44">
                  <c:v>216</c:v>
                </c:pt>
                <c:pt idx="45">
                  <c:v>218</c:v>
                </c:pt>
                <c:pt idx="46">
                  <c:v>226</c:v>
                </c:pt>
                <c:pt idx="47">
                  <c:v>227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241</c:v>
                </c:pt>
                <c:pt idx="52">
                  <c:v>242</c:v>
                </c:pt>
                <c:pt idx="53">
                  <c:v>246</c:v>
                </c:pt>
                <c:pt idx="54">
                  <c:v>265</c:v>
                </c:pt>
                <c:pt idx="55">
                  <c:v>282</c:v>
                </c:pt>
                <c:pt idx="56">
                  <c:v>290</c:v>
                </c:pt>
                <c:pt idx="57">
                  <c:v>322</c:v>
                </c:pt>
                <c:pt idx="58">
                  <c:v>326</c:v>
                </c:pt>
                <c:pt idx="59">
                  <c:v>335</c:v>
                </c:pt>
                <c:pt idx="60">
                  <c:v>337</c:v>
                </c:pt>
                <c:pt idx="61">
                  <c:v>340</c:v>
                </c:pt>
                <c:pt idx="62">
                  <c:v>353</c:v>
                </c:pt>
                <c:pt idx="63">
                  <c:v>369</c:v>
                </c:pt>
                <c:pt idx="64">
                  <c:v>386</c:v>
                </c:pt>
                <c:pt idx="65">
                  <c:v>388</c:v>
                </c:pt>
                <c:pt idx="66">
                  <c:v>394</c:v>
                </c:pt>
                <c:pt idx="67">
                  <c:v>395</c:v>
                </c:pt>
                <c:pt idx="68">
                  <c:v>399</c:v>
                </c:pt>
                <c:pt idx="69">
                  <c:v>407</c:v>
                </c:pt>
                <c:pt idx="70">
                  <c:v>415</c:v>
                </c:pt>
                <c:pt idx="71">
                  <c:v>433</c:v>
                </c:pt>
                <c:pt idx="72">
                  <c:v>460</c:v>
                </c:pt>
                <c:pt idx="73">
                  <c:v>473</c:v>
                </c:pt>
                <c:pt idx="74">
                  <c:v>515</c:v>
                </c:pt>
                <c:pt idx="75">
                  <c:v>545</c:v>
                </c:pt>
                <c:pt idx="76">
                  <c:v>551</c:v>
                </c:pt>
                <c:pt idx="77">
                  <c:v>563</c:v>
                </c:pt>
                <c:pt idx="78">
                  <c:v>606</c:v>
                </c:pt>
                <c:pt idx="79">
                  <c:v>650</c:v>
                </c:pt>
              </c:numCache>
            </c:numRef>
          </c:xVal>
          <c:yVal>
            <c:numRef>
              <c:f>'Bypass Funnel'!$G$2:$G$81</c:f>
              <c:numCache>
                <c:formatCode>0.00%</c:formatCode>
                <c:ptCount val="80"/>
                <c:pt idx="0">
                  <c:v>0.5</c:v>
                </c:pt>
                <c:pt idx="1">
                  <c:v>0.31190000000000001</c:v>
                </c:pt>
                <c:pt idx="2">
                  <c:v>0.19309999999999999</c:v>
                </c:pt>
                <c:pt idx="3">
                  <c:v>0.18390000000000001</c:v>
                </c:pt>
                <c:pt idx="4">
                  <c:v>0.17100000000000001</c:v>
                </c:pt>
                <c:pt idx="5">
                  <c:v>0.16450000000000001</c:v>
                </c:pt>
                <c:pt idx="6">
                  <c:v>0.15820000000000001</c:v>
                </c:pt>
                <c:pt idx="7">
                  <c:v>9.1399999999999995E-2</c:v>
                </c:pt>
                <c:pt idx="8">
                  <c:v>7.8899999999999998E-2</c:v>
                </c:pt>
                <c:pt idx="9">
                  <c:v>7.3700000000000002E-2</c:v>
                </c:pt>
                <c:pt idx="10">
                  <c:v>7.3599999999999999E-2</c:v>
                </c:pt>
                <c:pt idx="11">
                  <c:v>7.3499999999999996E-2</c:v>
                </c:pt>
                <c:pt idx="12">
                  <c:v>7.3300000000000004E-2</c:v>
                </c:pt>
                <c:pt idx="13">
                  <c:v>7.1800000000000003E-2</c:v>
                </c:pt>
                <c:pt idx="14">
                  <c:v>7.1400000000000005E-2</c:v>
                </c:pt>
                <c:pt idx="15">
                  <c:v>7.0199999999999999E-2</c:v>
                </c:pt>
                <c:pt idx="16">
                  <c:v>6.9800000000000001E-2</c:v>
                </c:pt>
                <c:pt idx="17">
                  <c:v>6.3600000000000004E-2</c:v>
                </c:pt>
                <c:pt idx="18">
                  <c:v>6.1600000000000002E-2</c:v>
                </c:pt>
                <c:pt idx="19">
                  <c:v>6.0999999999999999E-2</c:v>
                </c:pt>
                <c:pt idx="20">
                  <c:v>6.0699999999999997E-2</c:v>
                </c:pt>
                <c:pt idx="21">
                  <c:v>5.9700000000000003E-2</c:v>
                </c:pt>
                <c:pt idx="22">
                  <c:v>5.9400000000000001E-2</c:v>
                </c:pt>
                <c:pt idx="23">
                  <c:v>5.8500000000000003E-2</c:v>
                </c:pt>
                <c:pt idx="24">
                  <c:v>5.8099999999999999E-2</c:v>
                </c:pt>
                <c:pt idx="25">
                  <c:v>5.67E-2</c:v>
                </c:pt>
                <c:pt idx="26">
                  <c:v>5.5800000000000002E-2</c:v>
                </c:pt>
                <c:pt idx="27">
                  <c:v>5.5500000000000001E-2</c:v>
                </c:pt>
                <c:pt idx="28">
                  <c:v>5.5199999999999999E-2</c:v>
                </c:pt>
                <c:pt idx="29">
                  <c:v>5.3900000000000003E-2</c:v>
                </c:pt>
                <c:pt idx="30">
                  <c:v>5.3600000000000002E-2</c:v>
                </c:pt>
                <c:pt idx="31">
                  <c:v>5.2699999999999997E-2</c:v>
                </c:pt>
                <c:pt idx="32">
                  <c:v>5.2499999999999998E-2</c:v>
                </c:pt>
                <c:pt idx="33">
                  <c:v>5.2299999999999999E-2</c:v>
                </c:pt>
                <c:pt idx="34">
                  <c:v>5.2299999999999999E-2</c:v>
                </c:pt>
                <c:pt idx="35">
                  <c:v>5.1900000000000002E-2</c:v>
                </c:pt>
                <c:pt idx="36">
                  <c:v>5.1799999999999999E-2</c:v>
                </c:pt>
                <c:pt idx="37">
                  <c:v>5.16E-2</c:v>
                </c:pt>
                <c:pt idx="38">
                  <c:v>5.0700000000000002E-2</c:v>
                </c:pt>
                <c:pt idx="39">
                  <c:v>5.0299999999999997E-2</c:v>
                </c:pt>
                <c:pt idx="40">
                  <c:v>5.0099999999999999E-2</c:v>
                </c:pt>
                <c:pt idx="41">
                  <c:v>0.05</c:v>
                </c:pt>
                <c:pt idx="42">
                  <c:v>4.99E-2</c:v>
                </c:pt>
                <c:pt idx="43">
                  <c:v>4.9799999999999997E-2</c:v>
                </c:pt>
                <c:pt idx="44">
                  <c:v>4.9500000000000002E-2</c:v>
                </c:pt>
                <c:pt idx="45">
                  <c:v>4.9299999999999997E-2</c:v>
                </c:pt>
                <c:pt idx="46">
                  <c:v>4.8500000000000001E-2</c:v>
                </c:pt>
                <c:pt idx="47">
                  <c:v>4.8399999999999999E-2</c:v>
                </c:pt>
                <c:pt idx="48">
                  <c:v>4.8300000000000003E-2</c:v>
                </c:pt>
                <c:pt idx="49">
                  <c:v>4.8300000000000003E-2</c:v>
                </c:pt>
                <c:pt idx="50">
                  <c:v>4.8300000000000003E-2</c:v>
                </c:pt>
                <c:pt idx="51">
                  <c:v>4.7899999999999998E-2</c:v>
                </c:pt>
                <c:pt idx="52">
                  <c:v>4.7899999999999998E-2</c:v>
                </c:pt>
                <c:pt idx="53">
                  <c:v>4.7600000000000003E-2</c:v>
                </c:pt>
                <c:pt idx="54">
                  <c:v>4.6600000000000003E-2</c:v>
                </c:pt>
                <c:pt idx="55">
                  <c:v>4.5699999999999998E-2</c:v>
                </c:pt>
                <c:pt idx="56">
                  <c:v>4.5400000000000003E-2</c:v>
                </c:pt>
                <c:pt idx="57">
                  <c:v>4.4200000000000003E-2</c:v>
                </c:pt>
                <c:pt idx="58">
                  <c:v>4.41E-2</c:v>
                </c:pt>
                <c:pt idx="59">
                  <c:v>4.3799999999999999E-2</c:v>
                </c:pt>
                <c:pt idx="60">
                  <c:v>4.3700000000000003E-2</c:v>
                </c:pt>
                <c:pt idx="61">
                  <c:v>4.36E-2</c:v>
                </c:pt>
                <c:pt idx="62">
                  <c:v>4.3200000000000002E-2</c:v>
                </c:pt>
                <c:pt idx="63">
                  <c:v>4.2700000000000002E-2</c:v>
                </c:pt>
                <c:pt idx="64">
                  <c:v>4.2299999999999997E-2</c:v>
                </c:pt>
                <c:pt idx="65">
                  <c:v>4.2200000000000001E-2</c:v>
                </c:pt>
                <c:pt idx="66">
                  <c:v>4.2099999999999999E-2</c:v>
                </c:pt>
                <c:pt idx="67">
                  <c:v>4.2099999999999999E-2</c:v>
                </c:pt>
                <c:pt idx="68">
                  <c:v>4.19E-2</c:v>
                </c:pt>
                <c:pt idx="69">
                  <c:v>4.1599999999999998E-2</c:v>
                </c:pt>
                <c:pt idx="70">
                  <c:v>4.1500000000000002E-2</c:v>
                </c:pt>
                <c:pt idx="71">
                  <c:v>4.1099999999999998E-2</c:v>
                </c:pt>
                <c:pt idx="72">
                  <c:v>4.0599999999999997E-2</c:v>
                </c:pt>
                <c:pt idx="73">
                  <c:v>4.02E-2</c:v>
                </c:pt>
                <c:pt idx="74">
                  <c:v>3.9600000000000003E-2</c:v>
                </c:pt>
                <c:pt idx="75">
                  <c:v>3.9100000000000003E-2</c:v>
                </c:pt>
                <c:pt idx="76">
                  <c:v>3.9E-2</c:v>
                </c:pt>
                <c:pt idx="77">
                  <c:v>3.8800000000000001E-2</c:v>
                </c:pt>
                <c:pt idx="78">
                  <c:v>3.8199999999999998E-2</c:v>
                </c:pt>
                <c:pt idx="79">
                  <c:v>3.7100000000000001E-2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E7-412F-B58E-399D4609ACF3}"/>
            </c:ext>
          </c:extLst>
        </c:ser>
        <c:ser>
          <c:idx val="6"/>
          <c:order val="6"/>
          <c:tx>
            <c:v>Lower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'Bypass Funnel'!$B$2:$B$81</c:f>
              <c:numCache>
                <c:formatCode>General</c:formatCode>
                <c:ptCount val="80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43</c:v>
                </c:pt>
                <c:pt idx="8">
                  <c:v>61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77</c:v>
                </c:pt>
                <c:pt idx="14">
                  <c:v>78</c:v>
                </c:pt>
                <c:pt idx="15">
                  <c:v>81</c:v>
                </c:pt>
                <c:pt idx="16">
                  <c:v>82</c:v>
                </c:pt>
                <c:pt idx="17">
                  <c:v>104</c:v>
                </c:pt>
                <c:pt idx="18">
                  <c:v>111</c:v>
                </c:pt>
                <c:pt idx="19">
                  <c:v>113</c:v>
                </c:pt>
                <c:pt idx="20">
                  <c:v>114</c:v>
                </c:pt>
                <c:pt idx="21">
                  <c:v>121</c:v>
                </c:pt>
                <c:pt idx="22">
                  <c:v>124</c:v>
                </c:pt>
                <c:pt idx="23">
                  <c:v>130</c:v>
                </c:pt>
                <c:pt idx="24">
                  <c:v>132</c:v>
                </c:pt>
                <c:pt idx="25">
                  <c:v>139</c:v>
                </c:pt>
                <c:pt idx="26">
                  <c:v>144</c:v>
                </c:pt>
                <c:pt idx="27">
                  <c:v>150</c:v>
                </c:pt>
                <c:pt idx="28">
                  <c:v>153</c:v>
                </c:pt>
                <c:pt idx="29">
                  <c:v>163</c:v>
                </c:pt>
                <c:pt idx="30">
                  <c:v>165</c:v>
                </c:pt>
                <c:pt idx="31">
                  <c:v>173</c:v>
                </c:pt>
                <c:pt idx="32">
                  <c:v>177</c:v>
                </c:pt>
                <c:pt idx="33">
                  <c:v>180</c:v>
                </c:pt>
                <c:pt idx="34">
                  <c:v>181</c:v>
                </c:pt>
                <c:pt idx="35">
                  <c:v>185</c:v>
                </c:pt>
                <c:pt idx="36">
                  <c:v>186</c:v>
                </c:pt>
                <c:pt idx="37">
                  <c:v>188</c:v>
                </c:pt>
                <c:pt idx="38">
                  <c:v>196</c:v>
                </c:pt>
                <c:pt idx="39">
                  <c:v>200</c:v>
                </c:pt>
                <c:pt idx="40">
                  <c:v>206</c:v>
                </c:pt>
                <c:pt idx="41">
                  <c:v>209</c:v>
                </c:pt>
                <c:pt idx="42">
                  <c:v>210</c:v>
                </c:pt>
                <c:pt idx="43">
                  <c:v>212</c:v>
                </c:pt>
                <c:pt idx="44">
                  <c:v>216</c:v>
                </c:pt>
                <c:pt idx="45">
                  <c:v>218</c:v>
                </c:pt>
                <c:pt idx="46">
                  <c:v>226</c:v>
                </c:pt>
                <c:pt idx="47">
                  <c:v>227</c:v>
                </c:pt>
                <c:pt idx="48">
                  <c:v>230</c:v>
                </c:pt>
                <c:pt idx="49">
                  <c:v>231</c:v>
                </c:pt>
                <c:pt idx="50">
                  <c:v>232</c:v>
                </c:pt>
                <c:pt idx="51">
                  <c:v>241</c:v>
                </c:pt>
                <c:pt idx="52">
                  <c:v>242</c:v>
                </c:pt>
                <c:pt idx="53">
                  <c:v>246</c:v>
                </c:pt>
                <c:pt idx="54">
                  <c:v>265</c:v>
                </c:pt>
                <c:pt idx="55">
                  <c:v>282</c:v>
                </c:pt>
                <c:pt idx="56">
                  <c:v>290</c:v>
                </c:pt>
                <c:pt idx="57">
                  <c:v>322</c:v>
                </c:pt>
                <c:pt idx="58">
                  <c:v>326</c:v>
                </c:pt>
                <c:pt idx="59">
                  <c:v>335</c:v>
                </c:pt>
                <c:pt idx="60">
                  <c:v>337</c:v>
                </c:pt>
                <c:pt idx="61">
                  <c:v>340</c:v>
                </c:pt>
                <c:pt idx="62">
                  <c:v>353</c:v>
                </c:pt>
                <c:pt idx="63">
                  <c:v>369</c:v>
                </c:pt>
                <c:pt idx="64">
                  <c:v>386</c:v>
                </c:pt>
                <c:pt idx="65">
                  <c:v>388</c:v>
                </c:pt>
                <c:pt idx="66">
                  <c:v>394</c:v>
                </c:pt>
                <c:pt idx="67">
                  <c:v>395</c:v>
                </c:pt>
                <c:pt idx="68">
                  <c:v>399</c:v>
                </c:pt>
                <c:pt idx="69">
                  <c:v>407</c:v>
                </c:pt>
                <c:pt idx="70">
                  <c:v>415</c:v>
                </c:pt>
                <c:pt idx="71">
                  <c:v>433</c:v>
                </c:pt>
                <c:pt idx="72">
                  <c:v>460</c:v>
                </c:pt>
                <c:pt idx="73">
                  <c:v>473</c:v>
                </c:pt>
                <c:pt idx="74">
                  <c:v>515</c:v>
                </c:pt>
                <c:pt idx="75">
                  <c:v>545</c:v>
                </c:pt>
                <c:pt idx="76">
                  <c:v>551</c:v>
                </c:pt>
                <c:pt idx="77">
                  <c:v>563</c:v>
                </c:pt>
                <c:pt idx="78">
                  <c:v>606</c:v>
                </c:pt>
                <c:pt idx="79">
                  <c:v>650</c:v>
                </c:pt>
              </c:numCache>
            </c:numRef>
          </c:xVal>
          <c:yVal>
            <c:numRef>
              <c:f>'Bypass Funnel'!$F$2:$F$81</c:f>
              <c:numCache>
                <c:formatCode>0.00%</c:formatCode>
                <c:ptCount val="80"/>
                <c:pt idx="28">
                  <c:v>2.0000000000000001E-4</c:v>
                </c:pt>
                <c:pt idx="29">
                  <c:v>5.9999999999999995E-4</c:v>
                </c:pt>
                <c:pt idx="30">
                  <c:v>6.9999999999999999E-4</c:v>
                </c:pt>
                <c:pt idx="31">
                  <c:v>1.1000000000000001E-3</c:v>
                </c:pt>
                <c:pt idx="32">
                  <c:v>1.1999999999999999E-3</c:v>
                </c:pt>
                <c:pt idx="33">
                  <c:v>1.4E-3</c:v>
                </c:pt>
                <c:pt idx="34">
                  <c:v>1.4E-3</c:v>
                </c:pt>
                <c:pt idx="35">
                  <c:v>1.6000000000000001E-3</c:v>
                </c:pt>
                <c:pt idx="36">
                  <c:v>1.6999999999999999E-3</c:v>
                </c:pt>
                <c:pt idx="37">
                  <c:v>1.8E-3</c:v>
                </c:pt>
                <c:pt idx="38">
                  <c:v>2.2000000000000001E-3</c:v>
                </c:pt>
                <c:pt idx="39">
                  <c:v>2.5000000000000001E-3</c:v>
                </c:pt>
                <c:pt idx="40">
                  <c:v>2.8999999999999998E-3</c:v>
                </c:pt>
                <c:pt idx="41">
                  <c:v>3.0999999999999999E-3</c:v>
                </c:pt>
                <c:pt idx="42">
                  <c:v>3.0999999999999999E-3</c:v>
                </c:pt>
                <c:pt idx="43">
                  <c:v>3.3E-3</c:v>
                </c:pt>
                <c:pt idx="44">
                  <c:v>3.5999999999999999E-3</c:v>
                </c:pt>
                <c:pt idx="45">
                  <c:v>3.7000000000000002E-3</c:v>
                </c:pt>
                <c:pt idx="46">
                  <c:v>4.4000000000000003E-3</c:v>
                </c:pt>
                <c:pt idx="47">
                  <c:v>4.4000000000000003E-3</c:v>
                </c:pt>
                <c:pt idx="48">
                  <c:v>4.4999999999999997E-3</c:v>
                </c:pt>
                <c:pt idx="49">
                  <c:v>4.4999999999999997E-3</c:v>
                </c:pt>
                <c:pt idx="50">
                  <c:v>4.4999999999999997E-3</c:v>
                </c:pt>
                <c:pt idx="51">
                  <c:v>4.7000000000000002E-3</c:v>
                </c:pt>
                <c:pt idx="52">
                  <c:v>4.7999999999999996E-3</c:v>
                </c:pt>
                <c:pt idx="53">
                  <c:v>4.8999999999999998E-3</c:v>
                </c:pt>
                <c:pt idx="54">
                  <c:v>5.4000000000000003E-3</c:v>
                </c:pt>
                <c:pt idx="55">
                  <c:v>6.1999999999999998E-3</c:v>
                </c:pt>
                <c:pt idx="56">
                  <c:v>6.6E-3</c:v>
                </c:pt>
                <c:pt idx="57">
                  <c:v>7.3000000000000001E-3</c:v>
                </c:pt>
                <c:pt idx="58">
                  <c:v>7.4000000000000003E-3</c:v>
                </c:pt>
                <c:pt idx="59">
                  <c:v>7.6E-3</c:v>
                </c:pt>
                <c:pt idx="60">
                  <c:v>7.7000000000000002E-3</c:v>
                </c:pt>
                <c:pt idx="61">
                  <c:v>7.7999999999999996E-3</c:v>
                </c:pt>
                <c:pt idx="62">
                  <c:v>8.2000000000000007E-3</c:v>
                </c:pt>
                <c:pt idx="63">
                  <c:v>8.5000000000000006E-3</c:v>
                </c:pt>
                <c:pt idx="64">
                  <c:v>8.8000000000000005E-3</c:v>
                </c:pt>
                <c:pt idx="65">
                  <c:v>8.8000000000000005E-3</c:v>
                </c:pt>
                <c:pt idx="66">
                  <c:v>8.8999999999999999E-3</c:v>
                </c:pt>
                <c:pt idx="67">
                  <c:v>8.9999999999999993E-3</c:v>
                </c:pt>
                <c:pt idx="68">
                  <c:v>9.1000000000000004E-3</c:v>
                </c:pt>
                <c:pt idx="69">
                  <c:v>9.2999999999999992E-3</c:v>
                </c:pt>
                <c:pt idx="70">
                  <c:v>9.4999999999999998E-3</c:v>
                </c:pt>
                <c:pt idx="71">
                  <c:v>9.7000000000000003E-3</c:v>
                </c:pt>
                <c:pt idx="72">
                  <c:v>1.01E-2</c:v>
                </c:pt>
                <c:pt idx="73">
                  <c:v>1.0500000000000001E-2</c:v>
                </c:pt>
                <c:pt idx="74">
                  <c:v>1.09E-2</c:v>
                </c:pt>
                <c:pt idx="75">
                  <c:v>1.1299999999999999E-2</c:v>
                </c:pt>
                <c:pt idx="76">
                  <c:v>1.14E-2</c:v>
                </c:pt>
                <c:pt idx="77">
                  <c:v>1.15E-2</c:v>
                </c:pt>
                <c:pt idx="78">
                  <c:v>1.2E-2</c:v>
                </c:pt>
                <c:pt idx="79">
                  <c:v>1.29E-2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E7-412F-B58E-399D4609A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50"/>
      </c:valAx>
      <c:valAx>
        <c:axId val="57849340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'Angioplasty Summary'!$R$3</c:f>
          <c:strCache>
            <c:ptCount val="1"/>
            <c:pt idx="0">
              <c:v>Median (IQR) CLTI waiting time (days)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Admission to angioplasty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Summary'!$AJ$2:$AJ$59</c:f>
                <c:numCache>
                  <c:formatCode>General</c:formatCode>
                  <c:ptCount val="58"/>
                  <c:pt idx="0">
                    <c:v>3</c:v>
                  </c:pt>
                  <c:pt idx="1">
                    <c:v>5</c:v>
                  </c:pt>
                  <c:pt idx="2">
                    <c:v>10</c:v>
                  </c:pt>
                  <c:pt idx="3">
                    <c:v>4</c:v>
                  </c:pt>
                  <c:pt idx="4">
                    <c:v>9</c:v>
                  </c:pt>
                  <c:pt idx="5">
                    <c:v>3</c:v>
                  </c:pt>
                  <c:pt idx="6">
                    <c:v>3</c:v>
                  </c:pt>
                  <c:pt idx="7">
                    <c:v>4</c:v>
                  </c:pt>
                  <c:pt idx="8">
                    <c:v>4</c:v>
                  </c:pt>
                  <c:pt idx="9">
                    <c:v>4</c:v>
                  </c:pt>
                  <c:pt idx="10">
                    <c:v>5</c:v>
                  </c:pt>
                  <c:pt idx="11">
                    <c:v>9</c:v>
                  </c:pt>
                  <c:pt idx="12">
                    <c:v>3</c:v>
                  </c:pt>
                  <c:pt idx="13">
                    <c:v>4</c:v>
                  </c:pt>
                  <c:pt idx="14">
                    <c:v>7</c:v>
                  </c:pt>
                  <c:pt idx="15">
                    <c:v>3</c:v>
                  </c:pt>
                  <c:pt idx="16">
                    <c:v>3</c:v>
                  </c:pt>
                  <c:pt idx="17">
                    <c:v>4</c:v>
                  </c:pt>
                  <c:pt idx="18">
                    <c:v>4</c:v>
                  </c:pt>
                  <c:pt idx="19">
                    <c:v>4</c:v>
                  </c:pt>
                  <c:pt idx="20">
                    <c:v>3</c:v>
                  </c:pt>
                  <c:pt idx="21">
                    <c:v>6</c:v>
                  </c:pt>
                  <c:pt idx="22">
                    <c:v>2</c:v>
                  </c:pt>
                  <c:pt idx="23">
                    <c:v>4</c:v>
                  </c:pt>
                  <c:pt idx="24">
                    <c:v>8</c:v>
                  </c:pt>
                  <c:pt idx="25">
                    <c:v>2</c:v>
                  </c:pt>
                  <c:pt idx="26">
                    <c:v>3</c:v>
                  </c:pt>
                  <c:pt idx="27">
                    <c:v>3</c:v>
                  </c:pt>
                  <c:pt idx="28">
                    <c:v>5</c:v>
                  </c:pt>
                  <c:pt idx="29">
                    <c:v>2</c:v>
                  </c:pt>
                  <c:pt idx="30">
                    <c:v>2</c:v>
                  </c:pt>
                  <c:pt idx="31">
                    <c:v>3</c:v>
                  </c:pt>
                  <c:pt idx="32">
                    <c:v>4</c:v>
                  </c:pt>
                  <c:pt idx="33">
                    <c:v>4</c:v>
                  </c:pt>
                  <c:pt idx="34">
                    <c:v>4</c:v>
                  </c:pt>
                  <c:pt idx="35">
                    <c:v>5</c:v>
                  </c:pt>
                  <c:pt idx="36">
                    <c:v>5</c:v>
                  </c:pt>
                  <c:pt idx="37">
                    <c:v>7</c:v>
                  </c:pt>
                  <c:pt idx="38">
                    <c:v>5</c:v>
                  </c:pt>
                  <c:pt idx="39">
                    <c:v>6</c:v>
                  </c:pt>
                  <c:pt idx="40">
                    <c:v>4</c:v>
                  </c:pt>
                  <c:pt idx="41">
                    <c:v>5</c:v>
                  </c:pt>
                  <c:pt idx="42">
                    <c:v>9</c:v>
                  </c:pt>
                  <c:pt idx="43">
                    <c:v>8</c:v>
                  </c:pt>
                  <c:pt idx="44">
                    <c:v>8</c:v>
                  </c:pt>
                  <c:pt idx="45">
                    <c:v>4</c:v>
                  </c:pt>
                  <c:pt idx="46">
                    <c:v>5</c:v>
                  </c:pt>
                  <c:pt idx="47">
                    <c:v>8</c:v>
                  </c:pt>
                  <c:pt idx="48">
                    <c:v>5</c:v>
                  </c:pt>
                  <c:pt idx="49">
                    <c:v>7</c:v>
                  </c:pt>
                  <c:pt idx="50">
                    <c:v>12</c:v>
                  </c:pt>
                  <c:pt idx="51">
                    <c:v>4</c:v>
                  </c:pt>
                  <c:pt idx="52">
                    <c:v>5</c:v>
                  </c:pt>
                  <c:pt idx="53">
                    <c:v>5</c:v>
                  </c:pt>
                  <c:pt idx="54">
                    <c:v>6</c:v>
                  </c:pt>
                  <c:pt idx="55">
                    <c:v>6</c:v>
                  </c:pt>
                  <c:pt idx="56">
                    <c:v>9</c:v>
                  </c:pt>
                  <c:pt idx="57">
                    <c:v>8</c:v>
                  </c:pt>
                </c:numCache>
              </c:numRef>
            </c:plus>
            <c:minus>
              <c:numRef>
                <c:f>'Angioplasty Summary'!$AI$2:$AI$59</c:f>
                <c:numCache>
                  <c:formatCode>General</c:formatCode>
                  <c:ptCount val="58"/>
                  <c:pt idx="0">
                    <c:v>0</c:v>
                  </c:pt>
                  <c:pt idx="1">
                    <c:v>0</c:v>
                  </c:pt>
                  <c:pt idx="2">
                    <c:v>1</c:v>
                  </c:pt>
                  <c:pt idx="3">
                    <c:v>3</c:v>
                  </c:pt>
                  <c:pt idx="4">
                    <c:v>3</c:v>
                  </c:pt>
                  <c:pt idx="5">
                    <c:v>2</c:v>
                  </c:pt>
                  <c:pt idx="6">
                    <c:v>2</c:v>
                  </c:pt>
                  <c:pt idx="7">
                    <c:v>2</c:v>
                  </c:pt>
                  <c:pt idx="8">
                    <c:v>2</c:v>
                  </c:pt>
                  <c:pt idx="9">
                    <c:v>2</c:v>
                  </c:pt>
                  <c:pt idx="10">
                    <c:v>2</c:v>
                  </c:pt>
                  <c:pt idx="11">
                    <c:v>2</c:v>
                  </c:pt>
                  <c:pt idx="12">
                    <c:v>4</c:v>
                  </c:pt>
                  <c:pt idx="13">
                    <c:v>4</c:v>
                  </c:pt>
                  <c:pt idx="14">
                    <c:v>4</c:v>
                  </c:pt>
                  <c:pt idx="15">
                    <c:v>2</c:v>
                  </c:pt>
                  <c:pt idx="16">
                    <c:v>2</c:v>
                  </c:pt>
                  <c:pt idx="17">
                    <c:v>2</c:v>
                  </c:pt>
                  <c:pt idx="18">
                    <c:v>2</c:v>
                  </c:pt>
                  <c:pt idx="19">
                    <c:v>2</c:v>
                  </c:pt>
                  <c:pt idx="20">
                    <c:v>1</c:v>
                  </c:pt>
                  <c:pt idx="21">
                    <c:v>4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2</c:v>
                  </c:pt>
                  <c:pt idx="26">
                    <c:v>2</c:v>
                  </c:pt>
                  <c:pt idx="27">
                    <c:v>2</c:v>
                  </c:pt>
                  <c:pt idx="28">
                    <c:v>4</c:v>
                  </c:pt>
                  <c:pt idx="29">
                    <c:v>3</c:v>
                  </c:pt>
                  <c:pt idx="30">
                    <c:v>3</c:v>
                  </c:pt>
                  <c:pt idx="31">
                    <c:v>3</c:v>
                  </c:pt>
                  <c:pt idx="32">
                    <c:v>3</c:v>
                  </c:pt>
                  <c:pt idx="33">
                    <c:v>3</c:v>
                  </c:pt>
                  <c:pt idx="34">
                    <c:v>3</c:v>
                  </c:pt>
                  <c:pt idx="35">
                    <c:v>3</c:v>
                  </c:pt>
                  <c:pt idx="36">
                    <c:v>3</c:v>
                  </c:pt>
                  <c:pt idx="37">
                    <c:v>2</c:v>
                  </c:pt>
                  <c:pt idx="38">
                    <c:v>5</c:v>
                  </c:pt>
                  <c:pt idx="39">
                    <c:v>5</c:v>
                  </c:pt>
                  <c:pt idx="40">
                    <c:v>3</c:v>
                  </c:pt>
                  <c:pt idx="41">
                    <c:v>3</c:v>
                  </c:pt>
                  <c:pt idx="42">
                    <c:v>3</c:v>
                  </c:pt>
                  <c:pt idx="43">
                    <c:v>5</c:v>
                  </c:pt>
                  <c:pt idx="44">
                    <c:v>5</c:v>
                  </c:pt>
                  <c:pt idx="45">
                    <c:v>4</c:v>
                  </c:pt>
                  <c:pt idx="46">
                    <c:v>4</c:v>
                  </c:pt>
                  <c:pt idx="47">
                    <c:v>4</c:v>
                  </c:pt>
                  <c:pt idx="48">
                    <c:v>3</c:v>
                  </c:pt>
                  <c:pt idx="49">
                    <c:v>2</c:v>
                  </c:pt>
                  <c:pt idx="50">
                    <c:v>7</c:v>
                  </c:pt>
                  <c:pt idx="51">
                    <c:v>4</c:v>
                  </c:pt>
                  <c:pt idx="52">
                    <c:v>3</c:v>
                  </c:pt>
                  <c:pt idx="53">
                    <c:v>9</c:v>
                  </c:pt>
                  <c:pt idx="54">
                    <c:v>8</c:v>
                  </c:pt>
                  <c:pt idx="55">
                    <c:v>8</c:v>
                  </c:pt>
                  <c:pt idx="56">
                    <c:v>7</c:v>
                  </c:pt>
                  <c:pt idx="57">
                    <c:v>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'Angioplasty Summary'!$AE$2:$AE$59</c:f>
              <c:strCache>
                <c:ptCount val="58"/>
                <c:pt idx="0">
                  <c:v>RC1</c:v>
                </c:pt>
                <c:pt idx="1">
                  <c:v>SN999</c:v>
                </c:pt>
                <c:pt idx="2">
                  <c:v>RWE</c:v>
                </c:pt>
                <c:pt idx="3">
                  <c:v>RXR</c:v>
                </c:pt>
                <c:pt idx="4">
                  <c:v>RVV</c:v>
                </c:pt>
                <c:pt idx="5">
                  <c:v>RWA</c:v>
                </c:pt>
                <c:pt idx="6">
                  <c:v>RBA</c:v>
                </c:pt>
                <c:pt idx="7">
                  <c:v>RTH</c:v>
                </c:pt>
                <c:pt idx="8">
                  <c:v>RJ7</c:v>
                </c:pt>
                <c:pt idx="9">
                  <c:v>RCB</c:v>
                </c:pt>
                <c:pt idx="10">
                  <c:v>SH999</c:v>
                </c:pt>
                <c:pt idx="11">
                  <c:v>RJZ</c:v>
                </c:pt>
                <c:pt idx="12">
                  <c:v>RHQ</c:v>
                </c:pt>
                <c:pt idx="13">
                  <c:v>RYJ</c:v>
                </c:pt>
                <c:pt idx="14">
                  <c:v>RHW</c:v>
                </c:pt>
                <c:pt idx="15">
                  <c:v>RXW</c:v>
                </c:pt>
                <c:pt idx="16">
                  <c:v>RNA</c:v>
                </c:pt>
                <c:pt idx="17">
                  <c:v>RJR</c:v>
                </c:pt>
                <c:pt idx="18">
                  <c:v>RTE</c:v>
                </c:pt>
                <c:pt idx="19">
                  <c:v>RVJ</c:v>
                </c:pt>
                <c:pt idx="20">
                  <c:v>SG999</c:v>
                </c:pt>
                <c:pt idx="21">
                  <c:v>RK9</c:v>
                </c:pt>
                <c:pt idx="22">
                  <c:v>RH8</c:v>
                </c:pt>
                <c:pt idx="23">
                  <c:v>RNL</c:v>
                </c:pt>
                <c:pt idx="24">
                  <c:v>RDU</c:v>
                </c:pt>
                <c:pt idx="25">
                  <c:v>RW6</c:v>
                </c:pt>
                <c:pt idx="26">
                  <c:v>RXN</c:v>
                </c:pt>
                <c:pt idx="27">
                  <c:v>R0A</c:v>
                </c:pt>
                <c:pt idx="28">
                  <c:v>R1K</c:v>
                </c:pt>
                <c:pt idx="29">
                  <c:v>SV999</c:v>
                </c:pt>
                <c:pt idx="30">
                  <c:v>RWP</c:v>
                </c:pt>
                <c:pt idx="31">
                  <c:v>RJ1</c:v>
                </c:pt>
                <c:pt idx="32">
                  <c:v>RGT</c:v>
                </c:pt>
                <c:pt idx="33">
                  <c:v>RTD</c:v>
                </c:pt>
                <c:pt idx="34">
                  <c:v>RJE</c:v>
                </c:pt>
                <c:pt idx="35">
                  <c:v>RRK</c:v>
                </c:pt>
                <c:pt idx="36">
                  <c:v>RTG</c:v>
                </c:pt>
                <c:pt idx="37">
                  <c:v>ZT001</c:v>
                </c:pt>
                <c:pt idx="38">
                  <c:v>RAL</c:v>
                </c:pt>
                <c:pt idx="39">
                  <c:v>RQ8</c:v>
                </c:pt>
                <c:pt idx="40">
                  <c:v>RF4</c:v>
                </c:pt>
                <c:pt idx="41">
                  <c:v>RKB</c:v>
                </c:pt>
                <c:pt idx="42">
                  <c:v>RTP</c:v>
                </c:pt>
                <c:pt idx="43">
                  <c:v>7A4</c:v>
                </c:pt>
                <c:pt idx="44">
                  <c:v>RWH</c:v>
                </c:pt>
                <c:pt idx="45">
                  <c:v>RR8</c:v>
                </c:pt>
                <c:pt idx="46">
                  <c:v>R1H</c:v>
                </c:pt>
                <c:pt idx="47">
                  <c:v>RWG</c:v>
                </c:pt>
                <c:pt idx="48">
                  <c:v>7A5</c:v>
                </c:pt>
                <c:pt idx="49">
                  <c:v>RDE</c:v>
                </c:pt>
                <c:pt idx="50">
                  <c:v>RPA</c:v>
                </c:pt>
                <c:pt idx="51">
                  <c:v>RWD</c:v>
                </c:pt>
                <c:pt idx="52">
                  <c:v>7A3</c:v>
                </c:pt>
                <c:pt idx="53">
                  <c:v>RL4</c:v>
                </c:pt>
                <c:pt idx="54">
                  <c:v>RAJ</c:v>
                </c:pt>
                <c:pt idx="55">
                  <c:v>RRF</c:v>
                </c:pt>
                <c:pt idx="56">
                  <c:v>RR7</c:v>
                </c:pt>
                <c:pt idx="57">
                  <c:v>REM</c:v>
                </c:pt>
              </c:strCache>
            </c:strRef>
          </c:cat>
          <c:val>
            <c:numRef>
              <c:f>'Angioplasty Summary'!$AH$2:$AH$59</c:f>
              <c:numCache>
                <c:formatCode>0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0-4ADC-A464-4B01F450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86136"/>
        <c:axId val="606183840"/>
      </c:lineChart>
      <c:scatterChart>
        <c:scatterStyle val="lineMarker"/>
        <c:varyColors val="0"/>
        <c:ser>
          <c:idx val="1"/>
          <c:order val="1"/>
          <c:tx>
            <c:strRef>
              <c:f>'Angioplasty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Summary'!$AC$2</c:f>
                <c:numCache>
                  <c:formatCode>General</c:formatCode>
                  <c:ptCount val="1"/>
                  <c:pt idx="0">
                    <c:v>#N/A</c:v>
                  </c:pt>
                </c:numCache>
              </c:numRef>
            </c:plus>
            <c:minus>
              <c:numRef>
                <c:f>'Angioplasty Summary'!$AB$2</c:f>
                <c:numCache>
                  <c:formatCode>General</c:formatCode>
                  <c:ptCount val="1"/>
                  <c:pt idx="0">
                    <c:v>#N/A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'Angioplasty Summary'!$AD$2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'Angioplasty Summary'!$AA$2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10-4ADC-A464-4B01F45039C9}"/>
            </c:ext>
          </c:extLst>
        </c:ser>
        <c:ser>
          <c:idx val="2"/>
          <c:order val="2"/>
          <c:tx>
            <c:v>National Standard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'Angioplasty Summary'!$AG$2:$AG$59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</c:numCache>
            </c:numRef>
          </c:xVal>
          <c:yVal>
            <c:numRef>
              <c:f>'Angioplasty Summary'!$AK$2:$AK$59</c:f>
              <c:numCache>
                <c:formatCode>0</c:formatCode>
                <c:ptCount val="5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10-4ADC-A464-4B01F4503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catAx>
        <c:axId val="60618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auto val="1"/>
        <c:lblAlgn val="ctr"/>
        <c:lblOffset val="100"/>
        <c:noMultiLvlLbl val="0"/>
      </c:catAx>
      <c:valAx>
        <c:axId val="606183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'Lower Limb Angioplasty'!$H$1</c:f>
              <c:strCache>
                <c:ptCount val="1"/>
                <c:pt idx="0">
                  <c:v>Adjusted in-hospital mortality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'Lower Limb Angioplasty'!$C$2:$C$91</c:f>
              <c:numCache>
                <c:formatCode>0</c:formatCode>
                <c:ptCount val="90"/>
                <c:pt idx="0">
                  <c:v>25</c:v>
                </c:pt>
                <c:pt idx="1">
                  <c:v>55</c:v>
                </c:pt>
                <c:pt idx="2">
                  <c:v>551</c:v>
                </c:pt>
                <c:pt idx="3">
                  <c:v>581</c:v>
                </c:pt>
                <c:pt idx="4">
                  <c:v>17</c:v>
                </c:pt>
                <c:pt idx="5">
                  <c:v>450</c:v>
                </c:pt>
                <c:pt idx="6">
                  <c:v>552</c:v>
                </c:pt>
                <c:pt idx="7">
                  <c:v>2</c:v>
                </c:pt>
                <c:pt idx="8">
                  <c:v>0</c:v>
                </c:pt>
                <c:pt idx="9">
                  <c:v>226</c:v>
                </c:pt>
                <c:pt idx="10">
                  <c:v>26</c:v>
                </c:pt>
                <c:pt idx="11">
                  <c:v>0</c:v>
                </c:pt>
                <c:pt idx="12">
                  <c:v>38</c:v>
                </c:pt>
                <c:pt idx="13">
                  <c:v>0</c:v>
                </c:pt>
                <c:pt idx="14">
                  <c:v>404</c:v>
                </c:pt>
                <c:pt idx="15">
                  <c:v>90</c:v>
                </c:pt>
                <c:pt idx="16">
                  <c:v>36</c:v>
                </c:pt>
                <c:pt idx="17">
                  <c:v>174</c:v>
                </c:pt>
                <c:pt idx="18">
                  <c:v>15</c:v>
                </c:pt>
                <c:pt idx="19">
                  <c:v>150</c:v>
                </c:pt>
                <c:pt idx="20">
                  <c:v>1</c:v>
                </c:pt>
                <c:pt idx="21">
                  <c:v>0</c:v>
                </c:pt>
                <c:pt idx="22">
                  <c:v>95</c:v>
                </c:pt>
                <c:pt idx="23">
                  <c:v>314</c:v>
                </c:pt>
                <c:pt idx="24">
                  <c:v>943</c:v>
                </c:pt>
                <c:pt idx="25">
                  <c:v>235</c:v>
                </c:pt>
                <c:pt idx="26">
                  <c:v>459</c:v>
                </c:pt>
                <c:pt idx="27">
                  <c:v>380</c:v>
                </c:pt>
                <c:pt idx="28">
                  <c:v>89</c:v>
                </c:pt>
                <c:pt idx="29">
                  <c:v>21</c:v>
                </c:pt>
                <c:pt idx="30">
                  <c:v>329</c:v>
                </c:pt>
                <c:pt idx="31">
                  <c:v>103</c:v>
                </c:pt>
                <c:pt idx="32">
                  <c:v>690</c:v>
                </c:pt>
                <c:pt idx="33">
                  <c:v>343</c:v>
                </c:pt>
                <c:pt idx="34">
                  <c:v>203</c:v>
                </c:pt>
                <c:pt idx="35">
                  <c:v>1183</c:v>
                </c:pt>
                <c:pt idx="36">
                  <c:v>140</c:v>
                </c:pt>
                <c:pt idx="37">
                  <c:v>90</c:v>
                </c:pt>
                <c:pt idx="38">
                  <c:v>561</c:v>
                </c:pt>
                <c:pt idx="39">
                  <c:v>697</c:v>
                </c:pt>
                <c:pt idx="40">
                  <c:v>62</c:v>
                </c:pt>
                <c:pt idx="41">
                  <c:v>402</c:v>
                </c:pt>
                <c:pt idx="42">
                  <c:v>203</c:v>
                </c:pt>
                <c:pt idx="43">
                  <c:v>64</c:v>
                </c:pt>
                <c:pt idx="44">
                  <c:v>533</c:v>
                </c:pt>
                <c:pt idx="45">
                  <c:v>17</c:v>
                </c:pt>
                <c:pt idx="46">
                  <c:v>0</c:v>
                </c:pt>
                <c:pt idx="47">
                  <c:v>135</c:v>
                </c:pt>
                <c:pt idx="48">
                  <c:v>92</c:v>
                </c:pt>
                <c:pt idx="49">
                  <c:v>111</c:v>
                </c:pt>
                <c:pt idx="50">
                  <c:v>171</c:v>
                </c:pt>
                <c:pt idx="51">
                  <c:v>1</c:v>
                </c:pt>
                <c:pt idx="52">
                  <c:v>0</c:v>
                </c:pt>
                <c:pt idx="53">
                  <c:v>4</c:v>
                </c:pt>
                <c:pt idx="54">
                  <c:v>8</c:v>
                </c:pt>
                <c:pt idx="55">
                  <c:v>401</c:v>
                </c:pt>
                <c:pt idx="56">
                  <c:v>598</c:v>
                </c:pt>
                <c:pt idx="57">
                  <c:v>5</c:v>
                </c:pt>
                <c:pt idx="58">
                  <c:v>1</c:v>
                </c:pt>
                <c:pt idx="59">
                  <c:v>0</c:v>
                </c:pt>
                <c:pt idx="60">
                  <c:v>18</c:v>
                </c:pt>
                <c:pt idx="61">
                  <c:v>242</c:v>
                </c:pt>
                <c:pt idx="62">
                  <c:v>322</c:v>
                </c:pt>
                <c:pt idx="63">
                  <c:v>0</c:v>
                </c:pt>
                <c:pt idx="64">
                  <c:v>8</c:v>
                </c:pt>
                <c:pt idx="65">
                  <c:v>497</c:v>
                </c:pt>
                <c:pt idx="66">
                  <c:v>1</c:v>
                </c:pt>
                <c:pt idx="67">
                  <c:v>42</c:v>
                </c:pt>
                <c:pt idx="68">
                  <c:v>4</c:v>
                </c:pt>
                <c:pt idx="69">
                  <c:v>177</c:v>
                </c:pt>
                <c:pt idx="70">
                  <c:v>299</c:v>
                </c:pt>
                <c:pt idx="71">
                  <c:v>7</c:v>
                </c:pt>
                <c:pt idx="72">
                  <c:v>168</c:v>
                </c:pt>
                <c:pt idx="73">
                  <c:v>0</c:v>
                </c:pt>
                <c:pt idx="74">
                  <c:v>71</c:v>
                </c:pt>
                <c:pt idx="75">
                  <c:v>402</c:v>
                </c:pt>
                <c:pt idx="76">
                  <c:v>0</c:v>
                </c:pt>
                <c:pt idx="77">
                  <c:v>40</c:v>
                </c:pt>
                <c:pt idx="78">
                  <c:v>13</c:v>
                </c:pt>
                <c:pt idx="79">
                  <c:v>609</c:v>
                </c:pt>
                <c:pt idx="80">
                  <c:v>15</c:v>
                </c:pt>
                <c:pt idx="81">
                  <c:v>52</c:v>
                </c:pt>
                <c:pt idx="82">
                  <c:v>461</c:v>
                </c:pt>
                <c:pt idx="83">
                  <c:v>808</c:v>
                </c:pt>
                <c:pt idx="84">
                  <c:v>825</c:v>
                </c:pt>
                <c:pt idx="85">
                  <c:v>2</c:v>
                </c:pt>
                <c:pt idx="86">
                  <c:v>176</c:v>
                </c:pt>
                <c:pt idx="87">
                  <c:v>11</c:v>
                </c:pt>
                <c:pt idx="88">
                  <c:v>798</c:v>
                </c:pt>
                <c:pt idx="89">
                  <c:v>37</c:v>
                </c:pt>
              </c:numCache>
            </c:numRef>
          </c:xVal>
          <c:yVal>
            <c:numRef>
              <c:f>'Lower Limb Angioplasty'!$H$2:$H$91</c:f>
              <c:numCache>
                <c:formatCode>0.0%</c:formatCode>
                <c:ptCount val="90"/>
                <c:pt idx="0">
                  <c:v>7.4671835899353028E-2</c:v>
                </c:pt>
                <c:pt idx="1">
                  <c:v>6.494049549102783E-2</c:v>
                </c:pt>
                <c:pt idx="2">
                  <c:v>2.3003439903259277E-2</c:v>
                </c:pt>
                <c:pt idx="3">
                  <c:v>1.2989259958267212E-2</c:v>
                </c:pt>
                <c:pt idx="4">
                  <c:v>0</c:v>
                </c:pt>
                <c:pt idx="5">
                  <c:v>8.2653129100799562E-3</c:v>
                </c:pt>
                <c:pt idx="6">
                  <c:v>6.571748852729797E-3</c:v>
                </c:pt>
                <c:pt idx="7">
                  <c:v>0</c:v>
                </c:pt>
                <c:pt idx="8">
                  <c:v>0</c:v>
                </c:pt>
                <c:pt idx="9">
                  <c:v>1.4976642131805419E-2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1.3398959636688232E-2</c:v>
                </c:pt>
                <c:pt idx="15">
                  <c:v>3.5231688022613526E-2</c:v>
                </c:pt>
                <c:pt idx="16">
                  <c:v>3.3528740406036379E-2</c:v>
                </c:pt>
                <c:pt idx="17">
                  <c:v>3.5999999999999997E-2</c:v>
                </c:pt>
                <c:pt idx="18">
                  <c:v>0</c:v>
                </c:pt>
                <c:pt idx="19">
                  <c:v>7.0411366224288939E-3</c:v>
                </c:pt>
                <c:pt idx="20">
                  <c:v>0</c:v>
                </c:pt>
                <c:pt idx="21">
                  <c:v>0</c:v>
                </c:pt>
                <c:pt idx="22">
                  <c:v>2.0943613052368165E-2</c:v>
                </c:pt>
                <c:pt idx="23">
                  <c:v>1.454188346862793E-2</c:v>
                </c:pt>
                <c:pt idx="24">
                  <c:v>1.8489251136779784E-2</c:v>
                </c:pt>
                <c:pt idx="25">
                  <c:v>0</c:v>
                </c:pt>
                <c:pt idx="26">
                  <c:v>1.5816783905029295E-2</c:v>
                </c:pt>
                <c:pt idx="27">
                  <c:v>2.9416959285736084E-2</c:v>
                </c:pt>
                <c:pt idx="28">
                  <c:v>1.3045705556869507E-2</c:v>
                </c:pt>
                <c:pt idx="29">
                  <c:v>0</c:v>
                </c:pt>
                <c:pt idx="30">
                  <c:v>1.0555293560028076E-2</c:v>
                </c:pt>
                <c:pt idx="31">
                  <c:v>0</c:v>
                </c:pt>
                <c:pt idx="32">
                  <c:v>1.0349975824356079E-2</c:v>
                </c:pt>
                <c:pt idx="33">
                  <c:v>4.9029371142387387E-3</c:v>
                </c:pt>
                <c:pt idx="34">
                  <c:v>1.5543761253356934E-2</c:v>
                </c:pt>
                <c:pt idx="35">
                  <c:v>1.5712970495224E-2</c:v>
                </c:pt>
                <c:pt idx="36">
                  <c:v>0</c:v>
                </c:pt>
                <c:pt idx="37">
                  <c:v>1.7709968090057374E-2</c:v>
                </c:pt>
                <c:pt idx="38">
                  <c:v>2.0273745059967041E-2</c:v>
                </c:pt>
                <c:pt idx="39">
                  <c:v>1.9387855529785156E-2</c:v>
                </c:pt>
                <c:pt idx="40">
                  <c:v>1.7034987211227415E-2</c:v>
                </c:pt>
                <c:pt idx="41">
                  <c:v>7.441477179527283E-3</c:v>
                </c:pt>
                <c:pt idx="42">
                  <c:v>0</c:v>
                </c:pt>
                <c:pt idx="43">
                  <c:v>0</c:v>
                </c:pt>
                <c:pt idx="44">
                  <c:v>1.8198186159133913E-2</c:v>
                </c:pt>
                <c:pt idx="45">
                  <c:v>0</c:v>
                </c:pt>
                <c:pt idx="46">
                  <c:v>0</c:v>
                </c:pt>
                <c:pt idx="47">
                  <c:v>2.817901611328125E-2</c:v>
                </c:pt>
                <c:pt idx="48">
                  <c:v>4.8793926239013671E-2</c:v>
                </c:pt>
                <c:pt idx="49">
                  <c:v>6.5556633472442626E-3</c:v>
                </c:pt>
                <c:pt idx="50">
                  <c:v>1.5855867862701416E-2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9.4403725862503059E-3</c:v>
                </c:pt>
                <c:pt idx="56">
                  <c:v>1.4027178287506104E-2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1.2065458297729491E-2</c:v>
                </c:pt>
                <c:pt idx="62">
                  <c:v>2.9399271011352538E-2</c:v>
                </c:pt>
                <c:pt idx="63">
                  <c:v>0</c:v>
                </c:pt>
                <c:pt idx="64">
                  <c:v>0</c:v>
                </c:pt>
                <c:pt idx="65">
                  <c:v>1.9538723230361939E-2</c:v>
                </c:pt>
                <c:pt idx="66">
                  <c:v>0</c:v>
                </c:pt>
                <c:pt idx="67">
                  <c:v>0.10597196578979493</c:v>
                </c:pt>
                <c:pt idx="68">
                  <c:v>0</c:v>
                </c:pt>
                <c:pt idx="69">
                  <c:v>1.1145167350769043E-2</c:v>
                </c:pt>
                <c:pt idx="70">
                  <c:v>1.8141597509384155E-2</c:v>
                </c:pt>
                <c:pt idx="71">
                  <c:v>0</c:v>
                </c:pt>
                <c:pt idx="72">
                  <c:v>1.0416437387466431E-2</c:v>
                </c:pt>
                <c:pt idx="73">
                  <c:v>0</c:v>
                </c:pt>
                <c:pt idx="74">
                  <c:v>0</c:v>
                </c:pt>
                <c:pt idx="75">
                  <c:v>2.1895322799682617E-2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9.4350856542587281E-3</c:v>
                </c:pt>
                <c:pt idx="80">
                  <c:v>0</c:v>
                </c:pt>
                <c:pt idx="81">
                  <c:v>1.7174402475357054E-2</c:v>
                </c:pt>
                <c:pt idx="82">
                  <c:v>1.497865915298462E-2</c:v>
                </c:pt>
                <c:pt idx="83">
                  <c:v>1.5297119617462157E-2</c:v>
                </c:pt>
                <c:pt idx="84">
                  <c:v>2.5021634101867675E-2</c:v>
                </c:pt>
                <c:pt idx="85">
                  <c:v>0</c:v>
                </c:pt>
                <c:pt idx="86">
                  <c:v>5.5937045812606808E-3</c:v>
                </c:pt>
                <c:pt idx="87">
                  <c:v>0</c:v>
                </c:pt>
                <c:pt idx="88">
                  <c:v>1.7899811267852783E-2</c:v>
                </c:pt>
                <c:pt idx="89">
                  <c:v>4.9144005775451659E-2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3-401B-82A3-4464EDE6AA65}"/>
            </c:ext>
          </c:extLst>
        </c:ser>
        <c:ser>
          <c:idx val="1"/>
          <c:order val="1"/>
          <c:tx>
            <c:v>National Rate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'Angio Funnel'!$B$2:$B$75</c:f>
              <c:numCache>
                <c:formatCode>General</c:formatCode>
                <c:ptCount val="7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26</c:v>
                </c:pt>
                <c:pt idx="9">
                  <c:v>31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52</c:v>
                </c:pt>
                <c:pt idx="16">
                  <c:v>53</c:v>
                </c:pt>
                <c:pt idx="17">
                  <c:v>55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71</c:v>
                </c:pt>
                <c:pt idx="22">
                  <c:v>89</c:v>
                </c:pt>
                <c:pt idx="23">
                  <c:v>90</c:v>
                </c:pt>
                <c:pt idx="24">
                  <c:v>92</c:v>
                </c:pt>
                <c:pt idx="25">
                  <c:v>95</c:v>
                </c:pt>
                <c:pt idx="26">
                  <c:v>103</c:v>
                </c:pt>
                <c:pt idx="27">
                  <c:v>111</c:v>
                </c:pt>
                <c:pt idx="28">
                  <c:v>135</c:v>
                </c:pt>
                <c:pt idx="29">
                  <c:v>140</c:v>
                </c:pt>
                <c:pt idx="30">
                  <c:v>150</c:v>
                </c:pt>
                <c:pt idx="31">
                  <c:v>168</c:v>
                </c:pt>
                <c:pt idx="32">
                  <c:v>171</c:v>
                </c:pt>
                <c:pt idx="33">
                  <c:v>174</c:v>
                </c:pt>
                <c:pt idx="34">
                  <c:v>176</c:v>
                </c:pt>
                <c:pt idx="35">
                  <c:v>177</c:v>
                </c:pt>
                <c:pt idx="36">
                  <c:v>185</c:v>
                </c:pt>
                <c:pt idx="37">
                  <c:v>203</c:v>
                </c:pt>
                <c:pt idx="38">
                  <c:v>226</c:v>
                </c:pt>
                <c:pt idx="39">
                  <c:v>235</c:v>
                </c:pt>
                <c:pt idx="40">
                  <c:v>242</c:v>
                </c:pt>
                <c:pt idx="41">
                  <c:v>297</c:v>
                </c:pt>
                <c:pt idx="42">
                  <c:v>299</c:v>
                </c:pt>
                <c:pt idx="43">
                  <c:v>314</c:v>
                </c:pt>
                <c:pt idx="44">
                  <c:v>322</c:v>
                </c:pt>
                <c:pt idx="45">
                  <c:v>329</c:v>
                </c:pt>
                <c:pt idx="46">
                  <c:v>343</c:v>
                </c:pt>
                <c:pt idx="47">
                  <c:v>380</c:v>
                </c:pt>
                <c:pt idx="48">
                  <c:v>386</c:v>
                </c:pt>
                <c:pt idx="49">
                  <c:v>401</c:v>
                </c:pt>
                <c:pt idx="50">
                  <c:v>402</c:v>
                </c:pt>
                <c:pt idx="51">
                  <c:v>404</c:v>
                </c:pt>
                <c:pt idx="52">
                  <c:v>450</c:v>
                </c:pt>
                <c:pt idx="53">
                  <c:v>455</c:v>
                </c:pt>
                <c:pt idx="54">
                  <c:v>459</c:v>
                </c:pt>
                <c:pt idx="55">
                  <c:v>461</c:v>
                </c:pt>
                <c:pt idx="56">
                  <c:v>497</c:v>
                </c:pt>
                <c:pt idx="57">
                  <c:v>533</c:v>
                </c:pt>
                <c:pt idx="58">
                  <c:v>551</c:v>
                </c:pt>
                <c:pt idx="59">
                  <c:v>552</c:v>
                </c:pt>
                <c:pt idx="60">
                  <c:v>561</c:v>
                </c:pt>
                <c:pt idx="61">
                  <c:v>598</c:v>
                </c:pt>
                <c:pt idx="62">
                  <c:v>609</c:v>
                </c:pt>
                <c:pt idx="63">
                  <c:v>690</c:v>
                </c:pt>
                <c:pt idx="64">
                  <c:v>697</c:v>
                </c:pt>
                <c:pt idx="65">
                  <c:v>798</c:v>
                </c:pt>
                <c:pt idx="66">
                  <c:v>808</c:v>
                </c:pt>
                <c:pt idx="67">
                  <c:v>825</c:v>
                </c:pt>
                <c:pt idx="68">
                  <c:v>918</c:v>
                </c:pt>
                <c:pt idx="69">
                  <c:v>943</c:v>
                </c:pt>
                <c:pt idx="70">
                  <c:v>1168</c:v>
                </c:pt>
                <c:pt idx="71">
                  <c:v>1183</c:v>
                </c:pt>
                <c:pt idx="72">
                  <c:v>1283</c:v>
                </c:pt>
                <c:pt idx="73">
                  <c:v>1400</c:v>
                </c:pt>
              </c:numCache>
            </c:numRef>
          </c:xVal>
          <c:yVal>
            <c:numRef>
              <c:f>'Angio Funnel'!$D$2:$D$75</c:f>
              <c:numCache>
                <c:formatCode>0.0%</c:formatCode>
                <c:ptCount val="74"/>
                <c:pt idx="0">
                  <c:v>1.6E-2</c:v>
                </c:pt>
                <c:pt idx="1">
                  <c:v>1.6E-2</c:v>
                </c:pt>
                <c:pt idx="2">
                  <c:v>1.6E-2</c:v>
                </c:pt>
                <c:pt idx="3">
                  <c:v>1.6E-2</c:v>
                </c:pt>
                <c:pt idx="4">
                  <c:v>1.6E-2</c:v>
                </c:pt>
                <c:pt idx="5">
                  <c:v>1.6E-2</c:v>
                </c:pt>
                <c:pt idx="6">
                  <c:v>1.6E-2</c:v>
                </c:pt>
                <c:pt idx="7">
                  <c:v>1.6E-2</c:v>
                </c:pt>
                <c:pt idx="8">
                  <c:v>1.6E-2</c:v>
                </c:pt>
                <c:pt idx="9">
                  <c:v>1.6E-2</c:v>
                </c:pt>
                <c:pt idx="10">
                  <c:v>1.6E-2</c:v>
                </c:pt>
                <c:pt idx="11">
                  <c:v>1.6E-2</c:v>
                </c:pt>
                <c:pt idx="12">
                  <c:v>1.6E-2</c:v>
                </c:pt>
                <c:pt idx="13">
                  <c:v>1.6E-2</c:v>
                </c:pt>
                <c:pt idx="14">
                  <c:v>1.6E-2</c:v>
                </c:pt>
                <c:pt idx="15">
                  <c:v>1.6E-2</c:v>
                </c:pt>
                <c:pt idx="16">
                  <c:v>1.6E-2</c:v>
                </c:pt>
                <c:pt idx="17">
                  <c:v>1.6E-2</c:v>
                </c:pt>
                <c:pt idx="18">
                  <c:v>1.6E-2</c:v>
                </c:pt>
                <c:pt idx="19">
                  <c:v>1.6E-2</c:v>
                </c:pt>
                <c:pt idx="20">
                  <c:v>1.6E-2</c:v>
                </c:pt>
                <c:pt idx="21">
                  <c:v>1.6E-2</c:v>
                </c:pt>
                <c:pt idx="22">
                  <c:v>1.6E-2</c:v>
                </c:pt>
                <c:pt idx="23">
                  <c:v>1.6E-2</c:v>
                </c:pt>
                <c:pt idx="24">
                  <c:v>1.6E-2</c:v>
                </c:pt>
                <c:pt idx="25">
                  <c:v>1.6E-2</c:v>
                </c:pt>
                <c:pt idx="26">
                  <c:v>1.6E-2</c:v>
                </c:pt>
                <c:pt idx="27">
                  <c:v>1.6E-2</c:v>
                </c:pt>
                <c:pt idx="28">
                  <c:v>1.6E-2</c:v>
                </c:pt>
                <c:pt idx="29">
                  <c:v>1.6E-2</c:v>
                </c:pt>
                <c:pt idx="30">
                  <c:v>1.6E-2</c:v>
                </c:pt>
                <c:pt idx="31">
                  <c:v>1.6E-2</c:v>
                </c:pt>
                <c:pt idx="32">
                  <c:v>1.6E-2</c:v>
                </c:pt>
                <c:pt idx="33">
                  <c:v>1.6E-2</c:v>
                </c:pt>
                <c:pt idx="34">
                  <c:v>1.6E-2</c:v>
                </c:pt>
                <c:pt idx="35">
                  <c:v>1.6E-2</c:v>
                </c:pt>
                <c:pt idx="36">
                  <c:v>1.6E-2</c:v>
                </c:pt>
                <c:pt idx="37">
                  <c:v>1.6E-2</c:v>
                </c:pt>
                <c:pt idx="38">
                  <c:v>1.6E-2</c:v>
                </c:pt>
                <c:pt idx="39">
                  <c:v>1.6E-2</c:v>
                </c:pt>
                <c:pt idx="40">
                  <c:v>1.6E-2</c:v>
                </c:pt>
                <c:pt idx="41">
                  <c:v>1.6E-2</c:v>
                </c:pt>
                <c:pt idx="42">
                  <c:v>1.6E-2</c:v>
                </c:pt>
                <c:pt idx="43">
                  <c:v>1.6E-2</c:v>
                </c:pt>
                <c:pt idx="44">
                  <c:v>1.6E-2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1.6E-2</c:v>
                </c:pt>
                <c:pt idx="50">
                  <c:v>1.6E-2</c:v>
                </c:pt>
                <c:pt idx="51">
                  <c:v>1.6E-2</c:v>
                </c:pt>
                <c:pt idx="52">
                  <c:v>1.6E-2</c:v>
                </c:pt>
                <c:pt idx="53">
                  <c:v>1.6E-2</c:v>
                </c:pt>
                <c:pt idx="54">
                  <c:v>1.6E-2</c:v>
                </c:pt>
                <c:pt idx="55">
                  <c:v>1.6E-2</c:v>
                </c:pt>
                <c:pt idx="56">
                  <c:v>1.6E-2</c:v>
                </c:pt>
                <c:pt idx="57">
                  <c:v>1.6E-2</c:v>
                </c:pt>
                <c:pt idx="58">
                  <c:v>1.6E-2</c:v>
                </c:pt>
                <c:pt idx="59">
                  <c:v>1.6E-2</c:v>
                </c:pt>
                <c:pt idx="60">
                  <c:v>1.6E-2</c:v>
                </c:pt>
                <c:pt idx="61">
                  <c:v>1.6E-2</c:v>
                </c:pt>
                <c:pt idx="62">
                  <c:v>1.6E-2</c:v>
                </c:pt>
                <c:pt idx="63">
                  <c:v>1.6E-2</c:v>
                </c:pt>
                <c:pt idx="64">
                  <c:v>1.6E-2</c:v>
                </c:pt>
                <c:pt idx="65">
                  <c:v>1.6E-2</c:v>
                </c:pt>
                <c:pt idx="66">
                  <c:v>1.6E-2</c:v>
                </c:pt>
                <c:pt idx="67">
                  <c:v>1.6E-2</c:v>
                </c:pt>
                <c:pt idx="68">
                  <c:v>1.6E-2</c:v>
                </c:pt>
                <c:pt idx="69">
                  <c:v>1.6E-2</c:v>
                </c:pt>
                <c:pt idx="70">
                  <c:v>1.6E-2</c:v>
                </c:pt>
                <c:pt idx="71">
                  <c:v>1.6E-2</c:v>
                </c:pt>
                <c:pt idx="72">
                  <c:v>1.6E-2</c:v>
                </c:pt>
                <c:pt idx="73">
                  <c:v>1.6E-2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E3-401B-82A3-4464EDE6AA65}"/>
            </c:ext>
          </c:extLst>
        </c:ser>
        <c:ser>
          <c:idx val="2"/>
          <c:order val="2"/>
          <c:tx>
            <c:v>Upper Funnel Limits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'Angio Funnel'!$B$2:$B$75</c:f>
              <c:numCache>
                <c:formatCode>General</c:formatCode>
                <c:ptCount val="7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26</c:v>
                </c:pt>
                <c:pt idx="9">
                  <c:v>31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52</c:v>
                </c:pt>
                <c:pt idx="16">
                  <c:v>53</c:v>
                </c:pt>
                <c:pt idx="17">
                  <c:v>55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71</c:v>
                </c:pt>
                <c:pt idx="22">
                  <c:v>89</c:v>
                </c:pt>
                <c:pt idx="23">
                  <c:v>90</c:v>
                </c:pt>
                <c:pt idx="24">
                  <c:v>92</c:v>
                </c:pt>
                <c:pt idx="25">
                  <c:v>95</c:v>
                </c:pt>
                <c:pt idx="26">
                  <c:v>103</c:v>
                </c:pt>
                <c:pt idx="27">
                  <c:v>111</c:v>
                </c:pt>
                <c:pt idx="28">
                  <c:v>135</c:v>
                </c:pt>
                <c:pt idx="29">
                  <c:v>140</c:v>
                </c:pt>
                <c:pt idx="30">
                  <c:v>150</c:v>
                </c:pt>
                <c:pt idx="31">
                  <c:v>168</c:v>
                </c:pt>
                <c:pt idx="32">
                  <c:v>171</c:v>
                </c:pt>
                <c:pt idx="33">
                  <c:v>174</c:v>
                </c:pt>
                <c:pt idx="34">
                  <c:v>176</c:v>
                </c:pt>
                <c:pt idx="35">
                  <c:v>177</c:v>
                </c:pt>
                <c:pt idx="36">
                  <c:v>185</c:v>
                </c:pt>
                <c:pt idx="37">
                  <c:v>203</c:v>
                </c:pt>
                <c:pt idx="38">
                  <c:v>226</c:v>
                </c:pt>
                <c:pt idx="39">
                  <c:v>235</c:v>
                </c:pt>
                <c:pt idx="40">
                  <c:v>242</c:v>
                </c:pt>
                <c:pt idx="41">
                  <c:v>297</c:v>
                </c:pt>
                <c:pt idx="42">
                  <c:v>299</c:v>
                </c:pt>
                <c:pt idx="43">
                  <c:v>314</c:v>
                </c:pt>
                <c:pt idx="44">
                  <c:v>322</c:v>
                </c:pt>
                <c:pt idx="45">
                  <c:v>329</c:v>
                </c:pt>
                <c:pt idx="46">
                  <c:v>343</c:v>
                </c:pt>
                <c:pt idx="47">
                  <c:v>380</c:v>
                </c:pt>
                <c:pt idx="48">
                  <c:v>386</c:v>
                </c:pt>
                <c:pt idx="49">
                  <c:v>401</c:v>
                </c:pt>
                <c:pt idx="50">
                  <c:v>402</c:v>
                </c:pt>
                <c:pt idx="51">
                  <c:v>404</c:v>
                </c:pt>
                <c:pt idx="52">
                  <c:v>450</c:v>
                </c:pt>
                <c:pt idx="53">
                  <c:v>455</c:v>
                </c:pt>
                <c:pt idx="54">
                  <c:v>459</c:v>
                </c:pt>
                <c:pt idx="55">
                  <c:v>461</c:v>
                </c:pt>
                <c:pt idx="56">
                  <c:v>497</c:v>
                </c:pt>
                <c:pt idx="57">
                  <c:v>533</c:v>
                </c:pt>
                <c:pt idx="58">
                  <c:v>551</c:v>
                </c:pt>
                <c:pt idx="59">
                  <c:v>552</c:v>
                </c:pt>
                <c:pt idx="60">
                  <c:v>561</c:v>
                </c:pt>
                <c:pt idx="61">
                  <c:v>598</c:v>
                </c:pt>
                <c:pt idx="62">
                  <c:v>609</c:v>
                </c:pt>
                <c:pt idx="63">
                  <c:v>690</c:v>
                </c:pt>
                <c:pt idx="64">
                  <c:v>697</c:v>
                </c:pt>
                <c:pt idx="65">
                  <c:v>798</c:v>
                </c:pt>
                <c:pt idx="66">
                  <c:v>808</c:v>
                </c:pt>
                <c:pt idx="67">
                  <c:v>825</c:v>
                </c:pt>
                <c:pt idx="68">
                  <c:v>918</c:v>
                </c:pt>
                <c:pt idx="69">
                  <c:v>943</c:v>
                </c:pt>
                <c:pt idx="70">
                  <c:v>1168</c:v>
                </c:pt>
                <c:pt idx="71">
                  <c:v>1183</c:v>
                </c:pt>
                <c:pt idx="72">
                  <c:v>1283</c:v>
                </c:pt>
                <c:pt idx="73">
                  <c:v>1400</c:v>
                </c:pt>
              </c:numCache>
            </c:numRef>
          </c:xVal>
          <c:yVal>
            <c:numRef>
              <c:f>'Angio Funnel'!$C$2:$C$75</c:f>
              <c:numCache>
                <c:formatCode>0.00%</c:formatCode>
                <c:ptCount val="74"/>
                <c:pt idx="0">
                  <c:v>0.5</c:v>
                </c:pt>
                <c:pt idx="1">
                  <c:v>0.26932174680000004</c:v>
                </c:pt>
                <c:pt idx="2">
                  <c:v>0.23057287220000006</c:v>
                </c:pt>
                <c:pt idx="3">
                  <c:v>0.22303859709999999</c:v>
                </c:pt>
                <c:pt idx="4">
                  <c:v>0.21011333469999996</c:v>
                </c:pt>
                <c:pt idx="5">
                  <c:v>0.2028226662</c:v>
                </c:pt>
                <c:pt idx="6">
                  <c:v>0.18146184919999997</c:v>
                </c:pt>
                <c:pt idx="7">
                  <c:v>0.15720936780000003</c:v>
                </c:pt>
                <c:pt idx="8">
                  <c:v>0.15197288510000007</c:v>
                </c:pt>
                <c:pt idx="9">
                  <c:v>0.13756595610000005</c:v>
                </c:pt>
                <c:pt idx="10">
                  <c:v>0.12867315289999992</c:v>
                </c:pt>
                <c:pt idx="11">
                  <c:v>0.12651101109999999</c:v>
                </c:pt>
                <c:pt idx="12">
                  <c:v>0.12431918139999994</c:v>
                </c:pt>
                <c:pt idx="13">
                  <c:v>0.11993204120000002</c:v>
                </c:pt>
                <c:pt idx="14">
                  <c:v>0.11563394549999999</c:v>
                </c:pt>
                <c:pt idx="15">
                  <c:v>0.10110774989999996</c:v>
                </c:pt>
                <c:pt idx="16">
                  <c:v>0.10059111599999994</c:v>
                </c:pt>
                <c:pt idx="17">
                  <c:v>9.9244451499999969E-2</c:v>
                </c:pt>
                <c:pt idx="18">
                  <c:v>9.6711387600000046E-2</c:v>
                </c:pt>
                <c:pt idx="19">
                  <c:v>9.2868528399999942E-2</c:v>
                </c:pt>
                <c:pt idx="20">
                  <c:v>9.0877199199999981E-2</c:v>
                </c:pt>
                <c:pt idx="21">
                  <c:v>8.4032802600000026E-2</c:v>
                </c:pt>
                <c:pt idx="22">
                  <c:v>7.6155481299999939E-2</c:v>
                </c:pt>
                <c:pt idx="23">
                  <c:v>7.5601415600000055E-2</c:v>
                </c:pt>
                <c:pt idx="24">
                  <c:v>7.4481816299999934E-2</c:v>
                </c:pt>
                <c:pt idx="25">
                  <c:v>7.279249190000002E-2</c:v>
                </c:pt>
                <c:pt idx="26">
                  <c:v>6.989052770000001E-2</c:v>
                </c:pt>
                <c:pt idx="27">
                  <c:v>6.8196177500000066E-2</c:v>
                </c:pt>
                <c:pt idx="28">
                  <c:v>6.1601142899999954E-2</c:v>
                </c:pt>
                <c:pt idx="29">
                  <c:v>6.0854964300000064E-2</c:v>
                </c:pt>
                <c:pt idx="30">
                  <c:v>5.8709816899999934E-2</c:v>
                </c:pt>
                <c:pt idx="31">
                  <c:v>5.5754604300000066E-2</c:v>
                </c:pt>
                <c:pt idx="32">
                  <c:v>5.5435357100000006E-2</c:v>
                </c:pt>
                <c:pt idx="33">
                  <c:v>5.5048837700000061E-2</c:v>
                </c:pt>
                <c:pt idx="34">
                  <c:v>5.4761295299999943E-2</c:v>
                </c:pt>
                <c:pt idx="35">
                  <c:v>5.4609994900000063E-2</c:v>
                </c:pt>
                <c:pt idx="36">
                  <c:v>5.3268680599999951E-2</c:v>
                </c:pt>
                <c:pt idx="37">
                  <c:v>5.1339788399999975E-2</c:v>
                </c:pt>
                <c:pt idx="38">
                  <c:v>4.8561773299999944E-2</c:v>
                </c:pt>
                <c:pt idx="39">
                  <c:v>4.8158044799999973E-2</c:v>
                </c:pt>
                <c:pt idx="40">
                  <c:v>4.7720508599999933E-2</c:v>
                </c:pt>
                <c:pt idx="41">
                  <c:v>4.3611693400000033E-2</c:v>
                </c:pt>
                <c:pt idx="42">
                  <c:v>4.3428039599999975E-2</c:v>
                </c:pt>
                <c:pt idx="43">
                  <c:v>4.299215790000005E-2</c:v>
                </c:pt>
                <c:pt idx="44">
                  <c:v>4.2560658499999987E-2</c:v>
                </c:pt>
                <c:pt idx="45">
                  <c:v>4.2099513999999942E-2</c:v>
                </c:pt>
                <c:pt idx="46">
                  <c:v>4.1414818800000003E-2</c:v>
                </c:pt>
                <c:pt idx="47">
                  <c:v>3.9839811300000035E-2</c:v>
                </c:pt>
                <c:pt idx="48">
                  <c:v>3.974464420000004E-2</c:v>
                </c:pt>
                <c:pt idx="49">
                  <c:v>3.9226644000000019E-2</c:v>
                </c:pt>
                <c:pt idx="50">
                  <c:v>3.918177369999995E-2</c:v>
                </c:pt>
                <c:pt idx="51">
                  <c:v>3.9089095599999978E-2</c:v>
                </c:pt>
                <c:pt idx="52">
                  <c:v>3.7556924799999933E-2</c:v>
                </c:pt>
                <c:pt idx="53">
                  <c:v>3.7326309700000025E-2</c:v>
                </c:pt>
                <c:pt idx="54">
                  <c:v>3.7269666199999989E-2</c:v>
                </c:pt>
                <c:pt idx="55">
                  <c:v>3.7256460199999994E-2</c:v>
                </c:pt>
                <c:pt idx="56">
                  <c:v>3.6220357400000014E-2</c:v>
                </c:pt>
                <c:pt idx="57">
                  <c:v>3.5480325200000065E-2</c:v>
                </c:pt>
                <c:pt idx="58">
                  <c:v>3.5191268899999954E-2</c:v>
                </c:pt>
                <c:pt idx="59">
                  <c:v>3.5176324800000033E-2</c:v>
                </c:pt>
                <c:pt idx="60">
                  <c:v>3.5002827600000043E-2</c:v>
                </c:pt>
                <c:pt idx="61">
                  <c:v>3.4295461199999974E-2</c:v>
                </c:pt>
                <c:pt idx="62">
                  <c:v>3.4073758100000046E-2</c:v>
                </c:pt>
                <c:pt idx="63">
                  <c:v>3.2804732299999986E-2</c:v>
                </c:pt>
                <c:pt idx="64">
                  <c:v>3.2678868800000059E-2</c:v>
                </c:pt>
                <c:pt idx="65">
                  <c:v>3.1319167599999954E-2</c:v>
                </c:pt>
                <c:pt idx="66">
                  <c:v>3.1283731500000016E-2</c:v>
                </c:pt>
                <c:pt idx="67">
                  <c:v>3.112108710000001E-2</c:v>
                </c:pt>
                <c:pt idx="68">
                  <c:v>3.019768709999994E-2</c:v>
                </c:pt>
                <c:pt idx="69">
                  <c:v>2.9959147000000002E-2</c:v>
                </c:pt>
                <c:pt idx="70">
                  <c:v>2.8291339900000025E-2</c:v>
                </c:pt>
                <c:pt idx="71">
                  <c:v>2.8252039000000052E-2</c:v>
                </c:pt>
                <c:pt idx="72">
                  <c:v>2.7691936500000056E-2</c:v>
                </c:pt>
                <c:pt idx="73">
                  <c:v>2.7083232399999987E-2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E3-401B-82A3-4464EDE6AA65}"/>
            </c:ext>
          </c:extLst>
        </c:ser>
        <c:ser>
          <c:idx val="3"/>
          <c:order val="3"/>
          <c:tx>
            <c:strRef>
              <c:f>'Angioplasty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'Angioplasty Summary'!$D$30</c:f>
              <c:numCache>
                <c:formatCode>General</c:formatCode>
                <c:ptCount val="1"/>
                <c:pt idx="0">
                  <c:v>25</c:v>
                </c:pt>
              </c:numCache>
            </c:numRef>
          </c:xVal>
          <c:yVal>
            <c:numRef>
              <c:f>'Angioplasty Summary'!$I$30</c:f>
              <c:numCache>
                <c:formatCode>0.0%</c:formatCode>
                <c:ptCount val="1"/>
                <c:pt idx="0">
                  <c:v>7.4671835899353028E-2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E3-401B-82A3-4464EDE6AA65}"/>
            </c:ext>
          </c:extLst>
        </c:ser>
        <c:ser>
          <c:idx val="4"/>
          <c:order val="4"/>
          <c:tx>
            <c:v>Lower Funnel Limits</c:v>
          </c:tx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'Angio Funnel'!$B$2:$B$75</c:f>
              <c:numCache>
                <c:formatCode>General</c:formatCode>
                <c:ptCount val="7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26</c:v>
                </c:pt>
                <c:pt idx="9">
                  <c:v>31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52</c:v>
                </c:pt>
                <c:pt idx="16">
                  <c:v>53</c:v>
                </c:pt>
                <c:pt idx="17">
                  <c:v>55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71</c:v>
                </c:pt>
                <c:pt idx="22">
                  <c:v>89</c:v>
                </c:pt>
                <c:pt idx="23">
                  <c:v>90</c:v>
                </c:pt>
                <c:pt idx="24">
                  <c:v>92</c:v>
                </c:pt>
                <c:pt idx="25">
                  <c:v>95</c:v>
                </c:pt>
                <c:pt idx="26">
                  <c:v>103</c:v>
                </c:pt>
                <c:pt idx="27">
                  <c:v>111</c:v>
                </c:pt>
                <c:pt idx="28">
                  <c:v>135</c:v>
                </c:pt>
                <c:pt idx="29">
                  <c:v>140</c:v>
                </c:pt>
                <c:pt idx="30">
                  <c:v>150</c:v>
                </c:pt>
                <c:pt idx="31">
                  <c:v>168</c:v>
                </c:pt>
                <c:pt idx="32">
                  <c:v>171</c:v>
                </c:pt>
                <c:pt idx="33">
                  <c:v>174</c:v>
                </c:pt>
                <c:pt idx="34">
                  <c:v>176</c:v>
                </c:pt>
                <c:pt idx="35">
                  <c:v>177</c:v>
                </c:pt>
                <c:pt idx="36">
                  <c:v>185</c:v>
                </c:pt>
                <c:pt idx="37">
                  <c:v>203</c:v>
                </c:pt>
                <c:pt idx="38">
                  <c:v>226</c:v>
                </c:pt>
                <c:pt idx="39">
                  <c:v>235</c:v>
                </c:pt>
                <c:pt idx="40">
                  <c:v>242</c:v>
                </c:pt>
                <c:pt idx="41">
                  <c:v>297</c:v>
                </c:pt>
                <c:pt idx="42">
                  <c:v>299</c:v>
                </c:pt>
                <c:pt idx="43">
                  <c:v>314</c:v>
                </c:pt>
                <c:pt idx="44">
                  <c:v>322</c:v>
                </c:pt>
                <c:pt idx="45">
                  <c:v>329</c:v>
                </c:pt>
                <c:pt idx="46">
                  <c:v>343</c:v>
                </c:pt>
                <c:pt idx="47">
                  <c:v>380</c:v>
                </c:pt>
                <c:pt idx="48">
                  <c:v>386</c:v>
                </c:pt>
                <c:pt idx="49">
                  <c:v>401</c:v>
                </c:pt>
                <c:pt idx="50">
                  <c:v>402</c:v>
                </c:pt>
                <c:pt idx="51">
                  <c:v>404</c:v>
                </c:pt>
                <c:pt idx="52">
                  <c:v>450</c:v>
                </c:pt>
                <c:pt idx="53">
                  <c:v>455</c:v>
                </c:pt>
                <c:pt idx="54">
                  <c:v>459</c:v>
                </c:pt>
                <c:pt idx="55">
                  <c:v>461</c:v>
                </c:pt>
                <c:pt idx="56">
                  <c:v>497</c:v>
                </c:pt>
                <c:pt idx="57">
                  <c:v>533</c:v>
                </c:pt>
                <c:pt idx="58">
                  <c:v>551</c:v>
                </c:pt>
                <c:pt idx="59">
                  <c:v>552</c:v>
                </c:pt>
                <c:pt idx="60">
                  <c:v>561</c:v>
                </c:pt>
                <c:pt idx="61">
                  <c:v>598</c:v>
                </c:pt>
                <c:pt idx="62">
                  <c:v>609</c:v>
                </c:pt>
                <c:pt idx="63">
                  <c:v>690</c:v>
                </c:pt>
                <c:pt idx="64">
                  <c:v>697</c:v>
                </c:pt>
                <c:pt idx="65">
                  <c:v>798</c:v>
                </c:pt>
                <c:pt idx="66">
                  <c:v>808</c:v>
                </c:pt>
                <c:pt idx="67">
                  <c:v>825</c:v>
                </c:pt>
                <c:pt idx="68">
                  <c:v>918</c:v>
                </c:pt>
                <c:pt idx="69">
                  <c:v>943</c:v>
                </c:pt>
                <c:pt idx="70">
                  <c:v>1168</c:v>
                </c:pt>
                <c:pt idx="71">
                  <c:v>1183</c:v>
                </c:pt>
                <c:pt idx="72">
                  <c:v>1283</c:v>
                </c:pt>
                <c:pt idx="73">
                  <c:v>1400</c:v>
                </c:pt>
              </c:numCache>
            </c:numRef>
          </c:xVal>
          <c:yVal>
            <c:numRef>
              <c:f>'Angio Funnel'!$E$2:$E$75</c:f>
              <c:numCache>
                <c:formatCode>0.00%</c:formatCode>
                <c:ptCount val="74"/>
                <c:pt idx="52">
                  <c:v>5.1123700000061942E-5</c:v>
                </c:pt>
                <c:pt idx="53">
                  <c:v>7.901410000002329E-5</c:v>
                </c:pt>
                <c:pt idx="54">
                  <c:v>1.0211240000003841E-4</c:v>
                </c:pt>
                <c:pt idx="55">
                  <c:v>1.1393990000001963E-4</c:v>
                </c:pt>
                <c:pt idx="56">
                  <c:v>3.6678019999996536E-4</c:v>
                </c:pt>
                <c:pt idx="57">
                  <c:v>7.2993560000000457E-4</c:v>
                </c:pt>
                <c:pt idx="58">
                  <c:v>9.7384689999998383E-4</c:v>
                </c:pt>
                <c:pt idx="59">
                  <c:v>9.8894540000003415E-4</c:v>
                </c:pt>
                <c:pt idx="60">
                  <c:v>1.1331332999999688E-3</c:v>
                </c:pt>
                <c:pt idx="61">
                  <c:v>1.7249612999999898E-3</c:v>
                </c:pt>
                <c:pt idx="62">
                  <c:v>1.7650430000000483E-3</c:v>
                </c:pt>
                <c:pt idx="63">
                  <c:v>2.3838111999999966E-3</c:v>
                </c:pt>
                <c:pt idx="64">
                  <c:v>2.4766893999999696E-3</c:v>
                </c:pt>
                <c:pt idx="65">
                  <c:v>3.1835451999999973E-3</c:v>
                </c:pt>
                <c:pt idx="66">
                  <c:v>3.2778238999999587E-3</c:v>
                </c:pt>
                <c:pt idx="67">
                  <c:v>3.4717804000000286E-3</c:v>
                </c:pt>
                <c:pt idx="68">
                  <c:v>3.9600638000000287E-3</c:v>
                </c:pt>
                <c:pt idx="69">
                  <c:v>4.2079735000000087E-3</c:v>
                </c:pt>
                <c:pt idx="70">
                  <c:v>5.2119093999999679E-3</c:v>
                </c:pt>
                <c:pt idx="71">
                  <c:v>5.2383106999999993E-3</c:v>
                </c:pt>
                <c:pt idx="72">
                  <c:v>5.6152928000000202E-3</c:v>
                </c:pt>
                <c:pt idx="73">
                  <c:v>5.9904527999999858E-3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19-4C06-8A75-491D0AF8F319}"/>
            </c:ext>
          </c:extLst>
        </c:ser>
        <c:ser>
          <c:idx val="5"/>
          <c:order val="5"/>
          <c:tx>
            <c:v>Upper 95 Limits</c:v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'Angio Funnel'!$B$2:$B$75</c:f>
              <c:numCache>
                <c:formatCode>General</c:formatCode>
                <c:ptCount val="74"/>
                <c:pt idx="0">
                  <c:v>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21</c:v>
                </c:pt>
                <c:pt idx="7">
                  <c:v>25</c:v>
                </c:pt>
                <c:pt idx="8">
                  <c:v>26</c:v>
                </c:pt>
                <c:pt idx="9">
                  <c:v>31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52</c:v>
                </c:pt>
                <c:pt idx="16">
                  <c:v>53</c:v>
                </c:pt>
                <c:pt idx="17">
                  <c:v>55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71</c:v>
                </c:pt>
                <c:pt idx="22">
                  <c:v>89</c:v>
                </c:pt>
                <c:pt idx="23">
                  <c:v>90</c:v>
                </c:pt>
                <c:pt idx="24">
                  <c:v>92</c:v>
                </c:pt>
                <c:pt idx="25">
                  <c:v>95</c:v>
                </c:pt>
                <c:pt idx="26">
                  <c:v>103</c:v>
                </c:pt>
                <c:pt idx="27">
                  <c:v>111</c:v>
                </c:pt>
                <c:pt idx="28">
                  <c:v>135</c:v>
                </c:pt>
                <c:pt idx="29">
                  <c:v>140</c:v>
                </c:pt>
                <c:pt idx="30">
                  <c:v>150</c:v>
                </c:pt>
                <c:pt idx="31">
                  <c:v>168</c:v>
                </c:pt>
                <c:pt idx="32">
                  <c:v>171</c:v>
                </c:pt>
                <c:pt idx="33">
                  <c:v>174</c:v>
                </c:pt>
                <c:pt idx="34">
                  <c:v>176</c:v>
                </c:pt>
                <c:pt idx="35">
                  <c:v>177</c:v>
                </c:pt>
                <c:pt idx="36">
                  <c:v>185</c:v>
                </c:pt>
                <c:pt idx="37">
                  <c:v>203</c:v>
                </c:pt>
                <c:pt idx="38">
                  <c:v>226</c:v>
                </c:pt>
                <c:pt idx="39">
                  <c:v>235</c:v>
                </c:pt>
                <c:pt idx="40">
                  <c:v>242</c:v>
                </c:pt>
                <c:pt idx="41">
                  <c:v>297</c:v>
                </c:pt>
                <c:pt idx="42">
                  <c:v>299</c:v>
                </c:pt>
                <c:pt idx="43">
                  <c:v>314</c:v>
                </c:pt>
                <c:pt idx="44">
                  <c:v>322</c:v>
                </c:pt>
                <c:pt idx="45">
                  <c:v>329</c:v>
                </c:pt>
                <c:pt idx="46">
                  <c:v>343</c:v>
                </c:pt>
                <c:pt idx="47">
                  <c:v>380</c:v>
                </c:pt>
                <c:pt idx="48">
                  <c:v>386</c:v>
                </c:pt>
                <c:pt idx="49">
                  <c:v>401</c:v>
                </c:pt>
                <c:pt idx="50">
                  <c:v>402</c:v>
                </c:pt>
                <c:pt idx="51">
                  <c:v>404</c:v>
                </c:pt>
                <c:pt idx="52">
                  <c:v>450</c:v>
                </c:pt>
                <c:pt idx="53">
                  <c:v>455</c:v>
                </c:pt>
                <c:pt idx="54">
                  <c:v>459</c:v>
                </c:pt>
                <c:pt idx="55">
                  <c:v>461</c:v>
                </c:pt>
                <c:pt idx="56">
                  <c:v>497</c:v>
                </c:pt>
                <c:pt idx="57">
                  <c:v>533</c:v>
                </c:pt>
                <c:pt idx="58">
                  <c:v>551</c:v>
                </c:pt>
                <c:pt idx="59">
                  <c:v>552</c:v>
                </c:pt>
                <c:pt idx="60">
                  <c:v>561</c:v>
                </c:pt>
                <c:pt idx="61">
                  <c:v>598</c:v>
                </c:pt>
                <c:pt idx="62">
                  <c:v>609</c:v>
                </c:pt>
                <c:pt idx="63">
                  <c:v>690</c:v>
                </c:pt>
                <c:pt idx="64">
                  <c:v>697</c:v>
                </c:pt>
                <c:pt idx="65">
                  <c:v>798</c:v>
                </c:pt>
                <c:pt idx="66">
                  <c:v>808</c:v>
                </c:pt>
                <c:pt idx="67">
                  <c:v>825</c:v>
                </c:pt>
                <c:pt idx="68">
                  <c:v>918</c:v>
                </c:pt>
                <c:pt idx="69">
                  <c:v>943</c:v>
                </c:pt>
                <c:pt idx="70">
                  <c:v>1168</c:v>
                </c:pt>
                <c:pt idx="71">
                  <c:v>1183</c:v>
                </c:pt>
                <c:pt idx="72">
                  <c:v>1283</c:v>
                </c:pt>
                <c:pt idx="73">
                  <c:v>1400</c:v>
                </c:pt>
              </c:numCache>
            </c:numRef>
          </c:xVal>
          <c:yVal>
            <c:numRef>
              <c:f>'Angio Funnel'!$F$2:$F$75</c:f>
              <c:numCache>
                <c:formatCode>0.00%</c:formatCode>
                <c:ptCount val="74"/>
                <c:pt idx="0">
                  <c:v>0.5</c:v>
                </c:pt>
                <c:pt idx="1">
                  <c:v>0.1583</c:v>
                </c:pt>
                <c:pt idx="2">
                  <c:v>0.1386</c:v>
                </c:pt>
                <c:pt idx="3">
                  <c:v>0.1235</c:v>
                </c:pt>
                <c:pt idx="4">
                  <c:v>0.1114</c:v>
                </c:pt>
                <c:pt idx="5">
                  <c:v>0.10630000000000001</c:v>
                </c:pt>
                <c:pt idx="6">
                  <c:v>9.3600000000000003E-2</c:v>
                </c:pt>
                <c:pt idx="7">
                  <c:v>8.5800000000000001E-2</c:v>
                </c:pt>
                <c:pt idx="8">
                  <c:v>8.5099999999999995E-2</c:v>
                </c:pt>
                <c:pt idx="9">
                  <c:v>7.9699999999999993E-2</c:v>
                </c:pt>
                <c:pt idx="10">
                  <c:v>7.3499999999999996E-2</c:v>
                </c:pt>
                <c:pt idx="11">
                  <c:v>7.2300000000000003E-2</c:v>
                </c:pt>
                <c:pt idx="12">
                  <c:v>7.1099999999999997E-2</c:v>
                </c:pt>
                <c:pt idx="13">
                  <c:v>6.88E-2</c:v>
                </c:pt>
                <c:pt idx="14">
                  <c:v>6.6600000000000006E-2</c:v>
                </c:pt>
                <c:pt idx="15">
                  <c:v>5.74E-2</c:v>
                </c:pt>
                <c:pt idx="16">
                  <c:v>5.6599999999999998E-2</c:v>
                </c:pt>
                <c:pt idx="17">
                  <c:v>5.6399999999999999E-2</c:v>
                </c:pt>
                <c:pt idx="18">
                  <c:v>5.5899999999999998E-2</c:v>
                </c:pt>
                <c:pt idx="19">
                  <c:v>5.4800000000000001E-2</c:v>
                </c:pt>
                <c:pt idx="20">
                  <c:v>5.4199999999999998E-2</c:v>
                </c:pt>
                <c:pt idx="21">
                  <c:v>5.16E-2</c:v>
                </c:pt>
                <c:pt idx="22">
                  <c:v>4.5100000000000001E-2</c:v>
                </c:pt>
                <c:pt idx="23">
                  <c:v>4.5100000000000001E-2</c:v>
                </c:pt>
                <c:pt idx="24">
                  <c:v>4.4999999999999998E-2</c:v>
                </c:pt>
                <c:pt idx="25">
                  <c:v>4.48E-2</c:v>
                </c:pt>
                <c:pt idx="26">
                  <c:v>4.3700000000000003E-2</c:v>
                </c:pt>
                <c:pt idx="27">
                  <c:v>4.2299999999999997E-2</c:v>
                </c:pt>
                <c:pt idx="28">
                  <c:v>3.9E-2</c:v>
                </c:pt>
                <c:pt idx="29">
                  <c:v>3.8600000000000002E-2</c:v>
                </c:pt>
                <c:pt idx="30">
                  <c:v>3.7699999999999997E-2</c:v>
                </c:pt>
                <c:pt idx="31">
                  <c:v>3.56E-2</c:v>
                </c:pt>
                <c:pt idx="32">
                  <c:v>3.5499999999999997E-2</c:v>
                </c:pt>
                <c:pt idx="33">
                  <c:v>3.5400000000000001E-2</c:v>
                </c:pt>
                <c:pt idx="34">
                  <c:v>3.5400000000000001E-2</c:v>
                </c:pt>
                <c:pt idx="35">
                  <c:v>3.5299999999999998E-2</c:v>
                </c:pt>
                <c:pt idx="36">
                  <c:v>3.5000000000000003E-2</c:v>
                </c:pt>
                <c:pt idx="37">
                  <c:v>3.3700000000000001E-2</c:v>
                </c:pt>
                <c:pt idx="38">
                  <c:v>3.27E-2</c:v>
                </c:pt>
                <c:pt idx="39">
                  <c:v>3.2300000000000002E-2</c:v>
                </c:pt>
                <c:pt idx="40">
                  <c:v>3.2000000000000001E-2</c:v>
                </c:pt>
                <c:pt idx="41">
                  <c:v>0.03</c:v>
                </c:pt>
                <c:pt idx="42">
                  <c:v>2.9899999999999999E-2</c:v>
                </c:pt>
                <c:pt idx="43">
                  <c:v>2.9600000000000001E-2</c:v>
                </c:pt>
                <c:pt idx="44">
                  <c:v>2.9399999999999999E-2</c:v>
                </c:pt>
                <c:pt idx="45">
                  <c:v>2.93E-2</c:v>
                </c:pt>
                <c:pt idx="46">
                  <c:v>2.8799999999999999E-2</c:v>
                </c:pt>
                <c:pt idx="47">
                  <c:v>2.81E-2</c:v>
                </c:pt>
                <c:pt idx="48">
                  <c:v>2.8000000000000001E-2</c:v>
                </c:pt>
                <c:pt idx="49">
                  <c:v>2.76E-2</c:v>
                </c:pt>
                <c:pt idx="50">
                  <c:v>2.76E-2</c:v>
                </c:pt>
                <c:pt idx="51">
                  <c:v>2.76E-2</c:v>
                </c:pt>
                <c:pt idx="52">
                  <c:v>2.6800000000000001E-2</c:v>
                </c:pt>
                <c:pt idx="53">
                  <c:v>2.6800000000000001E-2</c:v>
                </c:pt>
                <c:pt idx="54">
                  <c:v>2.6800000000000001E-2</c:v>
                </c:pt>
                <c:pt idx="55">
                  <c:v>2.6800000000000001E-2</c:v>
                </c:pt>
                <c:pt idx="56">
                  <c:v>2.6200000000000001E-2</c:v>
                </c:pt>
                <c:pt idx="57">
                  <c:v>2.5899999999999999E-2</c:v>
                </c:pt>
                <c:pt idx="58">
                  <c:v>2.5600000000000001E-2</c:v>
                </c:pt>
                <c:pt idx="59">
                  <c:v>2.5600000000000001E-2</c:v>
                </c:pt>
                <c:pt idx="60">
                  <c:v>2.5600000000000001E-2</c:v>
                </c:pt>
                <c:pt idx="61">
                  <c:v>2.5100000000000001E-2</c:v>
                </c:pt>
                <c:pt idx="62">
                  <c:v>2.5100000000000001E-2</c:v>
                </c:pt>
                <c:pt idx="63">
                  <c:v>2.4400000000000002E-2</c:v>
                </c:pt>
                <c:pt idx="64">
                  <c:v>2.4400000000000002E-2</c:v>
                </c:pt>
                <c:pt idx="65">
                  <c:v>2.3699999999999999E-2</c:v>
                </c:pt>
                <c:pt idx="66">
                  <c:v>2.3699999999999999E-2</c:v>
                </c:pt>
                <c:pt idx="67">
                  <c:v>2.3599999999999999E-2</c:v>
                </c:pt>
                <c:pt idx="68">
                  <c:v>2.3099999999999999E-2</c:v>
                </c:pt>
                <c:pt idx="69">
                  <c:v>2.3E-2</c:v>
                </c:pt>
                <c:pt idx="70">
                  <c:v>2.2200000000000001E-2</c:v>
                </c:pt>
                <c:pt idx="71">
                  <c:v>2.2100000000000002E-2</c:v>
                </c:pt>
                <c:pt idx="72">
                  <c:v>2.18E-2</c:v>
                </c:pt>
                <c:pt idx="73">
                  <c:v>2.1600000000000001E-2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E6-4329-83D7-376DDC45E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498000"/>
        <c:axId val="578493408"/>
      </c:scatterChart>
      <c:valAx>
        <c:axId val="578498000"/>
        <c:scaling>
          <c:orientation val="minMax"/>
          <c:max val="1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</a:t>
                </a:r>
                <a:r>
                  <a:rPr lang="en-GB" baseline="0"/>
                  <a:t> of operations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3408"/>
        <c:crosses val="autoZero"/>
        <c:crossBetween val="midCat"/>
        <c:majorUnit val="100"/>
      </c:valAx>
      <c:valAx>
        <c:axId val="578493408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  <a:r>
                  <a:rPr lang="en-GB" baseline="0"/>
                  <a:t> In hospital deaths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498000"/>
        <c:crosses val="autoZero"/>
        <c:crossBetween val="midCat"/>
        <c:majorUnit val="5.000000000000001E-2"/>
        <c:min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'Angioplasty Summary'!$R$54</c:f>
          <c:strCache>
            <c:ptCount val="1"/>
            <c:pt idx="0">
              <c:v>Angioplasties on a planned list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'Angioplasty Summary'!$R$54</c:f>
              <c:strCache>
                <c:ptCount val="1"/>
                <c:pt idx="0">
                  <c:v>Angioplasties on a planned list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'Lower Limb Angioplasty'!$AC$2:$AC$91</c:f>
                <c:numCache>
                  <c:formatCode>General</c:formatCode>
                  <c:ptCount val="90"/>
                  <c:pt idx="0">
                    <c:v>0</c:v>
                  </c:pt>
                  <c:pt idx="1">
                    <c:v>5.9999999999999942E-2</c:v>
                  </c:pt>
                  <c:pt idx="2">
                    <c:v>1.0000000000000009E-2</c:v>
                  </c:pt>
                  <c:pt idx="3">
                    <c:v>2.0000000000000018E-2</c:v>
                  </c:pt>
                  <c:pt idx="4">
                    <c:v>0</c:v>
                  </c:pt>
                  <c:pt idx="5">
                    <c:v>1.0000000000000009E-2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2.0000000000000018E-2</c:v>
                  </c:pt>
                  <c:pt idx="10">
                    <c:v>4.0000000000000036E-2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1.0000000000000009E-2</c:v>
                  </c:pt>
                  <c:pt idx="15">
                    <c:v>0</c:v>
                  </c:pt>
                  <c:pt idx="16">
                    <c:v>3.0000000000000027E-2</c:v>
                  </c:pt>
                  <c:pt idx="17">
                    <c:v>1.0000000000000009E-2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2.0000000000000018E-2</c:v>
                  </c:pt>
                  <c:pt idx="23">
                    <c:v>2.0000000000000018E-2</c:v>
                  </c:pt>
                  <c:pt idx="24">
                    <c:v>1.0000000000000009E-2</c:v>
                  </c:pt>
                  <c:pt idx="25">
                    <c:v>4.0000000000000036E-2</c:v>
                  </c:pt>
                  <c:pt idx="26">
                    <c:v>1.0000000000000009E-2</c:v>
                  </c:pt>
                  <c:pt idx="27">
                    <c:v>2.0000000000000018E-2</c:v>
                  </c:pt>
                  <c:pt idx="28">
                    <c:v>2.0000000000000018E-2</c:v>
                  </c:pt>
                  <c:pt idx="29">
                    <c:v>0</c:v>
                  </c:pt>
                  <c:pt idx="30">
                    <c:v>3.0000000000000027E-2</c:v>
                  </c:pt>
                  <c:pt idx="31">
                    <c:v>3.0000000000000027E-2</c:v>
                  </c:pt>
                  <c:pt idx="32">
                    <c:v>1.0000000000000009E-2</c:v>
                  </c:pt>
                  <c:pt idx="33">
                    <c:v>3.0000000000000027E-2</c:v>
                  </c:pt>
                  <c:pt idx="34">
                    <c:v>2.0000000000000018E-2</c:v>
                  </c:pt>
                  <c:pt idx="35">
                    <c:v>0</c:v>
                  </c:pt>
                  <c:pt idx="36">
                    <c:v>1.0000000000000009E-2</c:v>
                  </c:pt>
                  <c:pt idx="37">
                    <c:v>2.0000000000000018E-2</c:v>
                  </c:pt>
                  <c:pt idx="38">
                    <c:v>2.0000000000000018E-2</c:v>
                  </c:pt>
                  <c:pt idx="39">
                    <c:v>1.0000000000000009E-2</c:v>
                  </c:pt>
                  <c:pt idx="40">
                    <c:v>3.0000000000000027E-2</c:v>
                  </c:pt>
                  <c:pt idx="41">
                    <c:v>0</c:v>
                  </c:pt>
                  <c:pt idx="42">
                    <c:v>1.0000000000000009E-2</c:v>
                  </c:pt>
                  <c:pt idx="43">
                    <c:v>0</c:v>
                  </c:pt>
                  <c:pt idx="44">
                    <c:v>1.0000000000000009E-2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1.0000000000000009E-2</c:v>
                  </c:pt>
                  <c:pt idx="49">
                    <c:v>0</c:v>
                  </c:pt>
                  <c:pt idx="50">
                    <c:v>3.9999999999999925E-2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2.0000000000000018E-2</c:v>
                  </c:pt>
                  <c:pt idx="56">
                    <c:v>1.0000000000000009E-2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4.0000000000000036E-2</c:v>
                  </c:pt>
                  <c:pt idx="68">
                    <c:v>0</c:v>
                  </c:pt>
                  <c:pt idx="69">
                    <c:v>1.0000000000000009E-2</c:v>
                  </c:pt>
                  <c:pt idx="70">
                    <c:v>1.0000000000000009E-2</c:v>
                  </c:pt>
                  <c:pt idx="71">
                    <c:v>0</c:v>
                  </c:pt>
                  <c:pt idx="72">
                    <c:v>0</c:v>
                  </c:pt>
                  <c:pt idx="73">
                    <c:v>0</c:v>
                  </c:pt>
                  <c:pt idx="74">
                    <c:v>3.0000000000000027E-2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2.0000000000000018E-2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1.0000000000000009E-2</c:v>
                  </c:pt>
                  <c:pt idx="85">
                    <c:v>0</c:v>
                  </c:pt>
                  <c:pt idx="86">
                    <c:v>1.0000000000000009E-2</c:v>
                  </c:pt>
                  <c:pt idx="87">
                    <c:v>0</c:v>
                  </c:pt>
                  <c:pt idx="88">
                    <c:v>0</c:v>
                  </c:pt>
                  <c:pt idx="89">
                    <c:v>4.0000000000000036E-2</c:v>
                  </c:pt>
                </c:numCache>
              </c:numRef>
            </c:plus>
            <c:minus>
              <c:numRef>
                <c:f>'Lower Limb Angioplasty'!$AB$2:$AB$91</c:f>
                <c:numCache>
                  <c:formatCode>General</c:formatCode>
                  <c:ptCount val="90"/>
                  <c:pt idx="0">
                    <c:v>0.14000000000000001</c:v>
                  </c:pt>
                  <c:pt idx="1">
                    <c:v>0.10999999999999999</c:v>
                  </c:pt>
                  <c:pt idx="2">
                    <c:v>2.0000000000000018E-2</c:v>
                  </c:pt>
                  <c:pt idx="3">
                    <c:v>2.0000000000000018E-2</c:v>
                  </c:pt>
                  <c:pt idx="4">
                    <c:v>0.19999999999999996</c:v>
                  </c:pt>
                  <c:pt idx="5">
                    <c:v>2.0000000000000018E-2</c:v>
                  </c:pt>
                  <c:pt idx="6">
                    <c:v>2.0000000000000018E-2</c:v>
                  </c:pt>
                  <c:pt idx="7">
                    <c:v>0</c:v>
                  </c:pt>
                  <c:pt idx="8">
                    <c:v>0</c:v>
                  </c:pt>
                  <c:pt idx="9">
                    <c:v>2.0000000000000018E-2</c:v>
                  </c:pt>
                  <c:pt idx="10">
                    <c:v>0.15999999999999992</c:v>
                  </c:pt>
                  <c:pt idx="11">
                    <c:v>0</c:v>
                  </c:pt>
                  <c:pt idx="12">
                    <c:v>8.9999999999999969E-2</c:v>
                  </c:pt>
                  <c:pt idx="13">
                    <c:v>0</c:v>
                  </c:pt>
                  <c:pt idx="14">
                    <c:v>2.9999999999999916E-2</c:v>
                  </c:pt>
                  <c:pt idx="15">
                    <c:v>4.0000000000000036E-2</c:v>
                  </c:pt>
                  <c:pt idx="16">
                    <c:v>0.12</c:v>
                  </c:pt>
                  <c:pt idx="17">
                    <c:v>2.0000000000000018E-2</c:v>
                  </c:pt>
                  <c:pt idx="18">
                    <c:v>0.21999999999999997</c:v>
                  </c:pt>
                  <c:pt idx="19">
                    <c:v>2.0000000000000018E-2</c:v>
                  </c:pt>
                  <c:pt idx="20">
                    <c:v>0</c:v>
                  </c:pt>
                  <c:pt idx="21">
                    <c:v>0</c:v>
                  </c:pt>
                  <c:pt idx="22">
                    <c:v>4.9999999999999933E-2</c:v>
                  </c:pt>
                  <c:pt idx="23">
                    <c:v>2.9999999999999916E-2</c:v>
                  </c:pt>
                  <c:pt idx="24">
                    <c:v>1.0000000000000009E-2</c:v>
                  </c:pt>
                  <c:pt idx="25">
                    <c:v>5.0000000000000044E-2</c:v>
                  </c:pt>
                  <c:pt idx="26">
                    <c:v>2.0000000000000018E-2</c:v>
                  </c:pt>
                  <c:pt idx="27">
                    <c:v>2.0000000000000018E-2</c:v>
                  </c:pt>
                  <c:pt idx="28">
                    <c:v>5.9999999999999942E-2</c:v>
                  </c:pt>
                  <c:pt idx="29">
                    <c:v>0.16000000000000003</c:v>
                  </c:pt>
                  <c:pt idx="30">
                    <c:v>5.0000000000000044E-2</c:v>
                  </c:pt>
                  <c:pt idx="31">
                    <c:v>5.9999999999999942E-2</c:v>
                  </c:pt>
                  <c:pt idx="32">
                    <c:v>2.0000000000000018E-2</c:v>
                  </c:pt>
                  <c:pt idx="33">
                    <c:v>4.0000000000000036E-2</c:v>
                  </c:pt>
                  <c:pt idx="34">
                    <c:v>3.9999999999999925E-2</c:v>
                  </c:pt>
                  <c:pt idx="35">
                    <c:v>1.0000000000000009E-2</c:v>
                  </c:pt>
                  <c:pt idx="36">
                    <c:v>3.0000000000000027E-2</c:v>
                  </c:pt>
                  <c:pt idx="37">
                    <c:v>5.9999999999999942E-2</c:v>
                  </c:pt>
                  <c:pt idx="38">
                    <c:v>1.9999999999999907E-2</c:v>
                  </c:pt>
                  <c:pt idx="39">
                    <c:v>1.0000000000000009E-2</c:v>
                  </c:pt>
                  <c:pt idx="40">
                    <c:v>7.999999999999996E-2</c:v>
                  </c:pt>
                  <c:pt idx="41">
                    <c:v>1.0000000000000009E-2</c:v>
                  </c:pt>
                  <c:pt idx="42">
                    <c:v>3.0000000000000027E-2</c:v>
                  </c:pt>
                  <c:pt idx="43">
                    <c:v>6.0000000000000053E-2</c:v>
                  </c:pt>
                  <c:pt idx="44">
                    <c:v>2.0000000000000018E-2</c:v>
                  </c:pt>
                  <c:pt idx="45">
                    <c:v>0.19999999999999996</c:v>
                  </c:pt>
                  <c:pt idx="46">
                    <c:v>0</c:v>
                  </c:pt>
                  <c:pt idx="47">
                    <c:v>3.0000000000000027E-2</c:v>
                  </c:pt>
                  <c:pt idx="48">
                    <c:v>5.0000000000000044E-2</c:v>
                  </c:pt>
                  <c:pt idx="49">
                    <c:v>3.0000000000000027E-2</c:v>
                  </c:pt>
                  <c:pt idx="50">
                    <c:v>5.0000000000000044E-2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2.9999999999999916E-2</c:v>
                  </c:pt>
                  <c:pt idx="56">
                    <c:v>2.0000000000000018E-2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0.18999999999999995</c:v>
                  </c:pt>
                  <c:pt idx="61">
                    <c:v>2.0000000000000018E-2</c:v>
                  </c:pt>
                  <c:pt idx="62">
                    <c:v>1.0000000000000009E-2</c:v>
                  </c:pt>
                  <c:pt idx="63">
                    <c:v>0</c:v>
                  </c:pt>
                  <c:pt idx="64">
                    <c:v>0</c:v>
                  </c:pt>
                  <c:pt idx="65">
                    <c:v>1.0000000000000009E-2</c:v>
                  </c:pt>
                  <c:pt idx="66">
                    <c:v>0</c:v>
                  </c:pt>
                  <c:pt idx="67">
                    <c:v>0.10999999999999999</c:v>
                  </c:pt>
                  <c:pt idx="68">
                    <c:v>0</c:v>
                  </c:pt>
                  <c:pt idx="69">
                    <c:v>2.0000000000000018E-2</c:v>
                  </c:pt>
                  <c:pt idx="70">
                    <c:v>3.0000000000000027E-2</c:v>
                  </c:pt>
                  <c:pt idx="71">
                    <c:v>0</c:v>
                  </c:pt>
                  <c:pt idx="72">
                    <c:v>2.0000000000000018E-2</c:v>
                  </c:pt>
                  <c:pt idx="73">
                    <c:v>0</c:v>
                  </c:pt>
                  <c:pt idx="74">
                    <c:v>7.999999999999996E-2</c:v>
                  </c:pt>
                  <c:pt idx="75">
                    <c:v>1.0000000000000009E-2</c:v>
                  </c:pt>
                  <c:pt idx="76">
                    <c:v>0</c:v>
                  </c:pt>
                  <c:pt idx="77">
                    <c:v>8.9999999999999969E-2</c:v>
                  </c:pt>
                  <c:pt idx="78">
                    <c:v>0.25</c:v>
                  </c:pt>
                  <c:pt idx="79">
                    <c:v>3.0000000000000027E-2</c:v>
                  </c:pt>
                  <c:pt idx="80">
                    <c:v>0.21999999999999997</c:v>
                  </c:pt>
                  <c:pt idx="81">
                    <c:v>6.9999999999999951E-2</c:v>
                  </c:pt>
                  <c:pt idx="82">
                    <c:v>1.0000000000000009E-2</c:v>
                  </c:pt>
                  <c:pt idx="83">
                    <c:v>1.0000000000000009E-2</c:v>
                  </c:pt>
                  <c:pt idx="84">
                    <c:v>1.0000000000000009E-2</c:v>
                  </c:pt>
                  <c:pt idx="85">
                    <c:v>0</c:v>
                  </c:pt>
                  <c:pt idx="86">
                    <c:v>2.0000000000000018E-2</c:v>
                  </c:pt>
                  <c:pt idx="87">
                    <c:v>0.28000000000000003</c:v>
                  </c:pt>
                  <c:pt idx="88">
                    <c:v>1.0000000000000009E-2</c:v>
                  </c:pt>
                  <c:pt idx="89">
                    <c:v>0.13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'Lower Limb Angioplasty'!$Z$2:$Z$91</c:f>
              <c:numCache>
                <c:formatCode>General</c:formatCode>
                <c:ptCount val="90"/>
                <c:pt idx="0">
                  <c:v>47</c:v>
                </c:pt>
                <c:pt idx="1">
                  <c:v>5</c:v>
                </c:pt>
                <c:pt idx="2">
                  <c:v>18</c:v>
                </c:pt>
                <c:pt idx="3">
                  <c:v>19</c:v>
                </c:pt>
                <c:pt idx="4">
                  <c:v>48</c:v>
                </c:pt>
                <c:pt idx="5">
                  <c:v>36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  <c:pt idx="10">
                  <c:v>13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  <c:pt idx="14">
                  <c:v>14</c:v>
                </c:pt>
                <c:pt idx="15">
                  <c:v>50</c:v>
                </c:pt>
                <c:pt idx="16">
                  <c:v>20</c:v>
                </c:pt>
                <c:pt idx="17">
                  <c:v>38</c:v>
                </c:pt>
                <c:pt idx="18">
                  <c:v>51</c:v>
                </c:pt>
                <c:pt idx="19">
                  <c:v>52</c:v>
                </c:pt>
                <c:pt idx="20">
                  <c:v>0</c:v>
                </c:pt>
                <c:pt idx="21">
                  <c:v>0</c:v>
                </c:pt>
                <c:pt idx="22">
                  <c:v>29</c:v>
                </c:pt>
                <c:pt idx="23">
                  <c:v>8</c:v>
                </c:pt>
                <c:pt idx="24">
                  <c:v>21</c:v>
                </c:pt>
                <c:pt idx="25">
                  <c:v>4</c:v>
                </c:pt>
                <c:pt idx="26">
                  <c:v>22</c:v>
                </c:pt>
                <c:pt idx="27">
                  <c:v>15</c:v>
                </c:pt>
                <c:pt idx="28">
                  <c:v>30</c:v>
                </c:pt>
                <c:pt idx="29">
                  <c:v>53</c:v>
                </c:pt>
                <c:pt idx="30">
                  <c:v>2</c:v>
                </c:pt>
                <c:pt idx="31">
                  <c:v>16</c:v>
                </c:pt>
                <c:pt idx="32">
                  <c:v>23</c:v>
                </c:pt>
                <c:pt idx="33">
                  <c:v>1</c:v>
                </c:pt>
                <c:pt idx="34">
                  <c:v>9</c:v>
                </c:pt>
                <c:pt idx="35">
                  <c:v>54</c:v>
                </c:pt>
                <c:pt idx="36">
                  <c:v>39</c:v>
                </c:pt>
                <c:pt idx="37">
                  <c:v>24</c:v>
                </c:pt>
                <c:pt idx="38">
                  <c:v>10</c:v>
                </c:pt>
                <c:pt idx="39">
                  <c:v>31</c:v>
                </c:pt>
                <c:pt idx="40">
                  <c:v>25</c:v>
                </c:pt>
                <c:pt idx="41">
                  <c:v>55</c:v>
                </c:pt>
                <c:pt idx="42">
                  <c:v>40</c:v>
                </c:pt>
                <c:pt idx="43">
                  <c:v>56</c:v>
                </c:pt>
                <c:pt idx="44">
                  <c:v>32</c:v>
                </c:pt>
                <c:pt idx="45">
                  <c:v>57</c:v>
                </c:pt>
                <c:pt idx="46">
                  <c:v>0</c:v>
                </c:pt>
                <c:pt idx="47">
                  <c:v>58</c:v>
                </c:pt>
                <c:pt idx="48">
                  <c:v>41</c:v>
                </c:pt>
                <c:pt idx="49">
                  <c:v>59</c:v>
                </c:pt>
                <c:pt idx="50">
                  <c:v>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7</c:v>
                </c:pt>
                <c:pt idx="56">
                  <c:v>33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0</c:v>
                </c:pt>
                <c:pt idx="64">
                  <c:v>0</c:v>
                </c:pt>
                <c:pt idx="65">
                  <c:v>63</c:v>
                </c:pt>
                <c:pt idx="66">
                  <c:v>0</c:v>
                </c:pt>
                <c:pt idx="67">
                  <c:v>11</c:v>
                </c:pt>
                <c:pt idx="68">
                  <c:v>0</c:v>
                </c:pt>
                <c:pt idx="69">
                  <c:v>42</c:v>
                </c:pt>
                <c:pt idx="70">
                  <c:v>26</c:v>
                </c:pt>
                <c:pt idx="71">
                  <c:v>0</c:v>
                </c:pt>
                <c:pt idx="72">
                  <c:v>64</c:v>
                </c:pt>
                <c:pt idx="73">
                  <c:v>0</c:v>
                </c:pt>
                <c:pt idx="74">
                  <c:v>17</c:v>
                </c:pt>
                <c:pt idx="75">
                  <c:v>65</c:v>
                </c:pt>
                <c:pt idx="76">
                  <c:v>0</c:v>
                </c:pt>
                <c:pt idx="77">
                  <c:v>66</c:v>
                </c:pt>
                <c:pt idx="78">
                  <c:v>67</c:v>
                </c:pt>
                <c:pt idx="79">
                  <c:v>3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71</c:v>
                </c:pt>
                <c:pt idx="84">
                  <c:v>34</c:v>
                </c:pt>
                <c:pt idx="85">
                  <c:v>0</c:v>
                </c:pt>
                <c:pt idx="86">
                  <c:v>43</c:v>
                </c:pt>
                <c:pt idx="87">
                  <c:v>72</c:v>
                </c:pt>
                <c:pt idx="88">
                  <c:v>44</c:v>
                </c:pt>
                <c:pt idx="89">
                  <c:v>12</c:v>
                </c:pt>
              </c:numCache>
            </c:numRef>
          </c:xVal>
          <c:yVal>
            <c:numRef>
              <c:f>'Lower Limb Angioplasty'!$AA$2:$AA$91</c:f>
              <c:numCache>
                <c:formatCode>0%</c:formatCode>
                <c:ptCount val="90"/>
                <c:pt idx="0">
                  <c:v>1</c:v>
                </c:pt>
                <c:pt idx="1">
                  <c:v>0.91</c:v>
                </c:pt>
                <c:pt idx="2">
                  <c:v>0.97</c:v>
                </c:pt>
                <c:pt idx="3">
                  <c:v>0.97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  <c:pt idx="7">
                  <c:v>0</c:v>
                </c:pt>
                <c:pt idx="8">
                  <c:v>0</c:v>
                </c:pt>
                <c:pt idx="9">
                  <c:v>0.98</c:v>
                </c:pt>
                <c:pt idx="10">
                  <c:v>0.96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0.96</c:v>
                </c:pt>
                <c:pt idx="15">
                  <c:v>1</c:v>
                </c:pt>
                <c:pt idx="16">
                  <c:v>0.97</c:v>
                </c:pt>
                <c:pt idx="17">
                  <c:v>0.99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0.98</c:v>
                </c:pt>
                <c:pt idx="23">
                  <c:v>0.95</c:v>
                </c:pt>
                <c:pt idx="24">
                  <c:v>0.97</c:v>
                </c:pt>
                <c:pt idx="25">
                  <c:v>0.88</c:v>
                </c:pt>
                <c:pt idx="26">
                  <c:v>0.97</c:v>
                </c:pt>
                <c:pt idx="27">
                  <c:v>0.96</c:v>
                </c:pt>
                <c:pt idx="28">
                  <c:v>0.98</c:v>
                </c:pt>
                <c:pt idx="29">
                  <c:v>1</c:v>
                </c:pt>
                <c:pt idx="30">
                  <c:v>0.87</c:v>
                </c:pt>
                <c:pt idx="31">
                  <c:v>0.96</c:v>
                </c:pt>
                <c:pt idx="32">
                  <c:v>0.97</c:v>
                </c:pt>
                <c:pt idx="33">
                  <c:v>0.86</c:v>
                </c:pt>
                <c:pt idx="34">
                  <c:v>0.95</c:v>
                </c:pt>
                <c:pt idx="35">
                  <c:v>1</c:v>
                </c:pt>
                <c:pt idx="36">
                  <c:v>0.99</c:v>
                </c:pt>
                <c:pt idx="37">
                  <c:v>0.97</c:v>
                </c:pt>
                <c:pt idx="38">
                  <c:v>0.95</c:v>
                </c:pt>
                <c:pt idx="39">
                  <c:v>0.98</c:v>
                </c:pt>
                <c:pt idx="40">
                  <c:v>0.97</c:v>
                </c:pt>
                <c:pt idx="41">
                  <c:v>1</c:v>
                </c:pt>
                <c:pt idx="42">
                  <c:v>0.99</c:v>
                </c:pt>
                <c:pt idx="43">
                  <c:v>1</c:v>
                </c:pt>
                <c:pt idx="44">
                  <c:v>0.98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0.99</c:v>
                </c:pt>
                <c:pt idx="49">
                  <c:v>1</c:v>
                </c:pt>
                <c:pt idx="50">
                  <c:v>0.92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0.94</c:v>
                </c:pt>
                <c:pt idx="56">
                  <c:v>0.98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0.95</c:v>
                </c:pt>
                <c:pt idx="68">
                  <c:v>0</c:v>
                </c:pt>
                <c:pt idx="69">
                  <c:v>0.99</c:v>
                </c:pt>
                <c:pt idx="70">
                  <c:v>0.97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0.96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0.87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0.98</c:v>
                </c:pt>
                <c:pt idx="85">
                  <c:v>0</c:v>
                </c:pt>
                <c:pt idx="86">
                  <c:v>0.99</c:v>
                </c:pt>
                <c:pt idx="87">
                  <c:v>1</c:v>
                </c:pt>
                <c:pt idx="88">
                  <c:v>0.99</c:v>
                </c:pt>
                <c:pt idx="89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2-4902-A5A9-FE95435675CF}"/>
            </c:ext>
          </c:extLst>
        </c:ser>
        <c:ser>
          <c:idx val="1"/>
          <c:order val="1"/>
          <c:tx>
            <c:strRef>
              <c:f>'Angioplasty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'Angioplasty Summary'!$AC$4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plus>
            <c:minus>
              <c:numRef>
                <c:f>'Angioplasty Summary'!$AB$4</c:f>
                <c:numCache>
                  <c:formatCode>General</c:formatCode>
                  <c:ptCount val="1"/>
                  <c:pt idx="0">
                    <c:v>0.14000000000000001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'Angioplasty Summary'!$AD$4</c:f>
              <c:numCache>
                <c:formatCode>General</c:formatCode>
                <c:ptCount val="1"/>
                <c:pt idx="0">
                  <c:v>47</c:v>
                </c:pt>
              </c:numCache>
            </c:numRef>
          </c:xVal>
          <c:yVal>
            <c:numRef>
              <c:f>'Angioplasty Summary'!$AA$4</c:f>
              <c:numCache>
                <c:formatCode>0%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E2-4902-A5A9-FE954356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76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'Amputation Summary'!$Q$3</c:f>
          <c:strCache>
            <c:ptCount val="1"/>
            <c:pt idx="0">
              <c:v>AKA:BKA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'Amputation Summary'!$Q$3</c:f>
              <c:strCache>
                <c:ptCount val="1"/>
                <c:pt idx="0">
                  <c:v>AKA:BKA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'Major Lower Limb Amputation'!$AC$8:$AC$82</c:f>
                <c:numCache>
                  <c:formatCode>General</c:formatCode>
                  <c:ptCount val="75"/>
                  <c:pt idx="0">
                    <c:v>0.31995058059692383</c:v>
                  </c:pt>
                  <c:pt idx="1">
                    <c:v>0.38791942596435547</c:v>
                  </c:pt>
                  <c:pt idx="2">
                    <c:v>0.80958437919616699</c:v>
                  </c:pt>
                  <c:pt idx="3">
                    <c:v>0.26939022541046143</c:v>
                  </c:pt>
                  <c:pt idx="4">
                    <c:v>0.5</c:v>
                  </c:pt>
                  <c:pt idx="5">
                    <c:v>0.31085872650146484</c:v>
                  </c:pt>
                  <c:pt idx="6">
                    <c:v>0.14272034168243408</c:v>
                  </c:pt>
                  <c:pt idx="7">
                    <c:v>0.50327175855636597</c:v>
                  </c:pt>
                  <c:pt idx="8">
                    <c:v>1.4697308540344238</c:v>
                  </c:pt>
                  <c:pt idx="9">
                    <c:v>0.31931281089782715</c:v>
                  </c:pt>
                  <c:pt idx="10">
                    <c:v>2.0600061416625977</c:v>
                  </c:pt>
                  <c:pt idx="11">
                    <c:v>0.25233644247055054</c:v>
                  </c:pt>
                  <c:pt idx="12">
                    <c:v>0.33455085754394531</c:v>
                  </c:pt>
                  <c:pt idx="13">
                    <c:v>0.54529571533203125</c:v>
                  </c:pt>
                  <c:pt idx="14">
                    <c:v>0.40886986255645752</c:v>
                  </c:pt>
                  <c:pt idx="15">
                    <c:v>0.33751386404037476</c:v>
                  </c:pt>
                  <c:pt idx="16">
                    <c:v>0.41829735040664673</c:v>
                  </c:pt>
                  <c:pt idx="17">
                    <c:v>0.24958932399749756</c:v>
                  </c:pt>
                  <c:pt idx="18">
                    <c:v>0.42382568120956421</c:v>
                  </c:pt>
                  <c:pt idx="19">
                    <c:v>0.51383137702941895</c:v>
                  </c:pt>
                  <c:pt idx="20">
                    <c:v>0.55047178268432617</c:v>
                  </c:pt>
                  <c:pt idx="21">
                    <c:v>0.16892796754837036</c:v>
                  </c:pt>
                  <c:pt idx="22">
                    <c:v>0.32973277568817139</c:v>
                  </c:pt>
                  <c:pt idx="23">
                    <c:v>0.27036905288696289</c:v>
                  </c:pt>
                  <c:pt idx="24">
                    <c:v>0.14289510250091553</c:v>
                  </c:pt>
                  <c:pt idx="25">
                    <c:v>0.38243949413299561</c:v>
                  </c:pt>
                  <c:pt idx="26">
                    <c:v>1.453921914100647</c:v>
                  </c:pt>
                  <c:pt idx="27">
                    <c:v>0.4131845235824585</c:v>
                  </c:pt>
                  <c:pt idx="28">
                    <c:v>0.35346829891204834</c:v>
                  </c:pt>
                  <c:pt idx="29">
                    <c:v>0.47517240047454834</c:v>
                  </c:pt>
                  <c:pt idx="30">
                    <c:v>0.32979220151901245</c:v>
                  </c:pt>
                  <c:pt idx="31">
                    <c:v>0.57934427261352539</c:v>
                  </c:pt>
                  <c:pt idx="32">
                    <c:v>1.2856514453887939</c:v>
                  </c:pt>
                  <c:pt idx="33">
                    <c:v>0.38439673185348511</c:v>
                  </c:pt>
                  <c:pt idx="34">
                    <c:v>0.44401395320892334</c:v>
                  </c:pt>
                  <c:pt idx="35">
                    <c:v>2.6011133193969727</c:v>
                  </c:pt>
                  <c:pt idx="36">
                    <c:v>1.4813543558120728</c:v>
                  </c:pt>
                  <c:pt idx="37">
                    <c:v>0.3846580982208252</c:v>
                  </c:pt>
                  <c:pt idx="38">
                    <c:v>0.17406253516674042</c:v>
                  </c:pt>
                  <c:pt idx="39">
                    <c:v>0.25816583633422852</c:v>
                  </c:pt>
                  <c:pt idx="40">
                    <c:v>0.90909022092819214</c:v>
                  </c:pt>
                  <c:pt idx="41">
                    <c:v>0.29977691173553467</c:v>
                  </c:pt>
                  <c:pt idx="42">
                    <c:v>0.23789519071578979</c:v>
                  </c:pt>
                  <c:pt idx="43">
                    <c:v>0.37789535522460938</c:v>
                  </c:pt>
                  <c:pt idx="44">
                    <c:v>0.27411717176437378</c:v>
                  </c:pt>
                  <c:pt idx="45">
                    <c:v>0</c:v>
                  </c:pt>
                  <c:pt idx="46">
                    <c:v>0.27885186672210693</c:v>
                  </c:pt>
                  <c:pt idx="47">
                    <c:v>0.38427793979644775</c:v>
                  </c:pt>
                  <c:pt idx="48">
                    <c:v>0.35432744026184082</c:v>
                  </c:pt>
                  <c:pt idx="49">
                    <c:v>0.69687169790267944</c:v>
                  </c:pt>
                  <c:pt idx="50">
                    <c:v>0.28477674722671509</c:v>
                  </c:pt>
                  <c:pt idx="51">
                    <c:v>0</c:v>
                  </c:pt>
                  <c:pt idx="52">
                    <c:v>0.24028307199478149</c:v>
                  </c:pt>
                  <c:pt idx="53">
                    <c:v>0.25553649663925171</c:v>
                  </c:pt>
                  <c:pt idx="54">
                    <c:v>0.44792616367340088</c:v>
                  </c:pt>
                  <c:pt idx="55">
                    <c:v>0.44705039262771606</c:v>
                  </c:pt>
                  <c:pt idx="56">
                    <c:v>0.40645009279251099</c:v>
                  </c:pt>
                  <c:pt idx="57">
                    <c:v>1.107349157333374</c:v>
                  </c:pt>
                  <c:pt idx="58">
                    <c:v>0.35789710283279419</c:v>
                  </c:pt>
                  <c:pt idx="59">
                    <c:v>0.9697188138961792</c:v>
                  </c:pt>
                  <c:pt idx="60">
                    <c:v>0.42569267749786377</c:v>
                  </c:pt>
                  <c:pt idx="61">
                    <c:v>0.55781769752502441</c:v>
                  </c:pt>
                  <c:pt idx="62">
                    <c:v>0.30541956424713135</c:v>
                  </c:pt>
                  <c:pt idx="63">
                    <c:v>0.88896742463111877</c:v>
                  </c:pt>
                  <c:pt idx="64">
                    <c:v>0.72266089916229248</c:v>
                  </c:pt>
                  <c:pt idx="65">
                    <c:v>0.22565150260925293</c:v>
                  </c:pt>
                  <c:pt idx="66">
                    <c:v>0.16329783201217651</c:v>
                  </c:pt>
                  <c:pt idx="67">
                    <c:v>0.16525727510452271</c:v>
                  </c:pt>
                  <c:pt idx="68">
                    <c:v>0.358448326587677</c:v>
                  </c:pt>
                  <c:pt idx="69">
                    <c:v>0.42997419834136963</c:v>
                  </c:pt>
                  <c:pt idx="70">
                    <c:v>0.49189841747283936</c:v>
                  </c:pt>
                  <c:pt idx="71">
                    <c:v>0.54372286796569824</c:v>
                  </c:pt>
                  <c:pt idx="72">
                    <c:v>3.3300000429153442</c:v>
                  </c:pt>
                  <c:pt idx="73">
                    <c:v>0.39575064182281494</c:v>
                  </c:pt>
                  <c:pt idx="74">
                    <c:v>0.46616727113723755</c:v>
                  </c:pt>
                </c:numCache>
              </c:numRef>
            </c:plus>
            <c:minus>
              <c:numRef>
                <c:f>'Major Lower Limb Amputation'!$AB$8:$AB$82</c:f>
                <c:numCache>
                  <c:formatCode>General</c:formatCode>
                  <c:ptCount val="75"/>
                  <c:pt idx="0">
                    <c:v>0.55311572551727295</c:v>
                  </c:pt>
                  <c:pt idx="1">
                    <c:v>0.39847481250762939</c:v>
                  </c:pt>
                  <c:pt idx="2">
                    <c:v>1.2325431108474731</c:v>
                  </c:pt>
                  <c:pt idx="3">
                    <c:v>0.64544075727462769</c:v>
                  </c:pt>
                  <c:pt idx="4">
                    <c:v>0.97226673364639282</c:v>
                  </c:pt>
                  <c:pt idx="5">
                    <c:v>0.54854530096054077</c:v>
                  </c:pt>
                  <c:pt idx="6">
                    <c:v>0.47507891058921814</c:v>
                  </c:pt>
                  <c:pt idx="7">
                    <c:v>0.39078089594841003</c:v>
                  </c:pt>
                  <c:pt idx="8">
                    <c:v>1.7570748329162598</c:v>
                  </c:pt>
                  <c:pt idx="9">
                    <c:v>0.88103818893432617</c:v>
                  </c:pt>
                  <c:pt idx="10">
                    <c:v>1.0450226068496704</c:v>
                  </c:pt>
                  <c:pt idx="11">
                    <c:v>0.60817050933837891</c:v>
                  </c:pt>
                  <c:pt idx="12">
                    <c:v>0.50960826873779297</c:v>
                  </c:pt>
                  <c:pt idx="13">
                    <c:v>1.0260032415390015</c:v>
                  </c:pt>
                  <c:pt idx="14">
                    <c:v>0.97953349351882935</c:v>
                  </c:pt>
                  <c:pt idx="15">
                    <c:v>0.40145635604858398</c:v>
                  </c:pt>
                  <c:pt idx="16">
                    <c:v>0.52532333135604858</c:v>
                  </c:pt>
                  <c:pt idx="17">
                    <c:v>7.5420871376991272E-2</c:v>
                  </c:pt>
                  <c:pt idx="18">
                    <c:v>0.65692466497421265</c:v>
                  </c:pt>
                  <c:pt idx="19">
                    <c:v>0.95936113595962524</c:v>
                  </c:pt>
                  <c:pt idx="20">
                    <c:v>0.74201804399490356</c:v>
                  </c:pt>
                  <c:pt idx="21">
                    <c:v>0.32717862725257874</c:v>
                  </c:pt>
                  <c:pt idx="22">
                    <c:v>0.61242687702178955</c:v>
                  </c:pt>
                  <c:pt idx="23">
                    <c:v>0.54198020696640015</c:v>
                  </c:pt>
                  <c:pt idx="24">
                    <c:v>0.34154438972473145</c:v>
                  </c:pt>
                  <c:pt idx="25">
                    <c:v>0.52338206768035889</c:v>
                  </c:pt>
                  <c:pt idx="26">
                    <c:v>0.52864128351211548</c:v>
                  </c:pt>
                  <c:pt idx="27">
                    <c:v>0.86464965343475342</c:v>
                  </c:pt>
                  <c:pt idx="28">
                    <c:v>0.93644368648529053</c:v>
                  </c:pt>
                  <c:pt idx="29">
                    <c:v>1.1579951047897339</c:v>
                  </c:pt>
                  <c:pt idx="30">
                    <c:v>0.34383121132850647</c:v>
                  </c:pt>
                  <c:pt idx="31">
                    <c:v>0.41505464911460876</c:v>
                  </c:pt>
                  <c:pt idx="32">
                    <c:v>0.76077228784561157</c:v>
                  </c:pt>
                  <c:pt idx="33">
                    <c:v>0.33206382393836975</c:v>
                  </c:pt>
                  <c:pt idx="34">
                    <c:v>1.4630651473999023</c:v>
                  </c:pt>
                  <c:pt idx="35">
                    <c:v>0.1678546667098999</c:v>
                  </c:pt>
                  <c:pt idx="36">
                    <c:v>0.62919855117797852</c:v>
                  </c:pt>
                  <c:pt idx="37">
                    <c:v>0.27450725436210632</c:v>
                  </c:pt>
                  <c:pt idx="38">
                    <c:v>0.13910941779613495</c:v>
                  </c:pt>
                  <c:pt idx="39">
                    <c:v>0.76610177755355835</c:v>
                  </c:pt>
                  <c:pt idx="40">
                    <c:v>0.37446823716163635</c:v>
                  </c:pt>
                  <c:pt idx="41">
                    <c:v>0.66575503349304199</c:v>
                  </c:pt>
                  <c:pt idx="42">
                    <c:v>0.60716313123703003</c:v>
                  </c:pt>
                  <c:pt idx="43">
                    <c:v>0.71650218963623047</c:v>
                  </c:pt>
                  <c:pt idx="44">
                    <c:v>0.38489916920661926</c:v>
                  </c:pt>
                  <c:pt idx="45">
                    <c:v>0</c:v>
                  </c:pt>
                  <c:pt idx="46">
                    <c:v>0.7819514274597168</c:v>
                  </c:pt>
                  <c:pt idx="47">
                    <c:v>0.69476139545440674</c:v>
                  </c:pt>
                  <c:pt idx="48">
                    <c:v>0.8038179874420166</c:v>
                  </c:pt>
                  <c:pt idx="49">
                    <c:v>0.33583378791809082</c:v>
                  </c:pt>
                  <c:pt idx="50">
                    <c:v>0.35355022549629211</c:v>
                  </c:pt>
                  <c:pt idx="51">
                    <c:v>0</c:v>
                  </c:pt>
                  <c:pt idx="52">
                    <c:v>0.39186134934425354</c:v>
                  </c:pt>
                  <c:pt idx="53">
                    <c:v>0.37552616000175476</c:v>
                  </c:pt>
                  <c:pt idx="54">
                    <c:v>0.87382560968399048</c:v>
                  </c:pt>
                  <c:pt idx="55">
                    <c:v>0.51321101188659668</c:v>
                  </c:pt>
                  <c:pt idx="56">
                    <c:v>0.63809412717819214</c:v>
                  </c:pt>
                  <c:pt idx="57">
                    <c:v>1.7325742244720459</c:v>
                  </c:pt>
                  <c:pt idx="58">
                    <c:v>0.28317117691040039</c:v>
                  </c:pt>
                  <c:pt idx="59">
                    <c:v>1.2402626276016235</c:v>
                  </c:pt>
                  <c:pt idx="60">
                    <c:v>1.2924597263336182</c:v>
                  </c:pt>
                  <c:pt idx="61">
                    <c:v>0.53859400749206543</c:v>
                  </c:pt>
                  <c:pt idx="62">
                    <c:v>0.78495895862579346</c:v>
                  </c:pt>
                  <c:pt idx="63">
                    <c:v>8.9337922632694244E-2</c:v>
                  </c:pt>
                  <c:pt idx="64">
                    <c:v>1.3672267198562622</c:v>
                  </c:pt>
                  <c:pt idx="65">
                    <c:v>0.70998871326446533</c:v>
                  </c:pt>
                  <c:pt idx="66">
                    <c:v>0.47163766622543335</c:v>
                  </c:pt>
                  <c:pt idx="67">
                    <c:v>0.53743922710418701</c:v>
                  </c:pt>
                  <c:pt idx="68">
                    <c:v>0.43648278713226318</c:v>
                  </c:pt>
                  <c:pt idx="69">
                    <c:v>0.80930376052856445</c:v>
                  </c:pt>
                  <c:pt idx="70">
                    <c:v>0.75105959177017212</c:v>
                  </c:pt>
                  <c:pt idx="71">
                    <c:v>0.72723478078842163</c:v>
                  </c:pt>
                  <c:pt idx="72">
                    <c:v>0.3990941047668457</c:v>
                  </c:pt>
                  <c:pt idx="73">
                    <c:v>0.62512022256851196</c:v>
                  </c:pt>
                  <c:pt idx="74">
                    <c:v>0.60174369812011719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'Major Lower Limb Amputation'!$Z$8:$Z$82</c:f>
              <c:numCache>
                <c:formatCode>General</c:formatCode>
                <c:ptCount val="75"/>
                <c:pt idx="0">
                  <c:v>29</c:v>
                </c:pt>
                <c:pt idx="1">
                  <c:v>19</c:v>
                </c:pt>
                <c:pt idx="2">
                  <c:v>68</c:v>
                </c:pt>
                <c:pt idx="3">
                  <c:v>36</c:v>
                </c:pt>
                <c:pt idx="4">
                  <c:v>75</c:v>
                </c:pt>
                <c:pt idx="5">
                  <c:v>28</c:v>
                </c:pt>
                <c:pt idx="6">
                  <c:v>16</c:v>
                </c:pt>
                <c:pt idx="7">
                  <c:v>22</c:v>
                </c:pt>
                <c:pt idx="8">
                  <c:v>74</c:v>
                </c:pt>
                <c:pt idx="9">
                  <c:v>55</c:v>
                </c:pt>
                <c:pt idx="10">
                  <c:v>72</c:v>
                </c:pt>
                <c:pt idx="11">
                  <c:v>32</c:v>
                </c:pt>
                <c:pt idx="12">
                  <c:v>24</c:v>
                </c:pt>
                <c:pt idx="13">
                  <c:v>63</c:v>
                </c:pt>
                <c:pt idx="14">
                  <c:v>60</c:v>
                </c:pt>
                <c:pt idx="15">
                  <c:v>18</c:v>
                </c:pt>
                <c:pt idx="16">
                  <c:v>33</c:v>
                </c:pt>
                <c:pt idx="17">
                  <c:v>3</c:v>
                </c:pt>
                <c:pt idx="18">
                  <c:v>44</c:v>
                </c:pt>
                <c:pt idx="19">
                  <c:v>61</c:v>
                </c:pt>
                <c:pt idx="20">
                  <c:v>53</c:v>
                </c:pt>
                <c:pt idx="21">
                  <c:v>6</c:v>
                </c:pt>
                <c:pt idx="22">
                  <c:v>37</c:v>
                </c:pt>
                <c:pt idx="23">
                  <c:v>25</c:v>
                </c:pt>
                <c:pt idx="24">
                  <c:v>7</c:v>
                </c:pt>
                <c:pt idx="25">
                  <c:v>30</c:v>
                </c:pt>
                <c:pt idx="26">
                  <c:v>57</c:v>
                </c:pt>
                <c:pt idx="27">
                  <c:v>56</c:v>
                </c:pt>
                <c:pt idx="28">
                  <c:v>59</c:v>
                </c:pt>
                <c:pt idx="29">
                  <c:v>65</c:v>
                </c:pt>
                <c:pt idx="30">
                  <c:v>11</c:v>
                </c:pt>
                <c:pt idx="31">
                  <c:v>26</c:v>
                </c:pt>
                <c:pt idx="32">
                  <c:v>64</c:v>
                </c:pt>
                <c:pt idx="33">
                  <c:v>13</c:v>
                </c:pt>
                <c:pt idx="34">
                  <c:v>69</c:v>
                </c:pt>
                <c:pt idx="35">
                  <c:v>27</c:v>
                </c:pt>
                <c:pt idx="36">
                  <c:v>62</c:v>
                </c:pt>
                <c:pt idx="37">
                  <c:v>8</c:v>
                </c:pt>
                <c:pt idx="38">
                  <c:v>4</c:v>
                </c:pt>
                <c:pt idx="39">
                  <c:v>45</c:v>
                </c:pt>
                <c:pt idx="40">
                  <c:v>34</c:v>
                </c:pt>
                <c:pt idx="41">
                  <c:v>39</c:v>
                </c:pt>
                <c:pt idx="42">
                  <c:v>31</c:v>
                </c:pt>
                <c:pt idx="43">
                  <c:v>47</c:v>
                </c:pt>
                <c:pt idx="44">
                  <c:v>15</c:v>
                </c:pt>
                <c:pt idx="45">
                  <c:v>1</c:v>
                </c:pt>
                <c:pt idx="46">
                  <c:v>48</c:v>
                </c:pt>
                <c:pt idx="47">
                  <c:v>46</c:v>
                </c:pt>
                <c:pt idx="48">
                  <c:v>50</c:v>
                </c:pt>
                <c:pt idx="49">
                  <c:v>23</c:v>
                </c:pt>
                <c:pt idx="50">
                  <c:v>10</c:v>
                </c:pt>
                <c:pt idx="51">
                  <c:v>2</c:v>
                </c:pt>
                <c:pt idx="52">
                  <c:v>14</c:v>
                </c:pt>
                <c:pt idx="53">
                  <c:v>12</c:v>
                </c:pt>
                <c:pt idx="54">
                  <c:v>58</c:v>
                </c:pt>
                <c:pt idx="55">
                  <c:v>35</c:v>
                </c:pt>
                <c:pt idx="56">
                  <c:v>43</c:v>
                </c:pt>
                <c:pt idx="57">
                  <c:v>73</c:v>
                </c:pt>
                <c:pt idx="58">
                  <c:v>9</c:v>
                </c:pt>
                <c:pt idx="59">
                  <c:v>70</c:v>
                </c:pt>
                <c:pt idx="60">
                  <c:v>66</c:v>
                </c:pt>
                <c:pt idx="61">
                  <c:v>38</c:v>
                </c:pt>
                <c:pt idx="62">
                  <c:v>49</c:v>
                </c:pt>
                <c:pt idx="63">
                  <c:v>5</c:v>
                </c:pt>
                <c:pt idx="64">
                  <c:v>71</c:v>
                </c:pt>
                <c:pt idx="65">
                  <c:v>40</c:v>
                </c:pt>
                <c:pt idx="66">
                  <c:v>17</c:v>
                </c:pt>
                <c:pt idx="67">
                  <c:v>20</c:v>
                </c:pt>
                <c:pt idx="68">
                  <c:v>21</c:v>
                </c:pt>
                <c:pt idx="69">
                  <c:v>54</c:v>
                </c:pt>
                <c:pt idx="70">
                  <c:v>51</c:v>
                </c:pt>
                <c:pt idx="71">
                  <c:v>52</c:v>
                </c:pt>
                <c:pt idx="72">
                  <c:v>67</c:v>
                </c:pt>
                <c:pt idx="73">
                  <c:v>41</c:v>
                </c:pt>
                <c:pt idx="74">
                  <c:v>42</c:v>
                </c:pt>
              </c:numCache>
            </c:numRef>
          </c:xVal>
          <c:yVal>
            <c:numRef>
              <c:f>'Major Lower Limb Amputation'!$AA$8:$AA$82</c:f>
              <c:numCache>
                <c:formatCode>General</c:formatCode>
                <c:ptCount val="75"/>
                <c:pt idx="0">
                  <c:v>0.77999997138977051</c:v>
                </c:pt>
                <c:pt idx="1">
                  <c:v>0.63999998569488525</c:v>
                </c:pt>
                <c:pt idx="2">
                  <c:v>1.7899999618530273</c:v>
                </c:pt>
                <c:pt idx="3">
                  <c:v>0.85000002384185791</c:v>
                </c:pt>
                <c:pt idx="4">
                  <c:v>4.5</c:v>
                </c:pt>
                <c:pt idx="5">
                  <c:v>0.76999998092651367</c:v>
                </c:pt>
                <c:pt idx="6">
                  <c:v>0.5899999737739563</c:v>
                </c:pt>
                <c:pt idx="7">
                  <c:v>0.68000000715255737</c:v>
                </c:pt>
                <c:pt idx="8">
                  <c:v>2.7100000381469727</c:v>
                </c:pt>
                <c:pt idx="9">
                  <c:v>1.1299999952316284</c:v>
                </c:pt>
                <c:pt idx="10">
                  <c:v>2.0799999237060547</c:v>
                </c:pt>
                <c:pt idx="11">
                  <c:v>0.80000001192092896</c:v>
                </c:pt>
                <c:pt idx="12">
                  <c:v>0.74000000953674316</c:v>
                </c:pt>
                <c:pt idx="13">
                  <c:v>1.4199999570846558</c:v>
                </c:pt>
                <c:pt idx="14">
                  <c:v>1.2899999618530273</c:v>
                </c:pt>
                <c:pt idx="15">
                  <c:v>0.62000000476837158</c:v>
                </c:pt>
                <c:pt idx="16">
                  <c:v>0.80000001192092896</c:v>
                </c:pt>
                <c:pt idx="17">
                  <c:v>0.18000000715255737</c:v>
                </c:pt>
                <c:pt idx="18">
                  <c:v>0.94999998807907104</c:v>
                </c:pt>
                <c:pt idx="19">
                  <c:v>1.3300000429153442</c:v>
                </c:pt>
                <c:pt idx="20">
                  <c:v>1.1100000143051147</c:v>
                </c:pt>
                <c:pt idx="21">
                  <c:v>0.44999998807907104</c:v>
                </c:pt>
                <c:pt idx="22">
                  <c:v>0.85000002384185791</c:v>
                </c:pt>
                <c:pt idx="23">
                  <c:v>0.74000000953674316</c:v>
                </c:pt>
                <c:pt idx="24">
                  <c:v>0.44999998807907104</c:v>
                </c:pt>
                <c:pt idx="25">
                  <c:v>0.77999997138977051</c:v>
                </c:pt>
                <c:pt idx="26">
                  <c:v>1.1799999475479126</c:v>
                </c:pt>
                <c:pt idx="27">
                  <c:v>1.1699999570846558</c:v>
                </c:pt>
                <c:pt idx="28">
                  <c:v>1.2100000381469727</c:v>
                </c:pt>
                <c:pt idx="29">
                  <c:v>1.5199999809265137</c:v>
                </c:pt>
                <c:pt idx="30">
                  <c:v>0.55000001192092896</c:v>
                </c:pt>
                <c:pt idx="31">
                  <c:v>0.74000000953674316</c:v>
                </c:pt>
                <c:pt idx="32">
                  <c:v>1.440000057220459</c:v>
                </c:pt>
                <c:pt idx="33">
                  <c:v>0.56000000238418579</c:v>
                </c:pt>
                <c:pt idx="34">
                  <c:v>1.8200000524520874</c:v>
                </c:pt>
                <c:pt idx="35">
                  <c:v>0.75</c:v>
                </c:pt>
                <c:pt idx="36">
                  <c:v>1.3300000429153442</c:v>
                </c:pt>
                <c:pt idx="37">
                  <c:v>0.49000000953674316</c:v>
                </c:pt>
                <c:pt idx="38">
                  <c:v>0.23999999463558197</c:v>
                </c:pt>
                <c:pt idx="39">
                  <c:v>0.97000002861022949</c:v>
                </c:pt>
                <c:pt idx="40">
                  <c:v>0.80000001192092896</c:v>
                </c:pt>
                <c:pt idx="41">
                  <c:v>0.88999998569488525</c:v>
                </c:pt>
                <c:pt idx="42">
                  <c:v>0.79000002145767212</c:v>
                </c:pt>
                <c:pt idx="43">
                  <c:v>0.99000000953674316</c:v>
                </c:pt>
                <c:pt idx="44">
                  <c:v>0.56999999284744263</c:v>
                </c:pt>
                <c:pt idx="45">
                  <c:v>0</c:v>
                </c:pt>
                <c:pt idx="46">
                  <c:v>1</c:v>
                </c:pt>
                <c:pt idx="47">
                  <c:v>0.97000002861022949</c:v>
                </c:pt>
                <c:pt idx="48">
                  <c:v>1.0700000524520874</c:v>
                </c:pt>
                <c:pt idx="49">
                  <c:v>0.68000000715255737</c:v>
                </c:pt>
                <c:pt idx="50">
                  <c:v>0.54000002145767212</c:v>
                </c:pt>
                <c:pt idx="51">
                  <c:v>0</c:v>
                </c:pt>
                <c:pt idx="52">
                  <c:v>0.56000000238418579</c:v>
                </c:pt>
                <c:pt idx="53">
                  <c:v>0.55000001192092896</c:v>
                </c:pt>
                <c:pt idx="54">
                  <c:v>1.2000000476837158</c:v>
                </c:pt>
                <c:pt idx="55">
                  <c:v>0.80000001192092896</c:v>
                </c:pt>
                <c:pt idx="56">
                  <c:v>0.92000001668930054</c:v>
                </c:pt>
                <c:pt idx="57">
                  <c:v>2.5</c:v>
                </c:pt>
                <c:pt idx="58">
                  <c:v>0.49000000953674316</c:v>
                </c:pt>
                <c:pt idx="59">
                  <c:v>1.8799999952316284</c:v>
                </c:pt>
                <c:pt idx="60">
                  <c:v>1.6299999952316284</c:v>
                </c:pt>
                <c:pt idx="61">
                  <c:v>0.87999999523162842</c:v>
                </c:pt>
                <c:pt idx="62">
                  <c:v>1.0199999809265137</c:v>
                </c:pt>
                <c:pt idx="63">
                  <c:v>0.33000001311302185</c:v>
                </c:pt>
                <c:pt idx="64">
                  <c:v>1.8899999856948853</c:v>
                </c:pt>
                <c:pt idx="65">
                  <c:v>0.88999998569488525</c:v>
                </c:pt>
                <c:pt idx="66">
                  <c:v>0.60000002384185791</c:v>
                </c:pt>
                <c:pt idx="67">
                  <c:v>0.67000001668930054</c:v>
                </c:pt>
                <c:pt idx="68">
                  <c:v>0.67000001668930054</c:v>
                </c:pt>
                <c:pt idx="69">
                  <c:v>1.1200000047683716</c:v>
                </c:pt>
                <c:pt idx="70">
                  <c:v>1.0900000333786011</c:v>
                </c:pt>
                <c:pt idx="71">
                  <c:v>1.0900000333786011</c:v>
                </c:pt>
                <c:pt idx="72">
                  <c:v>1.6699999570846558</c:v>
                </c:pt>
                <c:pt idx="73">
                  <c:v>0.89999997615814209</c:v>
                </c:pt>
                <c:pt idx="74">
                  <c:v>0.9100000262260437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7-4BEF-A997-1ACCCCC0F591}"/>
            </c:ext>
          </c:extLst>
        </c:ser>
        <c:ser>
          <c:idx val="1"/>
          <c:order val="1"/>
          <c:tx>
            <c:strRef>
              <c:f>'Amputation Summary'!$B$1</c:f>
              <c:strCache>
                <c:ptCount val="1"/>
                <c:pt idx="0">
                  <c:v>Aneurin Bevan University Health Board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'Amputation Summary'!$AC$2</c:f>
                <c:numCache>
                  <c:formatCode>General</c:formatCode>
                  <c:ptCount val="1"/>
                  <c:pt idx="0">
                    <c:v>0.31995058059692383</c:v>
                  </c:pt>
                </c:numCache>
              </c:numRef>
            </c:plus>
            <c:minus>
              <c:numRef>
                <c:f>'Amputation Summary'!$AB$2</c:f>
                <c:numCache>
                  <c:formatCode>General</c:formatCode>
                  <c:ptCount val="1"/>
                  <c:pt idx="0">
                    <c:v>0.55311572551727295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'Amputation Summary'!$AD$2</c:f>
              <c:numCache>
                <c:formatCode>General</c:formatCode>
                <c:ptCount val="1"/>
                <c:pt idx="0">
                  <c:v>29</c:v>
                </c:pt>
              </c:numCache>
            </c:numRef>
          </c:xVal>
          <c:yVal>
            <c:numRef>
              <c:f>'Amputation Summary'!$AA$2</c:f>
              <c:numCache>
                <c:formatCode>General</c:formatCode>
                <c:ptCount val="1"/>
                <c:pt idx="0">
                  <c:v>0.77999997138977051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7-4BEF-A997-1ACCCCC0F591}"/>
            </c:ext>
          </c:extLst>
        </c:ser>
        <c:ser>
          <c:idx val="2"/>
          <c:order val="2"/>
          <c:tx>
            <c:v>National Average or Standard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'Major Lower Limb Amputation'!$Z$8:$Z$82</c:f>
              <c:numCache>
                <c:formatCode>General</c:formatCode>
                <c:ptCount val="75"/>
                <c:pt idx="0">
                  <c:v>29</c:v>
                </c:pt>
                <c:pt idx="1">
                  <c:v>19</c:v>
                </c:pt>
                <c:pt idx="2">
                  <c:v>68</c:v>
                </c:pt>
                <c:pt idx="3">
                  <c:v>36</c:v>
                </c:pt>
                <c:pt idx="4">
                  <c:v>75</c:v>
                </c:pt>
                <c:pt idx="5">
                  <c:v>28</c:v>
                </c:pt>
                <c:pt idx="6">
                  <c:v>16</c:v>
                </c:pt>
                <c:pt idx="7">
                  <c:v>22</c:v>
                </c:pt>
                <c:pt idx="8">
                  <c:v>74</c:v>
                </c:pt>
                <c:pt idx="9">
                  <c:v>55</c:v>
                </c:pt>
                <c:pt idx="10">
                  <c:v>72</c:v>
                </c:pt>
                <c:pt idx="11">
                  <c:v>32</c:v>
                </c:pt>
                <c:pt idx="12">
                  <c:v>24</c:v>
                </c:pt>
                <c:pt idx="13">
                  <c:v>63</c:v>
                </c:pt>
                <c:pt idx="14">
                  <c:v>60</c:v>
                </c:pt>
                <c:pt idx="15">
                  <c:v>18</c:v>
                </c:pt>
                <c:pt idx="16">
                  <c:v>33</c:v>
                </c:pt>
                <c:pt idx="17">
                  <c:v>3</c:v>
                </c:pt>
                <c:pt idx="18">
                  <c:v>44</c:v>
                </c:pt>
                <c:pt idx="19">
                  <c:v>61</c:v>
                </c:pt>
                <c:pt idx="20">
                  <c:v>53</c:v>
                </c:pt>
                <c:pt idx="21">
                  <c:v>6</c:v>
                </c:pt>
                <c:pt idx="22">
                  <c:v>37</c:v>
                </c:pt>
                <c:pt idx="23">
                  <c:v>25</c:v>
                </c:pt>
                <c:pt idx="24">
                  <c:v>7</c:v>
                </c:pt>
                <c:pt idx="25">
                  <c:v>30</c:v>
                </c:pt>
                <c:pt idx="26">
                  <c:v>57</c:v>
                </c:pt>
                <c:pt idx="27">
                  <c:v>56</c:v>
                </c:pt>
                <c:pt idx="28">
                  <c:v>59</c:v>
                </c:pt>
                <c:pt idx="29">
                  <c:v>65</c:v>
                </c:pt>
                <c:pt idx="30">
                  <c:v>11</c:v>
                </c:pt>
                <c:pt idx="31">
                  <c:v>26</c:v>
                </c:pt>
                <c:pt idx="32">
                  <c:v>64</c:v>
                </c:pt>
                <c:pt idx="33">
                  <c:v>13</c:v>
                </c:pt>
                <c:pt idx="34">
                  <c:v>69</c:v>
                </c:pt>
                <c:pt idx="35">
                  <c:v>27</c:v>
                </c:pt>
                <c:pt idx="36">
                  <c:v>62</c:v>
                </c:pt>
                <c:pt idx="37">
                  <c:v>8</c:v>
                </c:pt>
                <c:pt idx="38">
                  <c:v>4</c:v>
                </c:pt>
                <c:pt idx="39">
                  <c:v>45</c:v>
                </c:pt>
                <c:pt idx="40">
                  <c:v>34</c:v>
                </c:pt>
                <c:pt idx="41">
                  <c:v>39</c:v>
                </c:pt>
                <c:pt idx="42">
                  <c:v>31</c:v>
                </c:pt>
                <c:pt idx="43">
                  <c:v>47</c:v>
                </c:pt>
                <c:pt idx="44">
                  <c:v>15</c:v>
                </c:pt>
                <c:pt idx="45">
                  <c:v>1</c:v>
                </c:pt>
                <c:pt idx="46">
                  <c:v>48</c:v>
                </c:pt>
                <c:pt idx="47">
                  <c:v>46</c:v>
                </c:pt>
                <c:pt idx="48">
                  <c:v>50</c:v>
                </c:pt>
                <c:pt idx="49">
                  <c:v>23</c:v>
                </c:pt>
                <c:pt idx="50">
                  <c:v>10</c:v>
                </c:pt>
                <c:pt idx="51">
                  <c:v>2</c:v>
                </c:pt>
                <c:pt idx="52">
                  <c:v>14</c:v>
                </c:pt>
                <c:pt idx="53">
                  <c:v>12</c:v>
                </c:pt>
                <c:pt idx="54">
                  <c:v>58</c:v>
                </c:pt>
                <c:pt idx="55">
                  <c:v>35</c:v>
                </c:pt>
                <c:pt idx="56">
                  <c:v>43</c:v>
                </c:pt>
                <c:pt idx="57">
                  <c:v>73</c:v>
                </c:pt>
                <c:pt idx="58">
                  <c:v>9</c:v>
                </c:pt>
                <c:pt idx="59">
                  <c:v>70</c:v>
                </c:pt>
                <c:pt idx="60">
                  <c:v>66</c:v>
                </c:pt>
                <c:pt idx="61">
                  <c:v>38</c:v>
                </c:pt>
                <c:pt idx="62">
                  <c:v>49</c:v>
                </c:pt>
                <c:pt idx="63">
                  <c:v>5</c:v>
                </c:pt>
                <c:pt idx="64">
                  <c:v>71</c:v>
                </c:pt>
                <c:pt idx="65">
                  <c:v>40</c:v>
                </c:pt>
                <c:pt idx="66">
                  <c:v>17</c:v>
                </c:pt>
                <c:pt idx="67">
                  <c:v>20</c:v>
                </c:pt>
                <c:pt idx="68">
                  <c:v>21</c:v>
                </c:pt>
                <c:pt idx="69">
                  <c:v>54</c:v>
                </c:pt>
                <c:pt idx="70">
                  <c:v>51</c:v>
                </c:pt>
                <c:pt idx="71">
                  <c:v>52</c:v>
                </c:pt>
                <c:pt idx="72">
                  <c:v>67</c:v>
                </c:pt>
                <c:pt idx="73">
                  <c:v>41</c:v>
                </c:pt>
                <c:pt idx="74">
                  <c:v>42</c:v>
                </c:pt>
              </c:numCache>
            </c:numRef>
          </c:xVal>
          <c:yVal>
            <c:numRef>
              <c:f>'Major Lower Limb Amputation'!$AK$8:$AK$82</c:f>
              <c:numCache>
                <c:formatCode>General</c:formatCode>
                <c:ptCount val="7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BD-4248-903F-85798D6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186136"/>
        <c:axId val="606183840"/>
      </c:scatterChart>
      <c:valAx>
        <c:axId val="606186136"/>
        <c:scaling>
          <c:orientation val="minMax"/>
          <c:max val="75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3840"/>
        <c:crosses val="autoZero"/>
        <c:crossBetween val="midCat"/>
      </c:valAx>
      <c:valAx>
        <c:axId val="60618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86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10</xdr:col>
      <xdr:colOff>981075</xdr:colOff>
      <xdr:row>26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47</xdr:row>
      <xdr:rowOff>95250</xdr:rowOff>
    </xdr:from>
    <xdr:to>
      <xdr:col>6</xdr:col>
      <xdr:colOff>1095375</xdr:colOff>
      <xdr:row>67</xdr:row>
      <xdr:rowOff>142875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</xdr:colOff>
      <xdr:row>30</xdr:row>
      <xdr:rowOff>95251</xdr:rowOff>
    </xdr:from>
    <xdr:to>
      <xdr:col>10</xdr:col>
      <xdr:colOff>1095374</xdr:colOff>
      <xdr:row>47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85725</xdr:rowOff>
    </xdr:from>
    <xdr:to>
      <xdr:col>13</xdr:col>
      <xdr:colOff>590548</xdr:colOff>
      <xdr:row>27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31</xdr:row>
      <xdr:rowOff>152400</xdr:rowOff>
    </xdr:from>
    <xdr:to>
      <xdr:col>7</xdr:col>
      <xdr:colOff>9525</xdr:colOff>
      <xdr:row>52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123825</xdr:rowOff>
    </xdr:from>
    <xdr:to>
      <xdr:col>16</xdr:col>
      <xdr:colOff>314323</xdr:colOff>
      <xdr:row>27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31</xdr:row>
      <xdr:rowOff>47625</xdr:rowOff>
    </xdr:from>
    <xdr:to>
      <xdr:col>8</xdr:col>
      <xdr:colOff>19050</xdr:colOff>
      <xdr:row>51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52</xdr:row>
      <xdr:rowOff>47625</xdr:rowOff>
    </xdr:from>
    <xdr:to>
      <xdr:col>16</xdr:col>
      <xdr:colOff>295273</xdr:colOff>
      <xdr:row>77</xdr:row>
      <xdr:rowOff>180974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1</xdr:row>
      <xdr:rowOff>38100</xdr:rowOff>
    </xdr:from>
    <xdr:to>
      <xdr:col>15</xdr:col>
      <xdr:colOff>47625</xdr:colOff>
      <xdr:row>26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30</xdr:row>
      <xdr:rowOff>47625</xdr:rowOff>
    </xdr:from>
    <xdr:to>
      <xdr:col>7</xdr:col>
      <xdr:colOff>361950</xdr:colOff>
      <xdr:row>50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457200</xdr:colOff>
      <xdr:row>30</xdr:row>
      <xdr:rowOff>47624</xdr:rowOff>
    </xdr:from>
    <xdr:to>
      <xdr:col>15</xdr:col>
      <xdr:colOff>533400</xdr:colOff>
      <xdr:row>48</xdr:row>
      <xdr:rowOff>76199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13</xdr:col>
      <xdr:colOff>571500</xdr:colOff>
      <xdr:row>26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6</xdr:col>
      <xdr:colOff>819150</xdr:colOff>
      <xdr:row>51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66676</xdr:colOff>
      <xdr:row>26</xdr:row>
      <xdr:rowOff>161925</xdr:rowOff>
    </xdr:from>
    <xdr:to>
      <xdr:col>14</xdr:col>
      <xdr:colOff>2333625</xdr:colOff>
      <xdr:row>46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tlVasReg/2018%20Annual%20Report/Ideas%20for%20Appendices/Newcastle%20Demo%20Apr%202019/NVR%20NHS%20Organisation%20Data%20Vi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A 2018 Repo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8"/>
  <sheetViews>
    <sheetView showGridLines="0" tabSelected="1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55.140625" bestFit="1" customWidth="1"/>
    <col min="3" max="3" width="11.42578125" bestFit="1" customWidth="1"/>
    <col min="4" max="4" width="10.28515625" bestFit="1" customWidth="1"/>
    <col min="5" max="5" width="8.5703125" customWidth="1"/>
    <col min="6" max="6" width="11.7109375" bestFit="1" customWidth="1"/>
    <col min="7" max="7" width="16.85546875" customWidth="1"/>
    <col min="8" max="8" width="22" customWidth="1"/>
    <col min="9" max="9" width="11.7109375" bestFit="1" customWidth="1"/>
    <col min="10" max="10" width="20.42578125" customWidth="1"/>
    <col min="11" max="11" width="16.140625" customWidth="1"/>
    <col min="12" max="12" width="55.5703125" bestFit="1" customWidth="1"/>
    <col min="13" max="13" width="16.85546875" bestFit="1" customWidth="1"/>
    <col min="27" max="27" width="13.28515625" style="41" bestFit="1" customWidth="1"/>
    <col min="28" max="28" width="11.28515625" style="41" customWidth="1"/>
    <col min="29" max="29" width="11.85546875" style="41" customWidth="1"/>
    <col min="30" max="30" width="7.28515625" style="41" bestFit="1" customWidth="1"/>
    <col min="31" max="31" width="10.140625" style="41" bestFit="1" customWidth="1"/>
    <col min="32" max="32" width="63.7109375" style="41" bestFit="1" customWidth="1"/>
    <col min="33" max="33" width="7.28515625" style="41" bestFit="1" customWidth="1"/>
    <col min="34" max="37" width="7.28515625" style="41" customWidth="1"/>
    <col min="38" max="39" width="9.140625" style="43"/>
    <col min="40" max="41" width="9.140625" style="40"/>
  </cols>
  <sheetData>
    <row r="1" spans="1:39" ht="27" customHeight="1" x14ac:dyDescent="0.25">
      <c r="A1" s="28" t="s">
        <v>404</v>
      </c>
      <c r="B1" s="29" t="s">
        <v>10</v>
      </c>
      <c r="AA1" s="113" t="s">
        <v>1086</v>
      </c>
      <c r="AB1" s="131" t="s">
        <v>424</v>
      </c>
      <c r="AC1" s="131" t="s">
        <v>410</v>
      </c>
      <c r="AD1" s="132" t="s">
        <v>406</v>
      </c>
      <c r="AE1" s="133" t="s">
        <v>189</v>
      </c>
      <c r="AF1" s="133" t="s">
        <v>183</v>
      </c>
      <c r="AG1" s="114" t="s">
        <v>1087</v>
      </c>
      <c r="AH1" s="117" t="s">
        <v>588</v>
      </c>
      <c r="AI1" s="117" t="s">
        <v>590</v>
      </c>
      <c r="AJ1" s="117" t="s">
        <v>591</v>
      </c>
      <c r="AK1" s="117" t="s">
        <v>1084</v>
      </c>
      <c r="AL1" s="127" t="s">
        <v>411</v>
      </c>
      <c r="AM1" s="127" t="s">
        <v>412</v>
      </c>
    </row>
    <row r="2" spans="1:39" ht="15.75" x14ac:dyDescent="0.25">
      <c r="L2" s="44" t="s">
        <v>436</v>
      </c>
      <c r="AA2" s="41">
        <f>VLOOKUP($B$1,'AAA Summary'!$AF:$AK,3,FALSE)</f>
        <v>67</v>
      </c>
      <c r="AB2" s="41">
        <f>VLOOKUP($B$1,'AAA Summary'!$AF:$AK,4,FALSE)</f>
        <v>26</v>
      </c>
      <c r="AC2" s="41">
        <f>VLOOKUP($B$1,'AAA Summary'!$AF:$AK,5,FALSE)</f>
        <v>32</v>
      </c>
      <c r="AD2" s="41">
        <f>VLOOKUP($B$1,'AAA Summary'!$AF:$AK,2,FALSE)</f>
        <v>38</v>
      </c>
      <c r="AE2" s="43" t="s">
        <v>158</v>
      </c>
      <c r="AF2" s="43" t="s">
        <v>159</v>
      </c>
      <c r="AG2" s="43">
        <v>1</v>
      </c>
      <c r="AH2" s="134">
        <f>VLOOKUP($AE2,'Elective Infra-Renal AAA Repair'!$A$7:$AJ$82,33,FALSE)</f>
        <v>30</v>
      </c>
      <c r="AI2" s="134">
        <f>VLOOKUP($AE2,'Elective Infra-Renal AAA Repair'!$A$7:$AJ$82,34,FALSE)</f>
        <v>19</v>
      </c>
      <c r="AJ2" s="134">
        <f>VLOOKUP($AE2,'Elective Infra-Renal AAA Repair'!$A$7:$AJ$82,35,FALSE)</f>
        <v>46</v>
      </c>
      <c r="AK2" s="134">
        <f>VLOOKUP($AE2,'Elective Infra-Renal AAA Repair'!$A$7:$AJ$82,36,FALSE)</f>
        <v>56</v>
      </c>
      <c r="AL2" s="43">
        <f>VLOOKUP($C29,'AAA Funnel'!$A:$C,2,FALSE)</f>
        <v>133</v>
      </c>
      <c r="AM2" s="43">
        <f>VLOOKUP($C29,'AAA Funnel'!$A:$C,3,FALSE)</f>
        <v>1.6</v>
      </c>
    </row>
    <row r="3" spans="1:39" ht="31.5" x14ac:dyDescent="0.25">
      <c r="L3" s="53" t="s">
        <v>202</v>
      </c>
      <c r="AB3" s="41" t="s">
        <v>426</v>
      </c>
      <c r="AD3" s="41" t="s">
        <v>427</v>
      </c>
      <c r="AE3" s="43" t="s">
        <v>115</v>
      </c>
      <c r="AF3" s="43" t="s">
        <v>116</v>
      </c>
      <c r="AG3" s="43">
        <v>2</v>
      </c>
      <c r="AH3" s="134">
        <f>VLOOKUP($AE3,'Elective Infra-Renal AAA Repair'!$A$7:$AJ$82,33,FALSE)</f>
        <v>35</v>
      </c>
      <c r="AI3" s="134">
        <f>VLOOKUP($AE3,'Elective Infra-Renal AAA Repair'!$A$7:$AJ$82,34,FALSE)</f>
        <v>13</v>
      </c>
      <c r="AJ3" s="134">
        <f>VLOOKUP($AE3,'Elective Infra-Renal AAA Repair'!$A$7:$AJ$82,35,FALSE)</f>
        <v>14</v>
      </c>
      <c r="AK3" s="134">
        <f>VLOOKUP($AE3,'Elective Infra-Renal AAA Repair'!$A$7:$AJ$82,36,FALSE)</f>
        <v>56</v>
      </c>
    </row>
    <row r="4" spans="1:39" x14ac:dyDescent="0.25">
      <c r="L4" s="43">
        <f>MATCH(L3,'Elective Infra-Renal AAA Repair'!$I$7:$J$7,0)</f>
        <v>1</v>
      </c>
      <c r="AB4" s="41">
        <f>VLOOKUP($B$1,'Elective Infra-Renal AAA Repair'!$B:$V,21,FALSE)</f>
        <v>0.91</v>
      </c>
      <c r="AD4" s="41">
        <f>VLOOKUP($B$1,'Elective Infra-Renal AAA Repair'!$B:$V,20,FALSE)</f>
        <v>42</v>
      </c>
      <c r="AE4" s="43" t="s">
        <v>124</v>
      </c>
      <c r="AF4" s="43" t="s">
        <v>125</v>
      </c>
      <c r="AG4" s="43">
        <v>3</v>
      </c>
      <c r="AH4" s="134">
        <f>VLOOKUP($AE4,'Elective Infra-Renal AAA Repair'!$A$7:$AJ$82,33,FALSE)</f>
        <v>39</v>
      </c>
      <c r="AI4" s="134">
        <f>VLOOKUP($AE4,'Elective Infra-Renal AAA Repair'!$A$7:$AJ$82,34,FALSE)</f>
        <v>15</v>
      </c>
      <c r="AJ4" s="134">
        <f>VLOOKUP($AE4,'Elective Infra-Renal AAA Repair'!$A$7:$AJ$82,35,FALSE)</f>
        <v>22</v>
      </c>
      <c r="AK4" s="134">
        <f>VLOOKUP($AE4,'Elective Infra-Renal AAA Repair'!$A$7:$AJ$82,36,FALSE)</f>
        <v>56</v>
      </c>
    </row>
    <row r="5" spans="1:39" x14ac:dyDescent="0.25">
      <c r="AE5" s="43" t="s">
        <v>105</v>
      </c>
      <c r="AF5" s="43" t="s">
        <v>106</v>
      </c>
      <c r="AG5" s="43">
        <v>4</v>
      </c>
      <c r="AH5" s="134">
        <f>VLOOKUP($AE5,'Elective Infra-Renal AAA Repair'!$A$7:$AJ$82,33,FALSE)</f>
        <v>40</v>
      </c>
      <c r="AI5" s="134">
        <f>VLOOKUP($AE5,'Elective Infra-Renal AAA Repair'!$A$7:$AJ$82,34,FALSE)</f>
        <v>13</v>
      </c>
      <c r="AJ5" s="134">
        <f>VLOOKUP($AE5,'Elective Infra-Renal AAA Repair'!$A$7:$AJ$82,35,FALSE)</f>
        <v>26</v>
      </c>
      <c r="AK5" s="134">
        <f>VLOOKUP($AE5,'Elective Infra-Renal AAA Repair'!$A$7:$AJ$82,36,FALSE)</f>
        <v>56</v>
      </c>
    </row>
    <row r="6" spans="1:39" x14ac:dyDescent="0.25">
      <c r="AE6" s="43" t="s">
        <v>134</v>
      </c>
      <c r="AF6" s="43" t="s">
        <v>135</v>
      </c>
      <c r="AG6" s="43">
        <v>5</v>
      </c>
      <c r="AH6" s="134">
        <f>VLOOKUP($AE6,'Elective Infra-Renal AAA Repair'!$A$7:$AJ$82,33,FALSE)</f>
        <v>42</v>
      </c>
      <c r="AI6" s="134">
        <f>VLOOKUP($AE6,'Elective Infra-Renal AAA Repair'!$A$7:$AJ$82,34,FALSE)</f>
        <v>15</v>
      </c>
      <c r="AJ6" s="134">
        <f>VLOOKUP($AE6,'Elective Infra-Renal AAA Repair'!$A$7:$AJ$82,35,FALSE)</f>
        <v>18</v>
      </c>
      <c r="AK6" s="134">
        <f>VLOOKUP($AE6,'Elective Infra-Renal AAA Repair'!$A$7:$AJ$82,36,FALSE)</f>
        <v>56</v>
      </c>
    </row>
    <row r="7" spans="1:39" x14ac:dyDescent="0.25">
      <c r="AE7" s="43" t="s">
        <v>142</v>
      </c>
      <c r="AF7" s="43" t="s">
        <v>143</v>
      </c>
      <c r="AG7" s="43">
        <v>6</v>
      </c>
      <c r="AH7" s="134">
        <f>VLOOKUP($AE7,'Elective Infra-Renal AAA Repair'!$A$7:$AJ$82,33,FALSE)</f>
        <v>45</v>
      </c>
      <c r="AI7" s="134">
        <f>VLOOKUP($AE7,'Elective Infra-Renal AAA Repair'!$A$7:$AJ$82,34,FALSE)</f>
        <v>18</v>
      </c>
      <c r="AJ7" s="134">
        <f>VLOOKUP($AE7,'Elective Infra-Renal AAA Repair'!$A$7:$AJ$82,35,FALSE)</f>
        <v>39</v>
      </c>
      <c r="AK7" s="134">
        <f>VLOOKUP($AE7,'Elective Infra-Renal AAA Repair'!$A$7:$AJ$82,36,FALSE)</f>
        <v>56</v>
      </c>
    </row>
    <row r="8" spans="1:39" x14ac:dyDescent="0.25">
      <c r="AE8" s="43" t="s">
        <v>40</v>
      </c>
      <c r="AF8" s="43" t="s">
        <v>41</v>
      </c>
      <c r="AG8" s="43">
        <v>7</v>
      </c>
      <c r="AH8" s="134">
        <f>VLOOKUP($AE8,'Elective Infra-Renal AAA Repair'!$A$7:$AJ$82,33,FALSE)</f>
        <v>45</v>
      </c>
      <c r="AI8" s="134">
        <f>VLOOKUP($AE8,'Elective Infra-Renal AAA Repair'!$A$7:$AJ$82,34,FALSE)</f>
        <v>17</v>
      </c>
      <c r="AJ8" s="134">
        <f>VLOOKUP($AE8,'Elective Infra-Renal AAA Repair'!$A$7:$AJ$82,35,FALSE)</f>
        <v>45</v>
      </c>
      <c r="AK8" s="134">
        <f>VLOOKUP($AE8,'Elective Infra-Renal AAA Repair'!$A$7:$AJ$82,36,FALSE)</f>
        <v>56</v>
      </c>
    </row>
    <row r="9" spans="1:39" x14ac:dyDescent="0.25">
      <c r="AE9" s="43" t="s">
        <v>156</v>
      </c>
      <c r="AF9" s="43" t="s">
        <v>157</v>
      </c>
      <c r="AG9" s="43">
        <v>8</v>
      </c>
      <c r="AH9" s="134">
        <f>VLOOKUP($AE9,'Elective Infra-Renal AAA Repair'!$A$7:$AJ$82,33,FALSE)</f>
        <v>45</v>
      </c>
      <c r="AI9" s="134">
        <f>VLOOKUP($AE9,'Elective Infra-Renal AAA Repair'!$A$7:$AJ$82,34,FALSE)</f>
        <v>14</v>
      </c>
      <c r="AJ9" s="134">
        <f>VLOOKUP($AE9,'Elective Infra-Renal AAA Repair'!$A$7:$AJ$82,35,FALSE)</f>
        <v>28</v>
      </c>
      <c r="AK9" s="134">
        <f>VLOOKUP($AE9,'Elective Infra-Renal AAA Repair'!$A$7:$AJ$82,36,FALSE)</f>
        <v>56</v>
      </c>
    </row>
    <row r="10" spans="1:39" x14ac:dyDescent="0.25">
      <c r="AE10" s="43" t="s">
        <v>44</v>
      </c>
      <c r="AF10" s="43" t="s">
        <v>45</v>
      </c>
      <c r="AG10" s="43">
        <v>9</v>
      </c>
      <c r="AH10" s="134">
        <f>VLOOKUP($AE10,'Elective Infra-Renal AAA Repair'!$A$7:$AJ$82,33,FALSE)</f>
        <v>46</v>
      </c>
      <c r="AI10" s="134">
        <f>VLOOKUP($AE10,'Elective Infra-Renal AAA Repair'!$A$7:$AJ$82,34,FALSE)</f>
        <v>19</v>
      </c>
      <c r="AJ10" s="134">
        <f>VLOOKUP($AE10,'Elective Infra-Renal AAA Repair'!$A$7:$AJ$82,35,FALSE)</f>
        <v>54</v>
      </c>
      <c r="AK10" s="134">
        <f>VLOOKUP($AE10,'Elective Infra-Renal AAA Repair'!$A$7:$AJ$82,36,FALSE)</f>
        <v>56</v>
      </c>
    </row>
    <row r="11" spans="1:39" x14ac:dyDescent="0.25">
      <c r="AE11" s="43" t="s">
        <v>15</v>
      </c>
      <c r="AF11" s="43" t="s">
        <v>620</v>
      </c>
      <c r="AG11" s="43">
        <v>10</v>
      </c>
      <c r="AH11" s="134">
        <f>VLOOKUP($AE11,'Elective Infra-Renal AAA Repair'!$A$7:$AJ$82,33,FALSE)</f>
        <v>46</v>
      </c>
      <c r="AI11" s="134">
        <f>VLOOKUP($AE11,'Elective Infra-Renal AAA Repair'!$A$7:$AJ$82,34,FALSE)</f>
        <v>14</v>
      </c>
      <c r="AJ11" s="134">
        <f>VLOOKUP($AE11,'Elective Infra-Renal AAA Repair'!$A$7:$AJ$82,35,FALSE)</f>
        <v>56</v>
      </c>
      <c r="AK11" s="134">
        <f>VLOOKUP($AE11,'Elective Infra-Renal AAA Repair'!$A$7:$AJ$82,36,FALSE)</f>
        <v>56</v>
      </c>
    </row>
    <row r="12" spans="1:39" x14ac:dyDescent="0.25">
      <c r="AE12" s="43" t="s">
        <v>81</v>
      </c>
      <c r="AF12" s="43" t="s">
        <v>82</v>
      </c>
      <c r="AG12" s="43">
        <v>11</v>
      </c>
      <c r="AH12" s="134">
        <f>VLOOKUP($AE12,'Elective Infra-Renal AAA Repair'!$A$7:$AJ$82,33,FALSE)</f>
        <v>47</v>
      </c>
      <c r="AI12" s="134">
        <f>VLOOKUP($AE12,'Elective Infra-Renal AAA Repair'!$A$7:$AJ$82,34,FALSE)</f>
        <v>22</v>
      </c>
      <c r="AJ12" s="134">
        <f>VLOOKUP($AE12,'Elective Infra-Renal AAA Repair'!$A$7:$AJ$82,35,FALSE)</f>
        <v>35</v>
      </c>
      <c r="AK12" s="134">
        <f>VLOOKUP($AE12,'Elective Infra-Renal AAA Repair'!$A$7:$AJ$82,36,FALSE)</f>
        <v>56</v>
      </c>
    </row>
    <row r="13" spans="1:39" x14ac:dyDescent="0.25">
      <c r="AE13" s="43" t="s">
        <v>136</v>
      </c>
      <c r="AF13" s="43" t="s">
        <v>137</v>
      </c>
      <c r="AG13" s="43">
        <v>12</v>
      </c>
      <c r="AH13" s="134">
        <f>VLOOKUP($AE13,'Elective Infra-Renal AAA Repair'!$A$7:$AJ$82,33,FALSE)</f>
        <v>47</v>
      </c>
      <c r="AI13" s="134">
        <f>VLOOKUP($AE13,'Elective Infra-Renal AAA Repair'!$A$7:$AJ$82,34,FALSE)</f>
        <v>17</v>
      </c>
      <c r="AJ13" s="134">
        <f>VLOOKUP($AE13,'Elective Infra-Renal AAA Repair'!$A$7:$AJ$82,35,FALSE)</f>
        <v>31</v>
      </c>
      <c r="AK13" s="134">
        <f>VLOOKUP($AE13,'Elective Infra-Renal AAA Repair'!$A$7:$AJ$82,36,FALSE)</f>
        <v>56</v>
      </c>
    </row>
    <row r="14" spans="1:39" x14ac:dyDescent="0.25">
      <c r="AE14" s="43" t="s">
        <v>126</v>
      </c>
      <c r="AF14" s="43" t="s">
        <v>127</v>
      </c>
      <c r="AG14" s="43">
        <v>13</v>
      </c>
      <c r="AH14" s="134">
        <f>VLOOKUP($AE14,'Elective Infra-Renal AAA Repair'!$A$7:$AJ$82,33,FALSE)</f>
        <v>47</v>
      </c>
      <c r="AI14" s="134">
        <f>VLOOKUP($AE14,'Elective Infra-Renal AAA Repair'!$A$7:$AJ$82,34,FALSE)</f>
        <v>17</v>
      </c>
      <c r="AJ14" s="134">
        <f>VLOOKUP($AE14,'Elective Infra-Renal AAA Repair'!$A$7:$AJ$82,35,FALSE)</f>
        <v>38</v>
      </c>
      <c r="AK14" s="134">
        <f>VLOOKUP($AE14,'Elective Infra-Renal AAA Repair'!$A$7:$AJ$82,36,FALSE)</f>
        <v>56</v>
      </c>
    </row>
    <row r="15" spans="1:39" x14ac:dyDescent="0.25">
      <c r="AE15" s="43" t="s">
        <v>13</v>
      </c>
      <c r="AF15" s="43" t="s">
        <v>14</v>
      </c>
      <c r="AG15" s="43">
        <v>14</v>
      </c>
      <c r="AH15" s="134">
        <f>VLOOKUP($AE15,'Elective Infra-Renal AAA Repair'!$A$7:$AJ$82,33,FALSE)</f>
        <v>48</v>
      </c>
      <c r="AI15" s="134">
        <f>VLOOKUP($AE15,'Elective Infra-Renal AAA Repair'!$A$7:$AJ$82,34,FALSE)</f>
        <v>20</v>
      </c>
      <c r="AJ15" s="134">
        <f>VLOOKUP($AE15,'Elective Infra-Renal AAA Repair'!$A$7:$AJ$82,35,FALSE)</f>
        <v>55</v>
      </c>
      <c r="AK15" s="134">
        <f>VLOOKUP($AE15,'Elective Infra-Renal AAA Repair'!$A$7:$AJ$82,36,FALSE)</f>
        <v>56</v>
      </c>
    </row>
    <row r="16" spans="1:39" x14ac:dyDescent="0.25">
      <c r="AE16" s="43" t="s">
        <v>19</v>
      </c>
      <c r="AF16" s="43" t="s">
        <v>20</v>
      </c>
      <c r="AG16" s="43">
        <v>15</v>
      </c>
      <c r="AH16" s="134">
        <f>VLOOKUP($AE16,'Elective Infra-Renal AAA Repair'!$A$7:$AJ$82,33,FALSE)</f>
        <v>48</v>
      </c>
      <c r="AI16" s="134">
        <f>VLOOKUP($AE16,'Elective Infra-Renal AAA Repair'!$A$7:$AJ$82,34,FALSE)</f>
        <v>19</v>
      </c>
      <c r="AJ16" s="134">
        <f>VLOOKUP($AE16,'Elective Infra-Renal AAA Repair'!$A$7:$AJ$82,35,FALSE)</f>
        <v>56</v>
      </c>
      <c r="AK16" s="134">
        <f>VLOOKUP($AE16,'Elective Infra-Renal AAA Repair'!$A$7:$AJ$82,36,FALSE)</f>
        <v>56</v>
      </c>
    </row>
    <row r="17" spans="2:37" x14ac:dyDescent="0.25">
      <c r="AE17" s="43" t="s">
        <v>164</v>
      </c>
      <c r="AF17" s="43" t="s">
        <v>165</v>
      </c>
      <c r="AG17" s="43">
        <v>16</v>
      </c>
      <c r="AH17" s="134">
        <f>VLOOKUP($AE17,'Elective Infra-Renal AAA Repair'!$A$7:$AJ$82,33,FALSE)</f>
        <v>51</v>
      </c>
      <c r="AI17" s="134">
        <f>VLOOKUP($AE17,'Elective Infra-Renal AAA Repair'!$A$7:$AJ$82,34,FALSE)</f>
        <v>24</v>
      </c>
      <c r="AJ17" s="134">
        <f>VLOOKUP($AE17,'Elective Infra-Renal AAA Repair'!$A$7:$AJ$82,35,FALSE)</f>
        <v>25</v>
      </c>
      <c r="AK17" s="134">
        <f>VLOOKUP($AE17,'Elective Infra-Renal AAA Repair'!$A$7:$AJ$82,36,FALSE)</f>
        <v>56</v>
      </c>
    </row>
    <row r="18" spans="2:37" x14ac:dyDescent="0.25">
      <c r="AE18" s="43" t="s">
        <v>99</v>
      </c>
      <c r="AF18" s="43" t="s">
        <v>100</v>
      </c>
      <c r="AG18" s="43">
        <v>17</v>
      </c>
      <c r="AH18" s="134">
        <f>VLOOKUP($AE18,'Elective Infra-Renal AAA Repair'!$A$7:$AJ$82,33,FALSE)</f>
        <v>51</v>
      </c>
      <c r="AI18" s="134">
        <f>VLOOKUP($AE18,'Elective Infra-Renal AAA Repair'!$A$7:$AJ$82,34,FALSE)</f>
        <v>21</v>
      </c>
      <c r="AJ18" s="134">
        <f>VLOOKUP($AE18,'Elective Infra-Renal AAA Repair'!$A$7:$AJ$82,35,FALSE)</f>
        <v>40</v>
      </c>
      <c r="AK18" s="134">
        <f>VLOOKUP($AE18,'Elective Infra-Renal AAA Repair'!$A$7:$AJ$82,36,FALSE)</f>
        <v>56</v>
      </c>
    </row>
    <row r="19" spans="2:37" x14ac:dyDescent="0.25">
      <c r="AE19" s="43" t="s">
        <v>83</v>
      </c>
      <c r="AF19" s="43" t="s">
        <v>84</v>
      </c>
      <c r="AG19" s="43">
        <v>18</v>
      </c>
      <c r="AH19" s="134">
        <f>VLOOKUP($AE19,'Elective Infra-Renal AAA Repair'!$A$7:$AJ$82,33,FALSE)</f>
        <v>52</v>
      </c>
      <c r="AI19" s="134">
        <f>VLOOKUP($AE19,'Elective Infra-Renal AAA Repair'!$A$7:$AJ$82,34,FALSE)</f>
        <v>22</v>
      </c>
      <c r="AJ19" s="134">
        <f>VLOOKUP($AE19,'Elective Infra-Renal AAA Repair'!$A$7:$AJ$82,35,FALSE)</f>
        <v>39</v>
      </c>
      <c r="AK19" s="134">
        <f>VLOOKUP($AE19,'Elective Infra-Renal AAA Repair'!$A$7:$AJ$82,36,FALSE)</f>
        <v>56</v>
      </c>
    </row>
    <row r="20" spans="2:37" x14ac:dyDescent="0.25">
      <c r="AE20" s="43" t="s">
        <v>154</v>
      </c>
      <c r="AF20" s="43" t="s">
        <v>155</v>
      </c>
      <c r="AG20" s="43">
        <v>19</v>
      </c>
      <c r="AH20" s="134">
        <f>VLOOKUP($AE20,'Elective Infra-Renal AAA Repair'!$A$7:$AJ$82,33,FALSE)</f>
        <v>53</v>
      </c>
      <c r="AI20" s="134">
        <f>VLOOKUP($AE20,'Elective Infra-Renal AAA Repair'!$A$7:$AJ$82,34,FALSE)</f>
        <v>14</v>
      </c>
      <c r="AJ20" s="134">
        <f>VLOOKUP($AE20,'Elective Infra-Renal AAA Repair'!$A$7:$AJ$82,35,FALSE)</f>
        <v>24</v>
      </c>
      <c r="AK20" s="134">
        <f>VLOOKUP($AE20,'Elective Infra-Renal AAA Repair'!$A$7:$AJ$82,36,FALSE)</f>
        <v>56</v>
      </c>
    </row>
    <row r="21" spans="2:37" x14ac:dyDescent="0.25">
      <c r="AE21" s="43" t="s">
        <v>17</v>
      </c>
      <c r="AF21" s="43" t="s">
        <v>18</v>
      </c>
      <c r="AG21" s="43">
        <v>20</v>
      </c>
      <c r="AH21" s="134">
        <f>VLOOKUP($AE21,'Elective Infra-Renal AAA Repair'!$A$7:$AJ$82,33,FALSE)</f>
        <v>54</v>
      </c>
      <c r="AI21" s="134">
        <f>VLOOKUP($AE21,'Elective Infra-Renal AAA Repair'!$A$7:$AJ$82,34,FALSE)</f>
        <v>26</v>
      </c>
      <c r="AJ21" s="134">
        <f>VLOOKUP($AE21,'Elective Infra-Renal AAA Repair'!$A$7:$AJ$82,35,FALSE)</f>
        <v>11</v>
      </c>
      <c r="AK21" s="134">
        <f>VLOOKUP($AE21,'Elective Infra-Renal AAA Repair'!$A$7:$AJ$82,36,FALSE)</f>
        <v>56</v>
      </c>
    </row>
    <row r="22" spans="2:37" x14ac:dyDescent="0.25">
      <c r="AE22" s="43" t="s">
        <v>168</v>
      </c>
      <c r="AF22" s="43" t="s">
        <v>169</v>
      </c>
      <c r="AG22" s="43">
        <v>21</v>
      </c>
      <c r="AH22" s="134">
        <f>VLOOKUP($AE22,'Elective Infra-Renal AAA Repair'!$A$7:$AJ$82,33,FALSE)</f>
        <v>55</v>
      </c>
      <c r="AI22" s="134">
        <f>VLOOKUP($AE22,'Elective Infra-Renal AAA Repair'!$A$7:$AJ$82,34,FALSE)</f>
        <v>22</v>
      </c>
      <c r="AJ22" s="134">
        <f>VLOOKUP($AE22,'Elective Infra-Renal AAA Repair'!$A$7:$AJ$82,35,FALSE)</f>
        <v>47</v>
      </c>
      <c r="AK22" s="134">
        <f>VLOOKUP($AE22,'Elective Infra-Renal AAA Repair'!$A$7:$AJ$82,36,FALSE)</f>
        <v>56</v>
      </c>
    </row>
    <row r="23" spans="2:37" x14ac:dyDescent="0.25">
      <c r="AE23" s="43" t="s">
        <v>172</v>
      </c>
      <c r="AF23" s="43" t="s">
        <v>173</v>
      </c>
      <c r="AG23" s="43">
        <v>22</v>
      </c>
      <c r="AH23" s="134">
        <f>VLOOKUP($AE23,'Elective Infra-Renal AAA Repair'!$A$7:$AJ$82,33,FALSE)</f>
        <v>56</v>
      </c>
      <c r="AI23" s="134">
        <f>VLOOKUP($AE23,'Elective Infra-Renal AAA Repair'!$A$7:$AJ$82,34,FALSE)</f>
        <v>28</v>
      </c>
      <c r="AJ23" s="134">
        <f>VLOOKUP($AE23,'Elective Infra-Renal AAA Repair'!$A$7:$AJ$82,35,FALSE)</f>
        <v>20</v>
      </c>
      <c r="AK23" s="134">
        <f>VLOOKUP($AE23,'Elective Infra-Renal AAA Repair'!$A$7:$AJ$82,36,FALSE)</f>
        <v>56</v>
      </c>
    </row>
    <row r="24" spans="2:37" x14ac:dyDescent="0.25">
      <c r="AE24" s="43" t="s">
        <v>87</v>
      </c>
      <c r="AF24" s="43" t="s">
        <v>88</v>
      </c>
      <c r="AG24" s="43">
        <v>23</v>
      </c>
      <c r="AH24" s="134">
        <f>VLOOKUP($AE24,'Elective Infra-Renal AAA Repair'!$A$7:$AJ$82,33,FALSE)</f>
        <v>56</v>
      </c>
      <c r="AI24" s="134">
        <f>VLOOKUP($AE24,'Elective Infra-Renal AAA Repair'!$A$7:$AJ$82,34,FALSE)</f>
        <v>23</v>
      </c>
      <c r="AJ24" s="134">
        <f>VLOOKUP($AE24,'Elective Infra-Renal AAA Repair'!$A$7:$AJ$82,35,FALSE)</f>
        <v>42</v>
      </c>
      <c r="AK24" s="134">
        <f>VLOOKUP($AE24,'Elective Infra-Renal AAA Repair'!$A$7:$AJ$82,36,FALSE)</f>
        <v>56</v>
      </c>
    </row>
    <row r="25" spans="2:37" x14ac:dyDescent="0.25">
      <c r="AE25" s="43" t="s">
        <v>93</v>
      </c>
      <c r="AF25" s="43" t="s">
        <v>617</v>
      </c>
      <c r="AG25" s="43">
        <v>24</v>
      </c>
      <c r="AH25" s="134">
        <f>VLOOKUP($AE25,'Elective Infra-Renal AAA Repair'!$A$7:$AJ$82,33,FALSE)</f>
        <v>56</v>
      </c>
      <c r="AI25" s="134">
        <f>VLOOKUP($AE25,'Elective Infra-Renal AAA Repair'!$A$7:$AJ$82,34,FALSE)</f>
        <v>21</v>
      </c>
      <c r="AJ25" s="134">
        <f>VLOOKUP($AE25,'Elective Infra-Renal AAA Repair'!$A$7:$AJ$82,35,FALSE)</f>
        <v>54</v>
      </c>
      <c r="AK25" s="134">
        <f>VLOOKUP($AE25,'Elective Infra-Renal AAA Repair'!$A$7:$AJ$82,36,FALSE)</f>
        <v>56</v>
      </c>
    </row>
    <row r="26" spans="2:37" x14ac:dyDescent="0.25">
      <c r="AE26" s="43" t="s">
        <v>140</v>
      </c>
      <c r="AF26" s="43" t="s">
        <v>141</v>
      </c>
      <c r="AG26" s="43">
        <v>25</v>
      </c>
      <c r="AH26" s="134">
        <f>VLOOKUP($AE26,'Elective Infra-Renal AAA Repair'!$A$7:$AJ$82,33,FALSE)</f>
        <v>59</v>
      </c>
      <c r="AI26" s="134">
        <f>VLOOKUP($AE26,'Elective Infra-Renal AAA Repair'!$A$7:$AJ$82,34,FALSE)</f>
        <v>38</v>
      </c>
      <c r="AJ26" s="134">
        <f>VLOOKUP($AE26,'Elective Infra-Renal AAA Repair'!$A$7:$AJ$82,35,FALSE)</f>
        <v>85</v>
      </c>
      <c r="AK26" s="134">
        <f>VLOOKUP($AE26,'Elective Infra-Renal AAA Repair'!$A$7:$AJ$82,36,FALSE)</f>
        <v>56</v>
      </c>
    </row>
    <row r="27" spans="2:37" ht="15.75" thickBot="1" x14ac:dyDescent="0.3">
      <c r="AE27" s="43" t="s">
        <v>33</v>
      </c>
      <c r="AF27" s="43" t="s">
        <v>34</v>
      </c>
      <c r="AG27" s="43">
        <v>26</v>
      </c>
      <c r="AH27" s="134">
        <f>VLOOKUP($AE27,'Elective Infra-Renal AAA Repair'!$A$7:$AJ$82,33,FALSE)</f>
        <v>59</v>
      </c>
      <c r="AI27" s="134">
        <f>VLOOKUP($AE27,'Elective Infra-Renal AAA Repair'!$A$7:$AJ$82,34,FALSE)</f>
        <v>28</v>
      </c>
      <c r="AJ27" s="134">
        <f>VLOOKUP($AE27,'Elective Infra-Renal AAA Repair'!$A$7:$AJ$82,35,FALSE)</f>
        <v>43</v>
      </c>
      <c r="AK27" s="134">
        <f>VLOOKUP($AE27,'Elective Infra-Renal AAA Repair'!$A$7:$AJ$82,36,FALSE)</f>
        <v>56</v>
      </c>
    </row>
    <row r="28" spans="2:37" ht="90.75" thickBot="1" x14ac:dyDescent="0.3">
      <c r="B28" s="30" t="s">
        <v>183</v>
      </c>
      <c r="C28" s="30" t="s">
        <v>189</v>
      </c>
      <c r="D28" s="31" t="s">
        <v>197</v>
      </c>
      <c r="E28" s="31" t="s">
        <v>198</v>
      </c>
      <c r="F28" s="30" t="s">
        <v>202</v>
      </c>
      <c r="G28" s="30" t="s">
        <v>1134</v>
      </c>
      <c r="H28" s="30" t="s">
        <v>203</v>
      </c>
      <c r="I28" s="30" t="s">
        <v>204</v>
      </c>
      <c r="J28" s="30" t="s">
        <v>1144</v>
      </c>
      <c r="AE28" s="43" t="s">
        <v>113</v>
      </c>
      <c r="AF28" s="43" t="s">
        <v>114</v>
      </c>
      <c r="AG28" s="43">
        <v>27</v>
      </c>
      <c r="AH28" s="134">
        <f>VLOOKUP($AE28,'Elective Infra-Renal AAA Repair'!$A$7:$AJ$82,33,FALSE)</f>
        <v>60</v>
      </c>
      <c r="AI28" s="134">
        <f>VLOOKUP($AE28,'Elective Infra-Renal AAA Repair'!$A$7:$AJ$82,34,FALSE)</f>
        <v>28</v>
      </c>
      <c r="AJ28" s="134">
        <f>VLOOKUP($AE28,'Elective Infra-Renal AAA Repair'!$A$7:$AJ$82,35,FALSE)</f>
        <v>31</v>
      </c>
      <c r="AK28" s="134">
        <f>VLOOKUP($AE28,'Elective Infra-Renal AAA Repair'!$A$7:$AJ$82,36,FALSE)</f>
        <v>56</v>
      </c>
    </row>
    <row r="29" spans="2:37" ht="15.75" thickBot="1" x14ac:dyDescent="0.3">
      <c r="B29" s="32" t="str">
        <f>B1</f>
        <v>Aneurin Bevan University Health Board</v>
      </c>
      <c r="C29" s="34" t="str">
        <f>VLOOKUP($B29,'Elective Infra-Renal AAA Repair'!$B:$V,15,FALSE)</f>
        <v>7A6</v>
      </c>
      <c r="D29" s="34">
        <f>VLOOKUP($B29,'Elective Infra-Renal AAA Repair'!$B:$V,2,FALSE)</f>
        <v>44</v>
      </c>
      <c r="E29" s="34">
        <f>VLOOKUP($B29,'Elective Infra-Renal AAA Repair'!$B:$V,3,FALSE)</f>
        <v>28</v>
      </c>
      <c r="F29" s="33" t="str">
        <f>VLOOKUP($B29,'Elective Infra-Renal AAA Repair'!$B:$V,8,FALSE)</f>
        <v>67 (41 - 99)</v>
      </c>
      <c r="G29" s="122">
        <f>VLOOKUP($B29,'Elective Infra-Renal AAA Repair'!$B:$AK,36,FALSE)</f>
        <v>0.442</v>
      </c>
      <c r="H29" s="33" t="str">
        <f>VLOOKUP($B29,'Elective Infra-Renal AAA Repair'!$B:$V,12,FALSE)</f>
        <v>9 (6 - 15)</v>
      </c>
      <c r="I29" s="33" t="str">
        <f>VLOOKUP($B29,'Elective Infra-Renal AAA Repair'!$B:$V,13,FALSE)</f>
        <v>1 (1 - 1)</v>
      </c>
      <c r="J29" s="36">
        <f>VLOOKUP($B29,'Elective Infra-Renal AAA Repair'!$B:$V,14,FALSE)</f>
        <v>1.6E-2</v>
      </c>
      <c r="AE29" s="43" t="s">
        <v>58</v>
      </c>
      <c r="AF29" s="43" t="s">
        <v>59</v>
      </c>
      <c r="AG29" s="43">
        <v>28</v>
      </c>
      <c r="AH29" s="134">
        <f>VLOOKUP($AE29,'Elective Infra-Renal AAA Repair'!$A$7:$AJ$82,33,FALSE)</f>
        <v>60</v>
      </c>
      <c r="AI29" s="134">
        <f>VLOOKUP($AE29,'Elective Infra-Renal AAA Repair'!$A$7:$AJ$82,34,FALSE)</f>
        <v>25</v>
      </c>
      <c r="AJ29" s="134">
        <f>VLOOKUP($AE29,'Elective Infra-Renal AAA Repair'!$A$7:$AJ$82,35,FALSE)</f>
        <v>43</v>
      </c>
      <c r="AK29" s="134">
        <f>VLOOKUP($AE29,'Elective Infra-Renal AAA Repair'!$A$7:$AJ$82,36,FALSE)</f>
        <v>56</v>
      </c>
    </row>
    <row r="30" spans="2:37" ht="15.75" thickBot="1" x14ac:dyDescent="0.3">
      <c r="B30" s="135" t="s">
        <v>405</v>
      </c>
      <c r="C30" s="135"/>
      <c r="D30" s="100">
        <v>3445</v>
      </c>
      <c r="E30" s="100">
        <v>2090</v>
      </c>
      <c r="F30" s="101" t="s">
        <v>1076</v>
      </c>
      <c r="G30" s="121">
        <v>0.41899999999999998</v>
      </c>
      <c r="H30" s="101" t="s">
        <v>458</v>
      </c>
      <c r="I30" s="101" t="s">
        <v>320</v>
      </c>
      <c r="J30" s="102">
        <v>1.4E-2</v>
      </c>
      <c r="AE30" s="43" t="s">
        <v>117</v>
      </c>
      <c r="AF30" s="43" t="s">
        <v>400</v>
      </c>
      <c r="AG30" s="43">
        <v>29</v>
      </c>
      <c r="AH30" s="134">
        <f>VLOOKUP($AE30,'Elective Infra-Renal AAA Repair'!$A$7:$AJ$82,33,FALSE)</f>
        <v>62</v>
      </c>
      <c r="AI30" s="134">
        <f>VLOOKUP($AE30,'Elective Infra-Renal AAA Repair'!$A$7:$AJ$82,34,FALSE)</f>
        <v>32</v>
      </c>
      <c r="AJ30" s="134">
        <f>VLOOKUP($AE30,'Elective Infra-Renal AAA Repair'!$A$7:$AJ$82,35,FALSE)</f>
        <v>23</v>
      </c>
      <c r="AK30" s="134">
        <f>VLOOKUP($AE30,'Elective Infra-Renal AAA Repair'!$A$7:$AJ$82,36,FALSE)</f>
        <v>56</v>
      </c>
    </row>
    <row r="31" spans="2:37" ht="15.75" thickBot="1" x14ac:dyDescent="0.3">
      <c r="AE31" s="43" t="s">
        <v>107</v>
      </c>
      <c r="AF31" s="43" t="s">
        <v>108</v>
      </c>
      <c r="AG31" s="43">
        <v>30</v>
      </c>
      <c r="AH31" s="134">
        <f>VLOOKUP($AE31,'Elective Infra-Renal AAA Repair'!$A$7:$AJ$82,33,FALSE)</f>
        <v>62</v>
      </c>
      <c r="AI31" s="134">
        <f>VLOOKUP($AE31,'Elective Infra-Renal AAA Repair'!$A$7:$AJ$82,34,FALSE)</f>
        <v>28</v>
      </c>
      <c r="AJ31" s="134">
        <f>VLOOKUP($AE31,'Elective Infra-Renal AAA Repair'!$A$7:$AJ$82,35,FALSE)</f>
        <v>58</v>
      </c>
      <c r="AK31" s="134">
        <f>VLOOKUP($AE31,'Elective Infra-Renal AAA Repair'!$A$7:$AJ$82,36,FALSE)</f>
        <v>56</v>
      </c>
    </row>
    <row r="32" spans="2:37" ht="16.5" thickBot="1" x14ac:dyDescent="0.3">
      <c r="B32" s="32" t="s">
        <v>432</v>
      </c>
      <c r="C32" s="32" t="s">
        <v>433</v>
      </c>
      <c r="D32" s="32" t="s">
        <v>434</v>
      </c>
      <c r="E32" s="32" t="s">
        <v>435</v>
      </c>
      <c r="F32" s="32" t="s">
        <v>419</v>
      </c>
      <c r="L32" s="44" t="s">
        <v>436</v>
      </c>
      <c r="AE32" s="43" t="s">
        <v>132</v>
      </c>
      <c r="AF32" s="43" t="s">
        <v>133</v>
      </c>
      <c r="AG32" s="43">
        <v>31</v>
      </c>
      <c r="AH32" s="134">
        <f>VLOOKUP($AE32,'Elective Infra-Renal AAA Repair'!$A$7:$AJ$82,33,FALSE)</f>
        <v>62</v>
      </c>
      <c r="AI32" s="134">
        <f>VLOOKUP($AE32,'Elective Infra-Renal AAA Repair'!$A$7:$AJ$82,34,FALSE)</f>
        <v>26</v>
      </c>
      <c r="AJ32" s="134">
        <f>VLOOKUP($AE32,'Elective Infra-Renal AAA Repair'!$A$7:$AJ$82,35,FALSE)</f>
        <v>27</v>
      </c>
      <c r="AK32" s="134">
        <f>VLOOKUP($AE32,'Elective Infra-Renal AAA Repair'!$A$7:$AJ$82,36,FALSE)</f>
        <v>56</v>
      </c>
    </row>
    <row r="33" spans="2:37" ht="16.5" thickBot="1" x14ac:dyDescent="0.3">
      <c r="B33" s="32" t="s">
        <v>205</v>
      </c>
      <c r="C33" s="55">
        <v>2018</v>
      </c>
      <c r="D33" s="56">
        <f>VLOOKUP('AAA Summary'!$C$29,'AAA 2018 Report'!$A$8:$R$85,5,FALSE)</f>
        <v>0.94</v>
      </c>
      <c r="E33" s="57">
        <f>VLOOKUP('AAA Summary'!$C$29,'AAA 2018 Report'!$A$8:$R$85,13,FALSE)</f>
        <v>3</v>
      </c>
      <c r="F33" s="56">
        <v>0.9</v>
      </c>
      <c r="L33" s="29" t="s">
        <v>201</v>
      </c>
      <c r="AE33" s="43" t="s">
        <v>35</v>
      </c>
      <c r="AF33" s="43" t="s">
        <v>36</v>
      </c>
      <c r="AG33" s="43">
        <v>32</v>
      </c>
      <c r="AH33" s="134">
        <f>VLOOKUP($AE33,'Elective Infra-Renal AAA Repair'!$A$7:$AJ$82,33,FALSE)</f>
        <v>63</v>
      </c>
      <c r="AI33" s="134">
        <f>VLOOKUP($AE33,'Elective Infra-Renal AAA Repair'!$A$7:$AJ$82,34,FALSE)</f>
        <v>30</v>
      </c>
      <c r="AJ33" s="134">
        <f>VLOOKUP($AE33,'Elective Infra-Renal AAA Repair'!$A$7:$AJ$82,35,FALSE)</f>
        <v>26</v>
      </c>
      <c r="AK33" s="134">
        <f>VLOOKUP($AE33,'Elective Infra-Renal AAA Repair'!$A$7:$AJ$82,36,FALSE)</f>
        <v>56</v>
      </c>
    </row>
    <row r="34" spans="2:37" ht="15.75" thickBot="1" x14ac:dyDescent="0.3">
      <c r="B34" s="32"/>
      <c r="C34" s="58">
        <v>2019</v>
      </c>
      <c r="D34" s="59">
        <f>VLOOKUP('AAA Summary'!$C$29,'AAA 2019 Report'!$A$8:$R$85,5,FALSE)</f>
        <v>0.85</v>
      </c>
      <c r="E34" s="60">
        <f>VLOOKUP('AAA Summary'!$C$29,'AAA 2019 Report'!$A$8:$R$85,13,FALSE)</f>
        <v>1</v>
      </c>
      <c r="F34" s="59">
        <v>0.9</v>
      </c>
      <c r="AE34" s="43" t="s">
        <v>130</v>
      </c>
      <c r="AF34" s="43" t="s">
        <v>618</v>
      </c>
      <c r="AG34" s="43">
        <v>33</v>
      </c>
      <c r="AH34" s="134">
        <f>VLOOKUP($AE34,'Elective Infra-Renal AAA Repair'!$A$7:$AJ$82,33,FALSE)</f>
        <v>63</v>
      </c>
      <c r="AI34" s="134">
        <f>VLOOKUP($AE34,'Elective Infra-Renal AAA Repair'!$A$7:$AJ$82,34,FALSE)</f>
        <v>26</v>
      </c>
      <c r="AJ34" s="134">
        <f>VLOOKUP($AE34,'Elective Infra-Renal AAA Repair'!$A$7:$AJ$82,35,FALSE)</f>
        <v>47</v>
      </c>
      <c r="AK34" s="134">
        <f>VLOOKUP($AE34,'Elective Infra-Renal AAA Repair'!$A$7:$AJ$82,36,FALSE)</f>
        <v>56</v>
      </c>
    </row>
    <row r="35" spans="2:37" ht="15.75" thickBot="1" x14ac:dyDescent="0.3">
      <c r="B35" s="32"/>
      <c r="C35" s="61">
        <v>2020</v>
      </c>
      <c r="D35" s="62">
        <f>VLOOKUP('AAA Summary'!$C$29,'Elective Infra-Renal AAA Repair'!$A$8:$U$84,5,FALSE)</f>
        <v>0.98</v>
      </c>
      <c r="E35" s="63">
        <f>VLOOKUP('AAA Summary'!$C$29,'Elective Infra-Renal AAA Repair'!$A$8:$U$84,17,FALSE)</f>
        <v>4</v>
      </c>
      <c r="F35" s="62">
        <v>0.91</v>
      </c>
      <c r="L35" s="43">
        <f>MATCH(L33,'Elective Infra-Renal AAA Repair'!$E$7:$H$7,0)</f>
        <v>4</v>
      </c>
      <c r="AE35" s="43" t="s">
        <v>25</v>
      </c>
      <c r="AF35" s="43" t="s">
        <v>26</v>
      </c>
      <c r="AG35" s="43">
        <v>34</v>
      </c>
      <c r="AH35" s="134">
        <f>VLOOKUP($AE35,'Elective Infra-Renal AAA Repair'!$A$7:$AJ$82,33,FALSE)</f>
        <v>63</v>
      </c>
      <c r="AI35" s="134">
        <f>VLOOKUP($AE35,'Elective Infra-Renal AAA Repair'!$A$7:$AJ$82,34,FALSE)</f>
        <v>21</v>
      </c>
      <c r="AJ35" s="134">
        <f>VLOOKUP($AE35,'Elective Infra-Renal AAA Repair'!$A$7:$AJ$82,35,FALSE)</f>
        <v>27</v>
      </c>
      <c r="AK35" s="134">
        <f>VLOOKUP($AE35,'Elective Infra-Renal AAA Repair'!$A$7:$AJ$82,36,FALSE)</f>
        <v>56</v>
      </c>
    </row>
    <row r="36" spans="2:37" ht="15.75" thickBot="1" x14ac:dyDescent="0.3">
      <c r="AE36" s="43" t="s">
        <v>166</v>
      </c>
      <c r="AF36" s="43" t="s">
        <v>167</v>
      </c>
      <c r="AG36" s="43">
        <v>35</v>
      </c>
      <c r="AH36" s="134">
        <f>VLOOKUP($AE36,'Elective Infra-Renal AAA Repair'!$A$7:$AJ$82,33,FALSE)</f>
        <v>64</v>
      </c>
      <c r="AI36" s="134">
        <f>VLOOKUP($AE36,'Elective Infra-Renal AAA Repair'!$A$7:$AJ$82,34,FALSE)</f>
        <v>20</v>
      </c>
      <c r="AJ36" s="134">
        <f>VLOOKUP($AE36,'Elective Infra-Renal AAA Repair'!$A$7:$AJ$82,35,FALSE)</f>
        <v>32</v>
      </c>
      <c r="AK36" s="134">
        <f>VLOOKUP($AE36,'Elective Infra-Renal AAA Repair'!$A$7:$AJ$82,36,FALSE)</f>
        <v>56</v>
      </c>
    </row>
    <row r="37" spans="2:37" ht="15.75" thickBot="1" x14ac:dyDescent="0.3">
      <c r="B37" s="32" t="s">
        <v>199</v>
      </c>
      <c r="C37" s="55">
        <v>2018</v>
      </c>
      <c r="D37" s="56">
        <f>VLOOKUP('AAA Summary'!$C$29,'AAA 2018 Report'!$A$8:$R$85,6,FALSE)</f>
        <v>1</v>
      </c>
      <c r="E37" s="57">
        <f>VLOOKUP('AAA Summary'!$C$29,'AAA 2018 Report'!$A$8:$R$85,14,FALSE)</f>
        <v>4</v>
      </c>
      <c r="F37" s="56">
        <v>0.96</v>
      </c>
      <c r="AE37" s="43" t="s">
        <v>174</v>
      </c>
      <c r="AF37" s="43" t="s">
        <v>175</v>
      </c>
      <c r="AG37" s="43">
        <v>36</v>
      </c>
      <c r="AH37" s="134">
        <f>VLOOKUP($AE37,'Elective Infra-Renal AAA Repair'!$A$7:$AJ$82,33,FALSE)</f>
        <v>65</v>
      </c>
      <c r="AI37" s="134">
        <f>VLOOKUP($AE37,'Elective Infra-Renal AAA Repair'!$A$7:$AJ$82,34,FALSE)</f>
        <v>13</v>
      </c>
      <c r="AJ37" s="134">
        <f>VLOOKUP($AE37,'Elective Infra-Renal AAA Repair'!$A$7:$AJ$82,35,FALSE)</f>
        <v>76</v>
      </c>
      <c r="AK37" s="134">
        <f>VLOOKUP($AE37,'Elective Infra-Renal AAA Repair'!$A$7:$AJ$82,36,FALSE)</f>
        <v>56</v>
      </c>
    </row>
    <row r="38" spans="2:37" ht="15.75" thickBot="1" x14ac:dyDescent="0.3">
      <c r="B38" s="32"/>
      <c r="C38" s="58">
        <v>2019</v>
      </c>
      <c r="D38" s="59">
        <f>VLOOKUP('AAA Summary'!$C$29,'AAA 2019 Report'!$A$8:$R$85,6,FALSE)</f>
        <v>1</v>
      </c>
      <c r="E38" s="60">
        <f>VLOOKUP('AAA Summary'!$C$29,'AAA 2019 Report'!$A$8:$R$85,14,FALSE)</f>
        <v>4</v>
      </c>
      <c r="F38" s="59">
        <v>0.95</v>
      </c>
      <c r="AE38" s="43" t="s">
        <v>138</v>
      </c>
      <c r="AF38" s="43" t="s">
        <v>139</v>
      </c>
      <c r="AG38" s="43">
        <v>37</v>
      </c>
      <c r="AH38" s="134">
        <f>VLOOKUP($AE38,'Elective Infra-Renal AAA Repair'!$A$7:$AJ$82,33,FALSE)</f>
        <v>67</v>
      </c>
      <c r="AI38" s="134">
        <f>VLOOKUP($AE38,'Elective Infra-Renal AAA Repair'!$A$7:$AJ$82,34,FALSE)</f>
        <v>32</v>
      </c>
      <c r="AJ38" s="134">
        <f>VLOOKUP($AE38,'Elective Infra-Renal AAA Repair'!$A$7:$AJ$82,35,FALSE)</f>
        <v>28</v>
      </c>
      <c r="AK38" s="134">
        <f>VLOOKUP($AE38,'Elective Infra-Renal AAA Repair'!$A$7:$AJ$82,36,FALSE)</f>
        <v>56</v>
      </c>
    </row>
    <row r="39" spans="2:37" ht="15.75" thickBot="1" x14ac:dyDescent="0.3">
      <c r="B39" s="32"/>
      <c r="C39" s="61">
        <v>2020</v>
      </c>
      <c r="D39" s="62">
        <f>VLOOKUP('AAA Summary'!$C$29,'Elective Infra-Renal AAA Repair'!$A$8:$U$84,6,FALSE)</f>
        <v>0.95</v>
      </c>
      <c r="E39" s="63">
        <f>VLOOKUP('AAA Summary'!$C$29,'Elective Infra-Renal AAA Repair'!$A$8:$U$84,18,FALSE)</f>
        <v>1</v>
      </c>
      <c r="F39" s="62">
        <v>0.95</v>
      </c>
      <c r="AE39" s="43" t="s">
        <v>9</v>
      </c>
      <c r="AF39" s="43" t="s">
        <v>10</v>
      </c>
      <c r="AG39" s="43">
        <v>38</v>
      </c>
      <c r="AH39" s="134">
        <f>VLOOKUP($AE39,'Elective Infra-Renal AAA Repair'!$A$7:$AJ$82,33,FALSE)</f>
        <v>67</v>
      </c>
      <c r="AI39" s="134">
        <f>VLOOKUP($AE39,'Elective Infra-Renal AAA Repair'!$A$7:$AJ$82,34,FALSE)</f>
        <v>26</v>
      </c>
      <c r="AJ39" s="134">
        <f>VLOOKUP($AE39,'Elective Infra-Renal AAA Repair'!$A$7:$AJ$82,35,FALSE)</f>
        <v>32</v>
      </c>
      <c r="AK39" s="134">
        <f>VLOOKUP($AE39,'Elective Infra-Renal AAA Repair'!$A$7:$AJ$82,36,FALSE)</f>
        <v>56</v>
      </c>
    </row>
    <row r="40" spans="2:37" ht="15.75" thickBot="1" x14ac:dyDescent="0.3">
      <c r="AE40" s="43" t="s">
        <v>5</v>
      </c>
      <c r="AF40" s="43" t="s">
        <v>6</v>
      </c>
      <c r="AG40" s="43">
        <v>39</v>
      </c>
      <c r="AH40" s="134">
        <f>VLOOKUP($AE40,'Elective Infra-Renal AAA Repair'!$A$7:$AJ$82,33,FALSE)</f>
        <v>68</v>
      </c>
      <c r="AI40" s="134">
        <f>VLOOKUP($AE40,'Elective Infra-Renal AAA Repair'!$A$7:$AJ$82,34,FALSE)</f>
        <v>16</v>
      </c>
      <c r="AJ40" s="134">
        <f>VLOOKUP($AE40,'Elective Infra-Renal AAA Repair'!$A$7:$AJ$82,35,FALSE)</f>
        <v>38</v>
      </c>
      <c r="AK40" s="134">
        <f>VLOOKUP($AE40,'Elective Infra-Renal AAA Repair'!$A$7:$AJ$82,36,FALSE)</f>
        <v>56</v>
      </c>
    </row>
    <row r="41" spans="2:37" ht="15.75" thickBot="1" x14ac:dyDescent="0.3">
      <c r="B41" s="32" t="s">
        <v>200</v>
      </c>
      <c r="C41" s="55">
        <v>2018</v>
      </c>
      <c r="D41" s="56">
        <f>VLOOKUP('AAA Summary'!$C$29,'AAA 2018 Report'!$A$8:$R$85,7,FALSE)</f>
        <v>0.93</v>
      </c>
      <c r="E41" s="57">
        <f>VLOOKUP('AAA Summary'!$C$29,'AAA 2018 Report'!$A$8:$R$85,15,FALSE)</f>
        <v>3</v>
      </c>
      <c r="F41" s="56">
        <v>0.89</v>
      </c>
      <c r="AE41" s="43" t="s">
        <v>68</v>
      </c>
      <c r="AF41" s="43" t="s">
        <v>69</v>
      </c>
      <c r="AG41" s="43">
        <v>40</v>
      </c>
      <c r="AH41" s="134">
        <f>VLOOKUP($AE41,'Elective Infra-Renal AAA Repair'!$A$7:$AJ$82,33,FALSE)</f>
        <v>69</v>
      </c>
      <c r="AI41" s="134">
        <f>VLOOKUP($AE41,'Elective Infra-Renal AAA Repair'!$A$7:$AJ$82,34,FALSE)</f>
        <v>39</v>
      </c>
      <c r="AJ41" s="134">
        <f>VLOOKUP($AE41,'Elective Infra-Renal AAA Repair'!$A$7:$AJ$82,35,FALSE)</f>
        <v>55</v>
      </c>
      <c r="AK41" s="134">
        <f>VLOOKUP($AE41,'Elective Infra-Renal AAA Repair'!$A$7:$AJ$82,36,FALSE)</f>
        <v>56</v>
      </c>
    </row>
    <row r="42" spans="2:37" ht="15.75" thickBot="1" x14ac:dyDescent="0.3">
      <c r="B42" s="34"/>
      <c r="C42" s="58">
        <v>2019</v>
      </c>
      <c r="D42" s="59">
        <f>VLOOKUP('AAA Summary'!$C$29,'AAA 2019 Report'!$A$8:$R$85,7,FALSE)</f>
        <v>0.82</v>
      </c>
      <c r="E42" s="60">
        <f>VLOOKUP('AAA Summary'!$C$29,'AAA 2019 Report'!$A$8:$R$85,15,FALSE)</f>
        <v>2</v>
      </c>
      <c r="F42" s="59">
        <v>0.89</v>
      </c>
      <c r="AE42" s="43" t="s">
        <v>48</v>
      </c>
      <c r="AF42" s="43" t="s">
        <v>613</v>
      </c>
      <c r="AG42" s="43">
        <v>41</v>
      </c>
      <c r="AH42" s="134">
        <f>VLOOKUP($AE42,'Elective Infra-Renal AAA Repair'!$A$7:$AJ$82,33,FALSE)</f>
        <v>72</v>
      </c>
      <c r="AI42" s="134">
        <f>VLOOKUP($AE42,'Elective Infra-Renal AAA Repair'!$A$7:$AJ$82,34,FALSE)</f>
        <v>26</v>
      </c>
      <c r="AJ42" s="134">
        <f>VLOOKUP($AE42,'Elective Infra-Renal AAA Repair'!$A$7:$AJ$82,35,FALSE)</f>
        <v>56</v>
      </c>
      <c r="AK42" s="134">
        <f>VLOOKUP($AE42,'Elective Infra-Renal AAA Repair'!$A$7:$AJ$82,36,FALSE)</f>
        <v>56</v>
      </c>
    </row>
    <row r="43" spans="2:37" ht="15.75" thickBot="1" x14ac:dyDescent="0.3">
      <c r="B43" s="34"/>
      <c r="C43" s="61">
        <v>2020</v>
      </c>
      <c r="D43" s="62">
        <f>VLOOKUP('AAA Summary'!$C$29,'Elective Infra-Renal AAA Repair'!$A$8:$U$84,7,FALSE)</f>
        <v>0.97</v>
      </c>
      <c r="E43" s="63">
        <f>VLOOKUP('AAA Summary'!$C$29,'Elective Infra-Renal AAA Repair'!$A$8:$U$84,19,FALSE)</f>
        <v>3</v>
      </c>
      <c r="F43" s="62">
        <v>0.91</v>
      </c>
      <c r="AE43" s="43" t="s">
        <v>70</v>
      </c>
      <c r="AF43" s="43" t="s">
        <v>71</v>
      </c>
      <c r="AG43" s="43">
        <v>42</v>
      </c>
      <c r="AH43" s="134">
        <f>VLOOKUP($AE43,'Elective Infra-Renal AAA Repair'!$A$7:$AJ$82,33,FALSE)</f>
        <v>73</v>
      </c>
      <c r="AI43" s="134">
        <f>VLOOKUP($AE43,'Elective Infra-Renal AAA Repair'!$A$7:$AJ$82,34,FALSE)</f>
        <v>36</v>
      </c>
      <c r="AJ43" s="134">
        <f>VLOOKUP($AE43,'Elective Infra-Renal AAA Repair'!$A$7:$AJ$82,35,FALSE)</f>
        <v>42</v>
      </c>
      <c r="AK43" s="134">
        <f>VLOOKUP($AE43,'Elective Infra-Renal AAA Repair'!$A$7:$AJ$82,36,FALSE)</f>
        <v>56</v>
      </c>
    </row>
    <row r="44" spans="2:37" ht="15.75" thickBot="1" x14ac:dyDescent="0.3">
      <c r="AE44" s="43" t="s">
        <v>66</v>
      </c>
      <c r="AF44" s="43" t="s">
        <v>67</v>
      </c>
      <c r="AG44" s="43">
        <v>43</v>
      </c>
      <c r="AH44" s="134">
        <f>VLOOKUP($AE44,'Elective Infra-Renal AAA Repair'!$A$7:$AJ$82,33,FALSE)</f>
        <v>73</v>
      </c>
      <c r="AI44" s="134">
        <f>VLOOKUP($AE44,'Elective Infra-Renal AAA Repair'!$A$7:$AJ$82,34,FALSE)</f>
        <v>27</v>
      </c>
      <c r="AJ44" s="134">
        <f>VLOOKUP($AE44,'Elective Infra-Renal AAA Repair'!$A$7:$AJ$82,35,FALSE)</f>
        <v>65</v>
      </c>
      <c r="AK44" s="134">
        <f>VLOOKUP($AE44,'Elective Infra-Renal AAA Repair'!$A$7:$AJ$82,36,FALSE)</f>
        <v>56</v>
      </c>
    </row>
    <row r="45" spans="2:37" ht="15.75" thickBot="1" x14ac:dyDescent="0.3">
      <c r="B45" s="64" t="s">
        <v>201</v>
      </c>
      <c r="C45" s="55">
        <v>2018</v>
      </c>
      <c r="D45" s="56">
        <f>VLOOKUP('AAA Summary'!$C$29,'AAA 2018 Report'!$A$8:$R$85,8,FALSE)</f>
        <v>0.92</v>
      </c>
      <c r="E45" s="57">
        <f>VLOOKUP('AAA Summary'!$C$29,'AAA 2018 Report'!$A$8:$R$85,16,FALSE)</f>
        <v>3</v>
      </c>
      <c r="F45" s="56">
        <v>0.83</v>
      </c>
      <c r="AE45" s="43" t="s">
        <v>89</v>
      </c>
      <c r="AF45" s="43" t="s">
        <v>90</v>
      </c>
      <c r="AG45" s="43">
        <v>44</v>
      </c>
      <c r="AH45" s="134">
        <f>VLOOKUP($AE45,'Elective Infra-Renal AAA Repair'!$A$7:$AJ$82,33,FALSE)</f>
        <v>74</v>
      </c>
      <c r="AI45" s="134">
        <f>VLOOKUP($AE45,'Elective Infra-Renal AAA Repair'!$A$7:$AJ$82,34,FALSE)</f>
        <v>46</v>
      </c>
      <c r="AJ45" s="134">
        <f>VLOOKUP($AE45,'Elective Infra-Renal AAA Repair'!$A$7:$AJ$82,35,FALSE)</f>
        <v>25</v>
      </c>
      <c r="AK45" s="134">
        <f>VLOOKUP($AE45,'Elective Infra-Renal AAA Repair'!$A$7:$AJ$82,36,FALSE)</f>
        <v>56</v>
      </c>
    </row>
    <row r="46" spans="2:37" ht="15.75" thickBot="1" x14ac:dyDescent="0.3">
      <c r="B46" s="34"/>
      <c r="C46" s="58">
        <v>2019</v>
      </c>
      <c r="D46" s="59">
        <f>VLOOKUP('AAA Summary'!$C$29,'AAA 2019 Report'!$A$8:$R$85,8,FALSE)</f>
        <v>0.88</v>
      </c>
      <c r="E46" s="60">
        <f>VLOOKUP('AAA Summary'!$C$29,'AAA 2018 Report'!$A$8:$R$85,16,FALSE)</f>
        <v>3</v>
      </c>
      <c r="F46" s="59">
        <v>0.82</v>
      </c>
      <c r="AE46" s="43" t="s">
        <v>111</v>
      </c>
      <c r="AF46" s="43" t="s">
        <v>112</v>
      </c>
      <c r="AG46" s="43">
        <v>45</v>
      </c>
      <c r="AH46" s="134">
        <f>VLOOKUP($AE46,'Elective Infra-Renal AAA Repair'!$A$7:$AJ$82,33,FALSE)</f>
        <v>75</v>
      </c>
      <c r="AI46" s="134">
        <f>VLOOKUP($AE46,'Elective Infra-Renal AAA Repair'!$A$7:$AJ$82,34,FALSE)</f>
        <v>36</v>
      </c>
      <c r="AJ46" s="134">
        <f>VLOOKUP($AE46,'Elective Infra-Renal AAA Repair'!$A$7:$AJ$82,35,FALSE)</f>
        <v>153</v>
      </c>
      <c r="AK46" s="134">
        <f>VLOOKUP($AE46,'Elective Infra-Renal AAA Repair'!$A$7:$AJ$82,36,FALSE)</f>
        <v>56</v>
      </c>
    </row>
    <row r="47" spans="2:37" ht="15.75" thickBot="1" x14ac:dyDescent="0.3">
      <c r="B47" s="34"/>
      <c r="C47" s="61">
        <v>2020</v>
      </c>
      <c r="D47" s="62">
        <f>VLOOKUP('AAA Summary'!$C$29,'Elective Infra-Renal AAA Repair'!$A$8:$U$84,8,FALSE)</f>
        <v>0.91</v>
      </c>
      <c r="E47" s="63">
        <f>VLOOKUP('AAA Summary'!$C$29,'Elective Infra-Renal AAA Repair'!$A$8:$U$84,20,FALSE)</f>
        <v>3</v>
      </c>
      <c r="F47" s="62">
        <v>0.85</v>
      </c>
      <c r="AE47" s="43" t="s">
        <v>128</v>
      </c>
      <c r="AF47" s="43" t="s">
        <v>129</v>
      </c>
      <c r="AG47" s="43">
        <v>46</v>
      </c>
      <c r="AH47" s="134">
        <f>VLOOKUP($AE47,'Elective Infra-Renal AAA Repair'!$A$7:$AJ$82,33,FALSE)</f>
        <v>75</v>
      </c>
      <c r="AI47" s="134">
        <f>VLOOKUP($AE47,'Elective Infra-Renal AAA Repair'!$A$7:$AJ$82,34,FALSE)</f>
        <v>33</v>
      </c>
      <c r="AJ47" s="134">
        <f>VLOOKUP($AE47,'Elective Infra-Renal AAA Repair'!$A$7:$AJ$82,35,FALSE)</f>
        <v>51</v>
      </c>
      <c r="AK47" s="134">
        <f>VLOOKUP($AE47,'Elective Infra-Renal AAA Repair'!$A$7:$AJ$82,36,FALSE)</f>
        <v>56</v>
      </c>
    </row>
    <row r="48" spans="2:37" x14ac:dyDescent="0.25">
      <c r="AE48" s="43" t="s">
        <v>56</v>
      </c>
      <c r="AF48" s="43" t="s">
        <v>57</v>
      </c>
      <c r="AG48" s="43">
        <v>47</v>
      </c>
      <c r="AH48" s="134">
        <f>VLOOKUP($AE48,'Elective Infra-Renal AAA Repair'!$A$7:$AJ$82,33,FALSE)</f>
        <v>75</v>
      </c>
      <c r="AI48" s="134">
        <f>VLOOKUP($AE48,'Elective Infra-Renal AAA Repair'!$A$7:$AJ$82,34,FALSE)</f>
        <v>28</v>
      </c>
      <c r="AJ48" s="134">
        <f>VLOOKUP($AE48,'Elective Infra-Renal AAA Repair'!$A$7:$AJ$82,35,FALSE)</f>
        <v>67</v>
      </c>
      <c r="AK48" s="134">
        <f>VLOOKUP($AE48,'Elective Infra-Renal AAA Repair'!$A$7:$AJ$82,36,FALSE)</f>
        <v>56</v>
      </c>
    </row>
    <row r="49" spans="31:37" x14ac:dyDescent="0.25">
      <c r="AE49" s="43" t="s">
        <v>77</v>
      </c>
      <c r="AF49" s="43" t="s">
        <v>78</v>
      </c>
      <c r="AG49" s="43">
        <v>48</v>
      </c>
      <c r="AH49" s="134">
        <f>VLOOKUP($AE49,'Elective Infra-Renal AAA Repair'!$A$7:$AJ$82,33,FALSE)</f>
        <v>75</v>
      </c>
      <c r="AI49" s="134">
        <f>VLOOKUP($AE49,'Elective Infra-Renal AAA Repair'!$A$7:$AJ$82,34,FALSE)</f>
        <v>27</v>
      </c>
      <c r="AJ49" s="134">
        <f>VLOOKUP($AE49,'Elective Infra-Renal AAA Repair'!$A$7:$AJ$82,35,FALSE)</f>
        <v>24</v>
      </c>
      <c r="AK49" s="134">
        <f>VLOOKUP($AE49,'Elective Infra-Renal AAA Repair'!$A$7:$AJ$82,36,FALSE)</f>
        <v>56</v>
      </c>
    </row>
    <row r="50" spans="31:37" x14ac:dyDescent="0.25">
      <c r="AE50" s="43" t="s">
        <v>72</v>
      </c>
      <c r="AF50" s="43" t="s">
        <v>73</v>
      </c>
      <c r="AG50" s="43">
        <v>49</v>
      </c>
      <c r="AH50" s="134">
        <f>VLOOKUP($AE50,'Elective Infra-Renal AAA Repair'!$A$7:$AJ$82,33,FALSE)</f>
        <v>76</v>
      </c>
      <c r="AI50" s="134">
        <f>VLOOKUP($AE50,'Elective Infra-Renal AAA Repair'!$A$7:$AJ$82,34,FALSE)</f>
        <v>40</v>
      </c>
      <c r="AJ50" s="134">
        <f>VLOOKUP($AE50,'Elective Infra-Renal AAA Repair'!$A$7:$AJ$82,35,FALSE)</f>
        <v>52</v>
      </c>
      <c r="AK50" s="134">
        <f>VLOOKUP($AE50,'Elective Infra-Renal AAA Repair'!$A$7:$AJ$82,36,FALSE)</f>
        <v>56</v>
      </c>
    </row>
    <row r="51" spans="31:37" x14ac:dyDescent="0.25">
      <c r="AE51" s="43" t="s">
        <v>54</v>
      </c>
      <c r="AF51" s="43" t="s">
        <v>55</v>
      </c>
      <c r="AG51" s="43">
        <v>50</v>
      </c>
      <c r="AH51" s="134">
        <f>VLOOKUP($AE51,'Elective Infra-Renal AAA Repair'!$A$7:$AJ$82,33,FALSE)</f>
        <v>77</v>
      </c>
      <c r="AI51" s="134">
        <f>VLOOKUP($AE51,'Elective Infra-Renal AAA Repair'!$A$7:$AJ$82,34,FALSE)</f>
        <v>35</v>
      </c>
      <c r="AJ51" s="134">
        <f>VLOOKUP($AE51,'Elective Infra-Renal AAA Repair'!$A$7:$AJ$82,35,FALSE)</f>
        <v>51</v>
      </c>
      <c r="AK51" s="134">
        <f>VLOOKUP($AE51,'Elective Infra-Renal AAA Repair'!$A$7:$AJ$82,36,FALSE)</f>
        <v>56</v>
      </c>
    </row>
    <row r="52" spans="31:37" x14ac:dyDescent="0.25">
      <c r="AE52" s="43" t="s">
        <v>4</v>
      </c>
      <c r="AF52" s="43" t="s">
        <v>213</v>
      </c>
      <c r="AG52" s="43">
        <v>51</v>
      </c>
      <c r="AH52" s="134">
        <f>VLOOKUP($AE52,'Elective Infra-Renal AAA Repair'!$A$7:$AJ$82,33,FALSE)</f>
        <v>79</v>
      </c>
      <c r="AI52" s="134">
        <f>VLOOKUP($AE52,'Elective Infra-Renal AAA Repair'!$A$7:$AJ$82,34,FALSE)</f>
        <v>36</v>
      </c>
      <c r="AJ52" s="134">
        <f>VLOOKUP($AE52,'Elective Infra-Renal AAA Repair'!$A$7:$AJ$82,35,FALSE)</f>
        <v>44</v>
      </c>
      <c r="AK52" s="134">
        <f>VLOOKUP($AE52,'Elective Infra-Renal AAA Repair'!$A$7:$AJ$82,36,FALSE)</f>
        <v>56</v>
      </c>
    </row>
    <row r="53" spans="31:37" x14ac:dyDescent="0.25">
      <c r="AE53" s="43" t="s">
        <v>91</v>
      </c>
      <c r="AF53" s="43" t="s">
        <v>92</v>
      </c>
      <c r="AG53" s="43">
        <v>52</v>
      </c>
      <c r="AH53" s="134">
        <f>VLOOKUP($AE53,'Elective Infra-Renal AAA Repair'!$A$7:$AJ$82,33,FALSE)</f>
        <v>80</v>
      </c>
      <c r="AI53" s="134">
        <f>VLOOKUP($AE53,'Elective Infra-Renal AAA Repair'!$A$7:$AJ$82,34,FALSE)</f>
        <v>41</v>
      </c>
      <c r="AJ53" s="134">
        <f>VLOOKUP($AE53,'Elective Infra-Renal AAA Repair'!$A$7:$AJ$82,35,FALSE)</f>
        <v>39</v>
      </c>
      <c r="AK53" s="134">
        <f>VLOOKUP($AE53,'Elective Infra-Renal AAA Repair'!$A$7:$AJ$82,36,FALSE)</f>
        <v>56</v>
      </c>
    </row>
    <row r="54" spans="31:37" x14ac:dyDescent="0.25">
      <c r="AE54" s="43" t="s">
        <v>11</v>
      </c>
      <c r="AF54" s="43" t="s">
        <v>12</v>
      </c>
      <c r="AG54" s="43">
        <v>53</v>
      </c>
      <c r="AH54" s="134">
        <f>VLOOKUP($AE54,'Elective Infra-Renal AAA Repair'!$A$7:$AJ$82,33,FALSE)</f>
        <v>80</v>
      </c>
      <c r="AI54" s="134">
        <f>VLOOKUP($AE54,'Elective Infra-Renal AAA Repair'!$A$7:$AJ$82,34,FALSE)</f>
        <v>38</v>
      </c>
      <c r="AJ54" s="134">
        <f>VLOOKUP($AE54,'Elective Infra-Renal AAA Repair'!$A$7:$AJ$82,35,FALSE)</f>
        <v>44</v>
      </c>
      <c r="AK54" s="134">
        <f>VLOOKUP($AE54,'Elective Infra-Renal AAA Repair'!$A$7:$AJ$82,36,FALSE)</f>
        <v>56</v>
      </c>
    </row>
    <row r="55" spans="31:37" x14ac:dyDescent="0.25">
      <c r="AE55" s="43" t="s">
        <v>148</v>
      </c>
      <c r="AF55" s="43" t="s">
        <v>149</v>
      </c>
      <c r="AG55" s="43">
        <v>54</v>
      </c>
      <c r="AH55" s="134">
        <f>VLOOKUP($AE55,'Elective Infra-Renal AAA Repair'!$A$7:$AJ$82,33,FALSE)</f>
        <v>80</v>
      </c>
      <c r="AI55" s="134">
        <f>VLOOKUP($AE55,'Elective Infra-Renal AAA Repair'!$A$7:$AJ$82,34,FALSE)</f>
        <v>33</v>
      </c>
      <c r="AJ55" s="134">
        <f>VLOOKUP($AE55,'Elective Infra-Renal AAA Repair'!$A$7:$AJ$82,35,FALSE)</f>
        <v>83</v>
      </c>
      <c r="AK55" s="134">
        <f>VLOOKUP($AE55,'Elective Infra-Renal AAA Repair'!$A$7:$AJ$82,36,FALSE)</f>
        <v>56</v>
      </c>
    </row>
    <row r="56" spans="31:37" x14ac:dyDescent="0.25">
      <c r="AE56" s="43" t="s">
        <v>42</v>
      </c>
      <c r="AF56" s="43" t="s">
        <v>43</v>
      </c>
      <c r="AG56" s="43">
        <v>55</v>
      </c>
      <c r="AH56" s="134">
        <f>VLOOKUP($AE56,'Elective Infra-Renal AAA Repair'!$A$7:$AJ$82,33,FALSE)</f>
        <v>80</v>
      </c>
      <c r="AI56" s="134">
        <f>VLOOKUP($AE56,'Elective Infra-Renal AAA Repair'!$A$7:$AJ$82,34,FALSE)</f>
        <v>28</v>
      </c>
      <c r="AJ56" s="134">
        <f>VLOOKUP($AE56,'Elective Infra-Renal AAA Repair'!$A$7:$AJ$82,35,FALSE)</f>
        <v>33</v>
      </c>
      <c r="AK56" s="134">
        <f>VLOOKUP($AE56,'Elective Infra-Renal AAA Repair'!$A$7:$AJ$82,36,FALSE)</f>
        <v>56</v>
      </c>
    </row>
    <row r="57" spans="31:37" x14ac:dyDescent="0.25">
      <c r="AE57" s="43" t="s">
        <v>21</v>
      </c>
      <c r="AF57" s="43" t="s">
        <v>22</v>
      </c>
      <c r="AG57" s="43">
        <v>56</v>
      </c>
      <c r="AH57" s="134">
        <f>VLOOKUP($AE57,'Elective Infra-Renal AAA Repair'!$A$7:$AJ$82,33,FALSE)</f>
        <v>80</v>
      </c>
      <c r="AI57" s="134">
        <f>VLOOKUP($AE57,'Elective Infra-Renal AAA Repair'!$A$7:$AJ$82,34,FALSE)</f>
        <v>28</v>
      </c>
      <c r="AJ57" s="134">
        <f>VLOOKUP($AE57,'Elective Infra-Renal AAA Repair'!$A$7:$AJ$82,35,FALSE)</f>
        <v>50</v>
      </c>
      <c r="AK57" s="134">
        <f>VLOOKUP($AE57,'Elective Infra-Renal AAA Repair'!$A$7:$AJ$82,36,FALSE)</f>
        <v>56</v>
      </c>
    </row>
    <row r="58" spans="31:37" x14ac:dyDescent="0.25">
      <c r="AE58" s="43" t="s">
        <v>60</v>
      </c>
      <c r="AF58" s="43" t="s">
        <v>61</v>
      </c>
      <c r="AG58" s="43">
        <v>57</v>
      </c>
      <c r="AH58" s="134">
        <f>VLOOKUP($AE58,'Elective Infra-Renal AAA Repair'!$A$7:$AJ$82,33,FALSE)</f>
        <v>80</v>
      </c>
      <c r="AI58" s="134">
        <f>VLOOKUP($AE58,'Elective Infra-Renal AAA Repair'!$A$7:$AJ$82,34,FALSE)</f>
        <v>25</v>
      </c>
      <c r="AJ58" s="134">
        <f>VLOOKUP($AE58,'Elective Infra-Renal AAA Repair'!$A$7:$AJ$82,35,FALSE)</f>
        <v>36</v>
      </c>
      <c r="AK58" s="134">
        <f>VLOOKUP($AE58,'Elective Infra-Renal AAA Repair'!$A$7:$AJ$82,36,FALSE)</f>
        <v>56</v>
      </c>
    </row>
    <row r="59" spans="31:37" x14ac:dyDescent="0.25">
      <c r="AE59" s="43" t="s">
        <v>122</v>
      </c>
      <c r="AF59" s="43" t="s">
        <v>123</v>
      </c>
      <c r="AG59" s="43">
        <v>58</v>
      </c>
      <c r="AH59" s="134">
        <f>VLOOKUP($AE59,'Elective Infra-Renal AAA Repair'!$A$7:$AJ$82,33,FALSE)</f>
        <v>83</v>
      </c>
      <c r="AI59" s="134">
        <f>VLOOKUP($AE59,'Elective Infra-Renal AAA Repair'!$A$7:$AJ$82,34,FALSE)</f>
        <v>36</v>
      </c>
      <c r="AJ59" s="134">
        <f>VLOOKUP($AE59,'Elective Infra-Renal AAA Repair'!$A$7:$AJ$82,35,FALSE)</f>
        <v>44</v>
      </c>
      <c r="AK59" s="134">
        <f>VLOOKUP($AE59,'Elective Infra-Renal AAA Repair'!$A$7:$AJ$82,36,FALSE)</f>
        <v>56</v>
      </c>
    </row>
    <row r="60" spans="31:37" x14ac:dyDescent="0.25">
      <c r="AE60" s="43" t="s">
        <v>144</v>
      </c>
      <c r="AF60" s="43" t="s">
        <v>145</v>
      </c>
      <c r="AG60" s="43">
        <v>59</v>
      </c>
      <c r="AH60" s="134">
        <f>VLOOKUP($AE60,'Elective Infra-Renal AAA Repair'!$A$7:$AJ$82,33,FALSE)</f>
        <v>85</v>
      </c>
      <c r="AI60" s="134">
        <f>VLOOKUP($AE60,'Elective Infra-Renal AAA Repair'!$A$7:$AJ$82,34,FALSE)</f>
        <v>32</v>
      </c>
      <c r="AJ60" s="134">
        <f>VLOOKUP($AE60,'Elective Infra-Renal AAA Repair'!$A$7:$AJ$82,35,FALSE)</f>
        <v>47</v>
      </c>
      <c r="AK60" s="134">
        <f>VLOOKUP($AE60,'Elective Infra-Renal AAA Repair'!$A$7:$AJ$82,36,FALSE)</f>
        <v>56</v>
      </c>
    </row>
    <row r="61" spans="31:37" x14ac:dyDescent="0.25">
      <c r="AE61" s="43" t="s">
        <v>118</v>
      </c>
      <c r="AF61" s="43" t="s">
        <v>622</v>
      </c>
      <c r="AG61" s="43">
        <v>60</v>
      </c>
      <c r="AH61" s="134">
        <f>VLOOKUP($AE61,'Elective Infra-Renal AAA Repair'!$A$7:$AJ$82,33,FALSE)</f>
        <v>87</v>
      </c>
      <c r="AI61" s="134">
        <f>VLOOKUP($AE61,'Elective Infra-Renal AAA Repair'!$A$7:$AJ$82,34,FALSE)</f>
        <v>38</v>
      </c>
      <c r="AJ61" s="134">
        <f>VLOOKUP($AE61,'Elective Infra-Renal AAA Repair'!$A$7:$AJ$82,35,FALSE)</f>
        <v>46</v>
      </c>
      <c r="AK61" s="134">
        <f>VLOOKUP($AE61,'Elective Infra-Renal AAA Repair'!$A$7:$AJ$82,36,FALSE)</f>
        <v>56</v>
      </c>
    </row>
    <row r="62" spans="31:37" x14ac:dyDescent="0.25">
      <c r="AE62" s="43" t="s">
        <v>23</v>
      </c>
      <c r="AF62" s="43" t="s">
        <v>24</v>
      </c>
      <c r="AG62" s="43">
        <v>61</v>
      </c>
      <c r="AH62" s="134">
        <f>VLOOKUP($AE62,'Elective Infra-Renal AAA Repair'!$A$7:$AJ$82,33,FALSE)</f>
        <v>88</v>
      </c>
      <c r="AI62" s="134">
        <f>VLOOKUP($AE62,'Elective Infra-Renal AAA Repair'!$A$7:$AJ$82,34,FALSE)</f>
        <v>22</v>
      </c>
      <c r="AJ62" s="134">
        <f>VLOOKUP($AE62,'Elective Infra-Renal AAA Repair'!$A$7:$AJ$82,35,FALSE)</f>
        <v>48</v>
      </c>
      <c r="AK62" s="134">
        <f>VLOOKUP($AE62,'Elective Infra-Renal AAA Repair'!$A$7:$AJ$82,36,FALSE)</f>
        <v>56</v>
      </c>
    </row>
    <row r="63" spans="31:37" x14ac:dyDescent="0.25">
      <c r="AE63" s="43" t="s">
        <v>0</v>
      </c>
      <c r="AF63" s="43" t="s">
        <v>1</v>
      </c>
      <c r="AG63" s="43">
        <v>62</v>
      </c>
      <c r="AH63" s="134">
        <f>VLOOKUP($AE63,'Elective Infra-Renal AAA Repair'!$A$7:$AJ$82,33,FALSE)</f>
        <v>89</v>
      </c>
      <c r="AI63" s="134">
        <f>VLOOKUP($AE63,'Elective Infra-Renal AAA Repair'!$A$7:$AJ$82,34,FALSE)</f>
        <v>29</v>
      </c>
      <c r="AJ63" s="134">
        <f>VLOOKUP($AE63,'Elective Infra-Renal AAA Repair'!$A$7:$AJ$82,35,FALSE)</f>
        <v>69</v>
      </c>
      <c r="AK63" s="134">
        <f>VLOOKUP($AE63,'Elective Infra-Renal AAA Repair'!$A$7:$AJ$82,36,FALSE)</f>
        <v>56</v>
      </c>
    </row>
    <row r="64" spans="31:37" x14ac:dyDescent="0.25">
      <c r="AE64" s="43" t="s">
        <v>76</v>
      </c>
      <c r="AF64" s="43" t="s">
        <v>214</v>
      </c>
      <c r="AG64" s="43">
        <v>63</v>
      </c>
      <c r="AH64" s="134">
        <f>VLOOKUP($AE64,'Elective Infra-Renal AAA Repair'!$A$7:$AJ$82,33,FALSE)</f>
        <v>90</v>
      </c>
      <c r="AI64" s="134">
        <f>VLOOKUP($AE64,'Elective Infra-Renal AAA Repair'!$A$7:$AJ$82,34,FALSE)</f>
        <v>49</v>
      </c>
      <c r="AJ64" s="134">
        <f>VLOOKUP($AE64,'Elective Infra-Renal AAA Repair'!$A$7:$AJ$82,35,FALSE)</f>
        <v>45</v>
      </c>
      <c r="AK64" s="134">
        <f>VLOOKUP($AE64,'Elective Infra-Renal AAA Repair'!$A$7:$AJ$82,36,FALSE)</f>
        <v>56</v>
      </c>
    </row>
    <row r="65" spans="31:37" x14ac:dyDescent="0.25">
      <c r="AE65" s="43" t="s">
        <v>101</v>
      </c>
      <c r="AF65" s="43" t="s">
        <v>102</v>
      </c>
      <c r="AG65" s="43">
        <v>64</v>
      </c>
      <c r="AH65" s="134">
        <f>VLOOKUP($AE65,'Elective Infra-Renal AAA Repair'!$A$7:$AJ$82,33,FALSE)</f>
        <v>91</v>
      </c>
      <c r="AI65" s="134">
        <f>VLOOKUP($AE65,'Elective Infra-Renal AAA Repair'!$A$7:$AJ$82,34,FALSE)</f>
        <v>40</v>
      </c>
      <c r="AJ65" s="134">
        <f>VLOOKUP($AE65,'Elective Infra-Renal AAA Repair'!$A$7:$AJ$82,35,FALSE)</f>
        <v>30</v>
      </c>
      <c r="AK65" s="134">
        <f>VLOOKUP($AE65,'Elective Infra-Renal AAA Repair'!$A$7:$AJ$82,36,FALSE)</f>
        <v>56</v>
      </c>
    </row>
    <row r="66" spans="31:37" x14ac:dyDescent="0.25">
      <c r="AE66" s="43" t="s">
        <v>37</v>
      </c>
      <c r="AF66" s="43" t="s">
        <v>38</v>
      </c>
      <c r="AG66" s="43">
        <v>65</v>
      </c>
      <c r="AH66" s="134">
        <f>VLOOKUP($AE66,'Elective Infra-Renal AAA Repair'!$A$7:$AJ$82,33,FALSE)</f>
        <v>94</v>
      </c>
      <c r="AI66" s="134">
        <f>VLOOKUP($AE66,'Elective Infra-Renal AAA Repair'!$A$7:$AJ$82,34,FALSE)</f>
        <v>54</v>
      </c>
      <c r="AJ66" s="134">
        <f>VLOOKUP($AE66,'Elective Infra-Renal AAA Repair'!$A$7:$AJ$82,35,FALSE)</f>
        <v>38</v>
      </c>
      <c r="AK66" s="134">
        <f>VLOOKUP($AE66,'Elective Infra-Renal AAA Repair'!$A$7:$AJ$82,36,FALSE)</f>
        <v>56</v>
      </c>
    </row>
    <row r="67" spans="31:37" x14ac:dyDescent="0.25">
      <c r="AE67" s="43" t="s">
        <v>150</v>
      </c>
      <c r="AF67" s="43" t="s">
        <v>151</v>
      </c>
      <c r="AG67" s="43">
        <v>66</v>
      </c>
      <c r="AH67" s="134">
        <f>VLOOKUP($AE67,'Elective Infra-Renal AAA Repair'!$A$7:$AJ$82,33,FALSE)</f>
        <v>96</v>
      </c>
      <c r="AI67" s="134">
        <f>VLOOKUP($AE67,'Elective Infra-Renal AAA Repair'!$A$7:$AJ$82,34,FALSE)</f>
        <v>28</v>
      </c>
      <c r="AJ67" s="134">
        <f>VLOOKUP($AE67,'Elective Infra-Renal AAA Repair'!$A$7:$AJ$82,35,FALSE)</f>
        <v>35</v>
      </c>
      <c r="AK67" s="134">
        <f>VLOOKUP($AE67,'Elective Infra-Renal AAA Repair'!$A$7:$AJ$82,36,FALSE)</f>
        <v>56</v>
      </c>
    </row>
    <row r="68" spans="31:37" x14ac:dyDescent="0.25">
      <c r="AE68" s="43" t="s">
        <v>95</v>
      </c>
      <c r="AF68" s="43" t="s">
        <v>96</v>
      </c>
      <c r="AG68" s="43">
        <v>67</v>
      </c>
      <c r="AH68" s="134">
        <f>VLOOKUP($AE68,'Elective Infra-Renal AAA Repair'!$A$7:$AJ$82,33,FALSE)</f>
        <v>103</v>
      </c>
      <c r="AI68" s="134">
        <f>VLOOKUP($AE68,'Elective Infra-Renal AAA Repair'!$A$7:$AJ$82,34,FALSE)</f>
        <v>20</v>
      </c>
      <c r="AJ68" s="134">
        <f>VLOOKUP($AE68,'Elective Infra-Renal AAA Repair'!$A$7:$AJ$82,35,FALSE)</f>
        <v>64</v>
      </c>
      <c r="AK68" s="134">
        <f>VLOOKUP($AE68,'Elective Infra-Renal AAA Repair'!$A$7:$AJ$82,36,FALSE)</f>
        <v>56</v>
      </c>
    </row>
    <row r="69" spans="31:37" x14ac:dyDescent="0.25">
      <c r="AE69" s="43" t="s">
        <v>120</v>
      </c>
      <c r="AF69" s="43" t="s">
        <v>612</v>
      </c>
      <c r="AG69" s="43">
        <v>68</v>
      </c>
      <c r="AH69" s="134">
        <f>VLOOKUP($AE69,'Elective Infra-Renal AAA Repair'!$A$7:$AJ$82,33,FALSE)</f>
        <v>108</v>
      </c>
      <c r="AI69" s="134">
        <f>VLOOKUP($AE69,'Elective Infra-Renal AAA Repair'!$A$7:$AJ$82,34,FALSE)</f>
        <v>32</v>
      </c>
      <c r="AJ69" s="134">
        <f>VLOOKUP($AE69,'Elective Infra-Renal AAA Repair'!$A$7:$AJ$82,35,FALSE)</f>
        <v>66</v>
      </c>
      <c r="AK69" s="134">
        <f>VLOOKUP($AE69,'Elective Infra-Renal AAA Repair'!$A$7:$AJ$82,36,FALSE)</f>
        <v>56</v>
      </c>
    </row>
    <row r="70" spans="31:37" x14ac:dyDescent="0.25">
      <c r="AE70" s="43" t="s">
        <v>7</v>
      </c>
      <c r="AF70" s="43" t="s">
        <v>616</v>
      </c>
      <c r="AG70" s="43">
        <v>69</v>
      </c>
      <c r="AH70" s="134">
        <f>VLOOKUP($AE70,'Elective Infra-Renal AAA Repair'!$A$7:$AJ$82,33,FALSE)</f>
        <v>111</v>
      </c>
      <c r="AI70" s="134">
        <f>VLOOKUP($AE70,'Elective Infra-Renal AAA Repair'!$A$7:$AJ$82,34,FALSE)</f>
        <v>69</v>
      </c>
      <c r="AJ70" s="134">
        <f>VLOOKUP($AE70,'Elective Infra-Renal AAA Repair'!$A$7:$AJ$82,35,FALSE)</f>
        <v>37</v>
      </c>
      <c r="AK70" s="134">
        <f>VLOOKUP($AE70,'Elective Infra-Renal AAA Repair'!$A$7:$AJ$82,36,FALSE)</f>
        <v>56</v>
      </c>
    </row>
    <row r="71" spans="31:37" x14ac:dyDescent="0.25">
      <c r="AE71" s="43" t="s">
        <v>180</v>
      </c>
      <c r="AF71" s="43" t="s">
        <v>181</v>
      </c>
      <c r="AG71" s="43">
        <v>70</v>
      </c>
      <c r="AH71" s="134">
        <f>VLOOKUP($AE71,'Elective Infra-Renal AAA Repair'!$A$7:$AJ$82,33,FALSE)</f>
        <v>114</v>
      </c>
      <c r="AI71" s="134">
        <f>VLOOKUP($AE71,'Elective Infra-Renal AAA Repair'!$A$7:$AJ$82,34,FALSE)</f>
        <v>47</v>
      </c>
      <c r="AJ71" s="134">
        <f>VLOOKUP($AE71,'Elective Infra-Renal AAA Repair'!$A$7:$AJ$82,35,FALSE)</f>
        <v>98</v>
      </c>
      <c r="AK71" s="134">
        <f>VLOOKUP($AE71,'Elective Infra-Renal AAA Repair'!$A$7:$AJ$82,36,FALSE)</f>
        <v>56</v>
      </c>
    </row>
    <row r="72" spans="31:37" x14ac:dyDescent="0.25">
      <c r="AE72" s="43" t="s">
        <v>39</v>
      </c>
      <c r="AF72" s="43" t="s">
        <v>215</v>
      </c>
      <c r="AG72" s="43">
        <v>71</v>
      </c>
      <c r="AH72" s="134">
        <f>VLOOKUP($AE72,'Elective Infra-Renal AAA Repair'!$A$7:$AJ$82,33,FALSE)</f>
        <v>122</v>
      </c>
      <c r="AI72" s="134">
        <f>VLOOKUP($AE72,'Elective Infra-Renal AAA Repair'!$A$7:$AJ$82,34,FALSE)</f>
        <v>57</v>
      </c>
      <c r="AJ72" s="134">
        <f>VLOOKUP($AE72,'Elective Infra-Renal AAA Repair'!$A$7:$AJ$82,35,FALSE)</f>
        <v>68</v>
      </c>
      <c r="AK72" s="134">
        <f>VLOOKUP($AE72,'Elective Infra-Renal AAA Repair'!$A$7:$AJ$82,36,FALSE)</f>
        <v>56</v>
      </c>
    </row>
    <row r="73" spans="31:37" x14ac:dyDescent="0.25">
      <c r="AE73" s="43" t="s">
        <v>46</v>
      </c>
      <c r="AF73" s="43" t="s">
        <v>619</v>
      </c>
      <c r="AG73" s="43">
        <v>72</v>
      </c>
      <c r="AH73" s="134">
        <f>VLOOKUP($AE73,'Elective Infra-Renal AAA Repair'!$A$7:$AJ$82,33,FALSE)</f>
        <v>128</v>
      </c>
      <c r="AI73" s="134">
        <f>VLOOKUP($AE73,'Elective Infra-Renal AAA Repair'!$A$7:$AJ$82,34,FALSE)</f>
        <v>71</v>
      </c>
      <c r="AJ73" s="134">
        <f>VLOOKUP($AE73,'Elective Infra-Renal AAA Repair'!$A$7:$AJ$82,35,FALSE)</f>
        <v>58</v>
      </c>
      <c r="AK73" s="134">
        <f>VLOOKUP($AE73,'Elective Infra-Renal AAA Repair'!$A$7:$AJ$82,36,FALSE)</f>
        <v>56</v>
      </c>
    </row>
    <row r="74" spans="31:37" x14ac:dyDescent="0.25">
      <c r="AE74" s="43" t="s">
        <v>74</v>
      </c>
      <c r="AF74" s="43" t="s">
        <v>75</v>
      </c>
      <c r="AG74" s="43">
        <v>73</v>
      </c>
      <c r="AH74" s="134" t="str">
        <f>VLOOKUP($AE74,'Elective Infra-Renal AAA Repair'!$A$7:$AJ$82,33,FALSE)</f>
        <v>N/A</v>
      </c>
      <c r="AI74" s="134" t="e">
        <f>VLOOKUP($AE74,'Elective Infra-Renal AAA Repair'!$A$7:$AJ$82,34,FALSE)</f>
        <v>#VALUE!</v>
      </c>
      <c r="AJ74" s="134" t="e">
        <f>VLOOKUP($AE74,'Elective Infra-Renal AAA Repair'!$A$7:$AJ$82,35,FALSE)</f>
        <v>#VALUE!</v>
      </c>
      <c r="AK74" s="134">
        <f>VLOOKUP($AE74,'Elective Infra-Renal AAA Repair'!$A$7:$AJ$82,36,FALSE)</f>
        <v>56</v>
      </c>
    </row>
    <row r="75" spans="31:37" x14ac:dyDescent="0.25">
      <c r="AE75" s="43" t="s">
        <v>160</v>
      </c>
      <c r="AF75" s="43" t="s">
        <v>161</v>
      </c>
      <c r="AG75" s="43">
        <v>74</v>
      </c>
      <c r="AH75" s="134" t="str">
        <f>VLOOKUP($AE75,'Elective Infra-Renal AAA Repair'!$A$7:$AJ$82,33,FALSE)</f>
        <v>N/A</v>
      </c>
      <c r="AI75" s="134" t="e">
        <f>VLOOKUP($AE75,'Elective Infra-Renal AAA Repair'!$A$7:$AJ$82,34,FALSE)</f>
        <v>#VALUE!</v>
      </c>
      <c r="AJ75" s="134" t="e">
        <f>VLOOKUP($AE75,'Elective Infra-Renal AAA Repair'!$A$7:$AJ$82,35,FALSE)</f>
        <v>#VALUE!</v>
      </c>
      <c r="AK75" s="134">
        <f>VLOOKUP($AE75,'Elective Infra-Renal AAA Repair'!$A$7:$AJ$82,36,FALSE)</f>
        <v>56</v>
      </c>
    </row>
    <row r="76" spans="31:37" x14ac:dyDescent="0.25">
      <c r="AE76" s="43" t="s">
        <v>170</v>
      </c>
      <c r="AF76" s="43" t="s">
        <v>171</v>
      </c>
      <c r="AG76" s="43">
        <v>75</v>
      </c>
      <c r="AH76" s="134" t="str">
        <f>VLOOKUP($AE76,'Elective Infra-Renal AAA Repair'!$A$7:$AJ$82,33,FALSE)</f>
        <v>N/A</v>
      </c>
      <c r="AI76" s="134" t="e">
        <f>VLOOKUP($AE76,'Elective Infra-Renal AAA Repair'!$A$7:$AJ$82,34,FALSE)</f>
        <v>#VALUE!</v>
      </c>
      <c r="AJ76" s="134" t="e">
        <f>VLOOKUP($AE76,'Elective Infra-Renal AAA Repair'!$A$7:$AJ$82,35,FALSE)</f>
        <v>#VALUE!</v>
      </c>
      <c r="AK76" s="134">
        <f>VLOOKUP($AE76,'Elective Infra-Renal AAA Repair'!$A$7:$AJ$82,36,FALSE)</f>
        <v>56</v>
      </c>
    </row>
    <row r="77" spans="31:37" x14ac:dyDescent="0.25">
      <c r="AE77" s="49"/>
      <c r="AF77" s="130"/>
      <c r="AG77" s="43"/>
      <c r="AH77" s="134"/>
      <c r="AI77" s="134"/>
      <c r="AJ77" s="134"/>
      <c r="AK77" s="134"/>
    </row>
    <row r="78" spans="31:37" x14ac:dyDescent="0.25">
      <c r="AE78" s="49"/>
      <c r="AF78" s="130"/>
    </row>
  </sheetData>
  <mergeCells count="1">
    <mergeCell ref="B30:C30"/>
  </mergeCells>
  <pageMargins left="0.7" right="0.7" top="0.75" bottom="0.75" header="0.3" footer="0.3"/>
  <pageSetup paperSize="9" orientation="portrait" r:id="rId1"/>
  <ignoredErrors>
    <ignoredError sqref="E4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'S:\NatlVasReg\2018 Annual Report\Ideas for Appendices\Newcastle Demo Apr 2019\[NVR NHS Organisation Data Viewer.xlsx]AAA 2018 Report'!#REF!</xm:f>
          </x14:formula1>
          <xm:sqref>C1</xm:sqref>
        </x14:dataValidation>
        <x14:dataValidation type="list" allowBlank="1" showInputMessage="1" showErrorMessage="1">
          <x14:formula1>
            <xm:f>'Elective Infra-Renal AAA Repair'!$B$8:$B$82</xm:f>
          </x14:formula1>
          <xm:sqref>B1</xm:sqref>
        </x14:dataValidation>
        <x14:dataValidation type="list" allowBlank="1" showInputMessage="1" showErrorMessage="1">
          <x14:formula1>
            <xm:f>'Elective Infra-Renal AAA Repair'!$E$7:$H$7</xm:f>
          </x14:formula1>
          <xm:sqref>L33</xm:sqref>
        </x14:dataValidation>
        <x14:dataValidation type="list" allowBlank="1" showInputMessage="1" showErrorMessage="1">
          <x14:formula1>
            <xm:f>'Elective Infra-Renal AAA Repair'!$I$7:$J$7</xm:f>
          </x14:formula1>
          <xm:sqref>L3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D2" sqref="D2"/>
    </sheetView>
  </sheetViews>
  <sheetFormatPr defaultRowHeight="15" x14ac:dyDescent="0.25"/>
  <cols>
    <col min="1" max="1" width="15.28515625" bestFit="1" customWidth="1"/>
    <col min="2" max="2" width="11" bestFit="1" customWidth="1"/>
    <col min="3" max="4" width="8.5703125" bestFit="1" customWidth="1"/>
    <col min="6" max="6" width="9.140625" style="19"/>
  </cols>
  <sheetData>
    <row r="1" spans="1:7" x14ac:dyDescent="0.25">
      <c r="A1" t="s">
        <v>415</v>
      </c>
      <c r="B1" t="s">
        <v>416</v>
      </c>
      <c r="C1" t="s">
        <v>418</v>
      </c>
      <c r="D1" t="s">
        <v>419</v>
      </c>
      <c r="E1" t="s">
        <v>611</v>
      </c>
      <c r="F1" s="19" t="s">
        <v>1078</v>
      </c>
      <c r="G1" t="s">
        <v>1077</v>
      </c>
    </row>
    <row r="2" spans="1:7" x14ac:dyDescent="0.25">
      <c r="A2" t="s">
        <v>575</v>
      </c>
      <c r="B2">
        <v>0</v>
      </c>
      <c r="C2" s="51">
        <v>0.6</v>
      </c>
      <c r="D2" s="19">
        <v>4.5999999999999999E-2</v>
      </c>
      <c r="E2" s="51"/>
      <c r="F2" s="51"/>
      <c r="G2" s="51">
        <v>0.6</v>
      </c>
    </row>
    <row r="3" spans="1:7" x14ac:dyDescent="0.25">
      <c r="A3" t="s">
        <v>575</v>
      </c>
      <c r="B3">
        <v>7</v>
      </c>
      <c r="C3" s="51">
        <v>0.52789028169999996</v>
      </c>
      <c r="D3" s="19">
        <v>4.5999999999999999E-2</v>
      </c>
      <c r="E3" s="51"/>
      <c r="F3" s="51"/>
      <c r="G3" s="51">
        <v>0.33889999999999998</v>
      </c>
    </row>
    <row r="4" spans="1:7" x14ac:dyDescent="0.25">
      <c r="A4" t="s">
        <v>575</v>
      </c>
      <c r="B4">
        <v>8</v>
      </c>
      <c r="C4" s="51">
        <v>0.4788088989</v>
      </c>
      <c r="D4" s="19">
        <v>4.5999999999999999E-2</v>
      </c>
      <c r="E4" s="51"/>
      <c r="F4" s="51"/>
      <c r="G4" s="51">
        <v>0.31780000000000003</v>
      </c>
    </row>
    <row r="5" spans="1:7" x14ac:dyDescent="0.25">
      <c r="A5" t="s">
        <v>575</v>
      </c>
      <c r="B5">
        <v>11</v>
      </c>
      <c r="C5" s="51">
        <v>0.37542961120000001</v>
      </c>
      <c r="D5" s="19">
        <v>4.5999999999999999E-2</v>
      </c>
      <c r="E5" s="51"/>
      <c r="F5" s="51"/>
      <c r="G5" s="51">
        <v>0.25740000000000002</v>
      </c>
    </row>
    <row r="6" spans="1:7" x14ac:dyDescent="0.25">
      <c r="A6" t="s">
        <v>575</v>
      </c>
      <c r="B6">
        <v>12</v>
      </c>
      <c r="C6" s="51">
        <v>0.36866561889999999</v>
      </c>
      <c r="D6" s="19">
        <v>4.5999999999999999E-2</v>
      </c>
      <c r="E6" s="51"/>
      <c r="F6" s="51"/>
      <c r="G6" s="51">
        <v>0.24110000000000001</v>
      </c>
    </row>
    <row r="7" spans="1:7" x14ac:dyDescent="0.25">
      <c r="A7" t="s">
        <v>575</v>
      </c>
      <c r="B7">
        <v>22</v>
      </c>
      <c r="C7" s="51">
        <v>0.2610245705</v>
      </c>
      <c r="D7" s="19">
        <v>4.5999999999999999E-2</v>
      </c>
      <c r="E7" s="51"/>
      <c r="F7" s="51"/>
      <c r="G7" s="51">
        <v>0.17580000000000001</v>
      </c>
    </row>
    <row r="8" spans="1:7" x14ac:dyDescent="0.25">
      <c r="A8" t="s">
        <v>575</v>
      </c>
      <c r="B8">
        <v>24</v>
      </c>
      <c r="C8" s="51">
        <v>0.24559246060000006</v>
      </c>
      <c r="D8" s="19">
        <v>4.5999999999999999E-2</v>
      </c>
      <c r="E8" s="51"/>
      <c r="F8" s="51"/>
      <c r="G8" s="51">
        <v>0.16539999999999999</v>
      </c>
    </row>
    <row r="9" spans="1:7" x14ac:dyDescent="0.25">
      <c r="A9" t="s">
        <v>575</v>
      </c>
      <c r="B9">
        <v>25</v>
      </c>
      <c r="C9" s="51">
        <v>0.23799472809999997</v>
      </c>
      <c r="D9" s="19">
        <v>4.5999999999999999E-2</v>
      </c>
      <c r="E9" s="51"/>
      <c r="F9" s="51"/>
      <c r="G9" s="51">
        <v>0.16209999999999999</v>
      </c>
    </row>
    <row r="10" spans="1:7" x14ac:dyDescent="0.25">
      <c r="A10" t="s">
        <v>575</v>
      </c>
      <c r="B10">
        <v>27</v>
      </c>
      <c r="C10" s="51">
        <v>0.22982660289999998</v>
      </c>
      <c r="D10" s="19">
        <v>4.5999999999999999E-2</v>
      </c>
      <c r="E10" s="51"/>
      <c r="F10" s="51"/>
      <c r="G10" s="51">
        <v>0.1603</v>
      </c>
    </row>
    <row r="11" spans="1:7" x14ac:dyDescent="0.25">
      <c r="A11" t="s">
        <v>575</v>
      </c>
      <c r="B11">
        <v>28</v>
      </c>
      <c r="C11" s="51">
        <v>0.22797805789999998</v>
      </c>
      <c r="D11" s="19">
        <v>4.5999999999999999E-2</v>
      </c>
      <c r="E11" s="51"/>
      <c r="F11" s="51"/>
      <c r="G11" s="51">
        <v>0.1585</v>
      </c>
    </row>
    <row r="12" spans="1:7" x14ac:dyDescent="0.25">
      <c r="A12" t="s">
        <v>575</v>
      </c>
      <c r="B12">
        <v>32</v>
      </c>
      <c r="C12" s="51">
        <v>0.2129270744</v>
      </c>
      <c r="D12" s="19">
        <v>4.5999999999999999E-2</v>
      </c>
      <c r="E12" s="51"/>
      <c r="F12" s="51"/>
      <c r="G12" s="51">
        <v>0.14879999999999999</v>
      </c>
    </row>
    <row r="13" spans="1:7" x14ac:dyDescent="0.25">
      <c r="A13" t="s">
        <v>575</v>
      </c>
      <c r="B13">
        <v>37</v>
      </c>
      <c r="C13" s="51">
        <v>0.19723495479999997</v>
      </c>
      <c r="D13" s="19">
        <v>4.5999999999999999E-2</v>
      </c>
      <c r="E13" s="51"/>
      <c r="F13" s="51"/>
      <c r="G13" s="51">
        <v>0.13689999999999999</v>
      </c>
    </row>
    <row r="14" spans="1:7" x14ac:dyDescent="0.25">
      <c r="A14" t="s">
        <v>575</v>
      </c>
      <c r="B14">
        <v>39</v>
      </c>
      <c r="C14" s="51">
        <v>0.19376581189999997</v>
      </c>
      <c r="D14" s="19">
        <v>4.5999999999999999E-2</v>
      </c>
      <c r="E14" s="51"/>
      <c r="F14" s="51"/>
      <c r="G14" s="51">
        <v>0.13600000000000001</v>
      </c>
    </row>
    <row r="15" spans="1:7" x14ac:dyDescent="0.25">
      <c r="A15" t="s">
        <v>575</v>
      </c>
      <c r="B15">
        <v>44</v>
      </c>
      <c r="C15" s="51">
        <v>0.18028430940000006</v>
      </c>
      <c r="D15" s="19">
        <v>4.5999999999999999E-2</v>
      </c>
      <c r="E15" s="51"/>
      <c r="F15" s="51"/>
      <c r="G15" s="51">
        <v>0.12989999999999999</v>
      </c>
    </row>
    <row r="16" spans="1:7" x14ac:dyDescent="0.25">
      <c r="A16" t="s">
        <v>575</v>
      </c>
      <c r="B16">
        <v>47</v>
      </c>
      <c r="C16" s="51">
        <v>0.17572174070000002</v>
      </c>
      <c r="D16" s="19">
        <v>4.5999999999999999E-2</v>
      </c>
      <c r="E16" s="51"/>
      <c r="F16" s="51"/>
      <c r="G16" s="51">
        <v>0.12529999999999999</v>
      </c>
    </row>
    <row r="17" spans="1:7" x14ac:dyDescent="0.25">
      <c r="A17" t="s">
        <v>575</v>
      </c>
      <c r="B17">
        <v>52</v>
      </c>
      <c r="C17" s="51">
        <v>0.16863260269999997</v>
      </c>
      <c r="D17" s="19">
        <v>4.5999999999999999E-2</v>
      </c>
      <c r="E17" s="51"/>
      <c r="F17" s="51"/>
      <c r="G17" s="51">
        <v>0.1211</v>
      </c>
    </row>
    <row r="18" spans="1:7" x14ac:dyDescent="0.25">
      <c r="A18" t="s">
        <v>575</v>
      </c>
      <c r="B18">
        <v>58</v>
      </c>
      <c r="C18" s="51">
        <v>0.15989253039999995</v>
      </c>
      <c r="D18" s="19">
        <v>4.5999999999999999E-2</v>
      </c>
      <c r="E18" s="51"/>
      <c r="F18" s="51"/>
      <c r="G18" s="51">
        <v>0.1164</v>
      </c>
    </row>
    <row r="19" spans="1:7" x14ac:dyDescent="0.25">
      <c r="A19" t="s">
        <v>575</v>
      </c>
      <c r="B19">
        <v>61</v>
      </c>
      <c r="C19" s="51">
        <v>0.15732195849999997</v>
      </c>
      <c r="D19" s="19">
        <v>4.5999999999999999E-2</v>
      </c>
      <c r="E19" s="51"/>
      <c r="F19" s="51"/>
      <c r="G19" s="51">
        <v>0.1134</v>
      </c>
    </row>
    <row r="20" spans="1:7" x14ac:dyDescent="0.25">
      <c r="A20" t="s">
        <v>575</v>
      </c>
      <c r="B20">
        <v>64</v>
      </c>
      <c r="C20" s="51">
        <v>0.15342964170000001</v>
      </c>
      <c r="D20" s="19">
        <v>4.5999999999999999E-2</v>
      </c>
      <c r="E20" s="51"/>
      <c r="F20" s="51"/>
      <c r="G20" s="51">
        <v>0.1114</v>
      </c>
    </row>
    <row r="21" spans="1:7" x14ac:dyDescent="0.25">
      <c r="A21" t="s">
        <v>575</v>
      </c>
      <c r="B21">
        <v>72</v>
      </c>
      <c r="C21" s="51">
        <v>0.14641493800000005</v>
      </c>
      <c r="D21" s="19">
        <v>4.5999999999999999E-2</v>
      </c>
      <c r="E21" s="51"/>
      <c r="F21" s="51"/>
      <c r="G21" s="51">
        <v>0.1076</v>
      </c>
    </row>
    <row r="22" spans="1:7" x14ac:dyDescent="0.25">
      <c r="A22" t="s">
        <v>575</v>
      </c>
      <c r="B22">
        <v>76</v>
      </c>
      <c r="C22" s="51">
        <v>0.14256441120000005</v>
      </c>
      <c r="D22" s="19">
        <v>4.5999999999999999E-2</v>
      </c>
      <c r="E22" s="51"/>
      <c r="F22" s="51"/>
      <c r="G22" s="51">
        <v>0.1047</v>
      </c>
    </row>
    <row r="23" spans="1:7" x14ac:dyDescent="0.25">
      <c r="A23" t="s">
        <v>575</v>
      </c>
      <c r="B23">
        <v>79</v>
      </c>
      <c r="C23" s="51">
        <v>0.13911025050000006</v>
      </c>
      <c r="D23" s="19">
        <v>4.5999999999999999E-2</v>
      </c>
      <c r="E23" s="51"/>
      <c r="F23" s="51">
        <v>1E-4</v>
      </c>
      <c r="G23" s="51">
        <v>0.10390000000000001</v>
      </c>
    </row>
    <row r="24" spans="1:7" x14ac:dyDescent="0.25">
      <c r="A24" t="s">
        <v>575</v>
      </c>
      <c r="B24">
        <v>83</v>
      </c>
      <c r="C24" s="51">
        <v>0.13790822030000002</v>
      </c>
      <c r="D24" s="19">
        <v>4.5999999999999999E-2</v>
      </c>
      <c r="E24" s="51"/>
      <c r="F24" s="51">
        <v>6.9999999999999999E-4</v>
      </c>
      <c r="G24" s="51">
        <v>0.1027</v>
      </c>
    </row>
    <row r="25" spans="1:7" x14ac:dyDescent="0.25">
      <c r="A25" t="s">
        <v>575</v>
      </c>
      <c r="B25">
        <v>86</v>
      </c>
      <c r="C25" s="51">
        <v>0.13598452570000005</v>
      </c>
      <c r="D25" s="19">
        <v>4.5999999999999999E-2</v>
      </c>
      <c r="E25" s="51"/>
      <c r="F25" s="51">
        <v>1.1999999999999999E-3</v>
      </c>
      <c r="G25" s="51">
        <v>0.1014</v>
      </c>
    </row>
    <row r="26" spans="1:7" x14ac:dyDescent="0.25">
      <c r="A26" t="s">
        <v>575</v>
      </c>
      <c r="B26">
        <v>87</v>
      </c>
      <c r="C26" s="51">
        <v>0.13520154000000006</v>
      </c>
      <c r="D26" s="19">
        <v>4.5999999999999999E-2</v>
      </c>
      <c r="E26" s="51"/>
      <c r="F26" s="51">
        <v>1.4E-3</v>
      </c>
      <c r="G26" s="51">
        <v>0.1009</v>
      </c>
    </row>
    <row r="27" spans="1:7" x14ac:dyDescent="0.25">
      <c r="A27" t="s">
        <v>575</v>
      </c>
      <c r="B27">
        <v>88</v>
      </c>
      <c r="C27" s="51">
        <v>0.13436804769999994</v>
      </c>
      <c r="D27" s="19">
        <v>4.5999999999999999E-2</v>
      </c>
      <c r="E27" s="51"/>
      <c r="F27" s="51">
        <v>1.5E-3</v>
      </c>
      <c r="G27" s="51">
        <v>0.1004</v>
      </c>
    </row>
    <row r="28" spans="1:7" x14ac:dyDescent="0.25">
      <c r="A28" t="s">
        <v>575</v>
      </c>
      <c r="B28">
        <v>90</v>
      </c>
      <c r="C28" s="51">
        <v>0.13258629799999994</v>
      </c>
      <c r="D28" s="19">
        <v>4.5999999999999999E-2</v>
      </c>
      <c r="E28" s="51"/>
      <c r="F28" s="51">
        <v>1.9E-3</v>
      </c>
      <c r="G28" s="51">
        <v>9.9299999999999999E-2</v>
      </c>
    </row>
    <row r="29" spans="1:7" x14ac:dyDescent="0.25">
      <c r="A29" t="s">
        <v>575</v>
      </c>
      <c r="B29">
        <v>94</v>
      </c>
      <c r="C29" s="51">
        <v>0.13093845369999996</v>
      </c>
      <c r="D29" s="19">
        <v>4.5999999999999999E-2</v>
      </c>
      <c r="E29" s="51"/>
      <c r="F29" s="51">
        <v>2.5999999999999999E-3</v>
      </c>
      <c r="G29" s="51">
        <v>9.8299999999999998E-2</v>
      </c>
    </row>
    <row r="30" spans="1:7" x14ac:dyDescent="0.25">
      <c r="A30" t="s">
        <v>575</v>
      </c>
      <c r="B30">
        <v>95</v>
      </c>
      <c r="C30" s="51">
        <v>0.13061664579999999</v>
      </c>
      <c r="D30" s="19">
        <v>4.5999999999999999E-2</v>
      </c>
      <c r="E30" s="51"/>
      <c r="F30" s="51">
        <v>2.7000000000000001E-3</v>
      </c>
      <c r="G30" s="51">
        <v>9.8100000000000007E-2</v>
      </c>
    </row>
    <row r="31" spans="1:7" x14ac:dyDescent="0.25">
      <c r="A31" t="s">
        <v>575</v>
      </c>
      <c r="B31">
        <v>98</v>
      </c>
      <c r="C31" s="51">
        <v>0.12916834829999999</v>
      </c>
      <c r="D31" s="19">
        <v>4.5999999999999999E-2</v>
      </c>
      <c r="E31" s="51"/>
      <c r="F31" s="51">
        <v>3.3E-3</v>
      </c>
      <c r="G31" s="51">
        <v>9.7299999999999998E-2</v>
      </c>
    </row>
    <row r="32" spans="1:7" x14ac:dyDescent="0.25">
      <c r="A32" t="s">
        <v>575</v>
      </c>
      <c r="B32">
        <v>104</v>
      </c>
      <c r="C32" s="51">
        <v>0.12499381069999999</v>
      </c>
      <c r="D32" s="19">
        <v>4.5999999999999999E-2</v>
      </c>
      <c r="E32" s="51"/>
      <c r="F32" s="51">
        <v>4.4999999999999997E-3</v>
      </c>
      <c r="G32" s="51">
        <v>9.5100000000000004E-2</v>
      </c>
    </row>
    <row r="33" spans="1:7" x14ac:dyDescent="0.25">
      <c r="A33" t="s">
        <v>575</v>
      </c>
      <c r="B33">
        <v>108</v>
      </c>
      <c r="C33" s="51">
        <v>0.12436899190000006</v>
      </c>
      <c r="D33" s="19">
        <v>4.5999999999999999E-2</v>
      </c>
      <c r="E33" s="51"/>
      <c r="F33" s="51">
        <v>5.4000000000000003E-3</v>
      </c>
      <c r="G33" s="51">
        <v>9.4E-2</v>
      </c>
    </row>
    <row r="34" spans="1:7" x14ac:dyDescent="0.25">
      <c r="A34" t="s">
        <v>575</v>
      </c>
      <c r="B34">
        <v>111</v>
      </c>
      <c r="C34" s="51">
        <v>0.12314918520000007</v>
      </c>
      <c r="D34" s="19">
        <v>4.5999999999999999E-2</v>
      </c>
      <c r="E34" s="51"/>
      <c r="F34" s="51">
        <v>6.1999999999999998E-3</v>
      </c>
      <c r="G34" s="51">
        <v>9.3600000000000003E-2</v>
      </c>
    </row>
    <row r="35" spans="1:7" x14ac:dyDescent="0.25">
      <c r="A35" t="s">
        <v>575</v>
      </c>
      <c r="B35">
        <v>113</v>
      </c>
      <c r="C35" s="51">
        <v>0.1221079254</v>
      </c>
      <c r="D35" s="19">
        <v>4.5999999999999999E-2</v>
      </c>
      <c r="E35" s="51"/>
      <c r="F35" s="51">
        <v>6.7000000000000002E-3</v>
      </c>
      <c r="G35" s="51">
        <v>9.3200000000000005E-2</v>
      </c>
    </row>
    <row r="36" spans="1:7" x14ac:dyDescent="0.25">
      <c r="A36" t="s">
        <v>575</v>
      </c>
      <c r="B36">
        <v>115</v>
      </c>
      <c r="C36" s="51">
        <v>0.1209412193</v>
      </c>
      <c r="D36" s="19">
        <v>4.5999999999999999E-2</v>
      </c>
      <c r="E36" s="51"/>
      <c r="F36" s="51">
        <v>7.1999999999999998E-3</v>
      </c>
      <c r="G36" s="51">
        <v>9.2600000000000002E-2</v>
      </c>
    </row>
    <row r="37" spans="1:7" x14ac:dyDescent="0.25">
      <c r="A37" t="s">
        <v>575</v>
      </c>
      <c r="B37">
        <v>116</v>
      </c>
      <c r="C37" s="51">
        <v>0.12032248499999994</v>
      </c>
      <c r="D37" s="19">
        <v>4.5999999999999999E-2</v>
      </c>
      <c r="E37" s="51"/>
      <c r="F37" s="51">
        <v>7.4999999999999997E-3</v>
      </c>
      <c r="G37" s="51">
        <v>9.2299999999999993E-2</v>
      </c>
    </row>
    <row r="38" spans="1:7" x14ac:dyDescent="0.25">
      <c r="A38" t="s">
        <v>575</v>
      </c>
      <c r="B38">
        <v>120</v>
      </c>
      <c r="C38" s="51">
        <v>0.11945180890000003</v>
      </c>
      <c r="D38" s="19">
        <v>4.5999999999999999E-2</v>
      </c>
      <c r="E38" s="51"/>
      <c r="F38" s="51">
        <v>8.5000000000000006E-3</v>
      </c>
      <c r="G38" s="51">
        <v>9.0999999999999998E-2</v>
      </c>
    </row>
    <row r="39" spans="1:7" x14ac:dyDescent="0.25">
      <c r="A39" t="s">
        <v>575</v>
      </c>
      <c r="B39">
        <v>131</v>
      </c>
      <c r="C39" s="51">
        <v>0.11525654790000005</v>
      </c>
      <c r="D39" s="19">
        <v>4.5999999999999999E-2</v>
      </c>
      <c r="E39" s="51"/>
      <c r="F39" s="51">
        <v>9.4000000000000004E-3</v>
      </c>
      <c r="G39" s="51">
        <v>8.9200000000000002E-2</v>
      </c>
    </row>
    <row r="40" spans="1:7" x14ac:dyDescent="0.25">
      <c r="A40" t="s">
        <v>575</v>
      </c>
      <c r="B40">
        <v>132</v>
      </c>
      <c r="C40" s="51">
        <v>0.11519130709999999</v>
      </c>
      <c r="D40" s="19">
        <v>4.5999999999999999E-2</v>
      </c>
      <c r="E40" s="51"/>
      <c r="F40" s="51">
        <v>9.4999999999999998E-3</v>
      </c>
      <c r="G40" s="51">
        <v>8.8900000000000007E-2</v>
      </c>
    </row>
    <row r="41" spans="1:7" x14ac:dyDescent="0.25">
      <c r="A41" t="s">
        <v>575</v>
      </c>
      <c r="B41">
        <v>136</v>
      </c>
      <c r="C41" s="51">
        <v>0.11438838009999998</v>
      </c>
      <c r="D41" s="19">
        <v>4.5999999999999999E-2</v>
      </c>
      <c r="E41" s="51"/>
      <c r="F41" s="51">
        <v>0.01</v>
      </c>
      <c r="G41" s="51">
        <v>8.7800000000000003E-2</v>
      </c>
    </row>
    <row r="42" spans="1:7" x14ac:dyDescent="0.25">
      <c r="A42" t="s">
        <v>575</v>
      </c>
      <c r="B42">
        <v>138</v>
      </c>
      <c r="C42" s="51">
        <v>0.11374342920000004</v>
      </c>
      <c r="D42" s="19">
        <v>4.5999999999999999E-2</v>
      </c>
      <c r="E42" s="51"/>
      <c r="F42" s="51">
        <v>1.0200000000000001E-2</v>
      </c>
      <c r="G42" s="51">
        <v>8.7400000000000005E-2</v>
      </c>
    </row>
    <row r="43" spans="1:7" x14ac:dyDescent="0.25">
      <c r="A43" t="s">
        <v>575</v>
      </c>
      <c r="B43">
        <v>140</v>
      </c>
      <c r="C43" s="51">
        <v>0.11298411369999997</v>
      </c>
      <c r="D43" s="19">
        <v>4.5999999999999999E-2</v>
      </c>
      <c r="E43" s="51"/>
      <c r="F43" s="51">
        <v>1.0500000000000001E-2</v>
      </c>
      <c r="G43" s="51">
        <v>8.7400000000000005E-2</v>
      </c>
    </row>
    <row r="44" spans="1:7" x14ac:dyDescent="0.25">
      <c r="A44" t="s">
        <v>575</v>
      </c>
      <c r="B44">
        <v>144</v>
      </c>
      <c r="C44" s="51">
        <v>0.1114026165</v>
      </c>
      <c r="D44" s="19">
        <v>4.5999999999999999E-2</v>
      </c>
      <c r="E44" s="51"/>
      <c r="F44" s="51">
        <v>1.0999999999999999E-2</v>
      </c>
      <c r="G44" s="51">
        <v>8.6900000000000005E-2</v>
      </c>
    </row>
    <row r="45" spans="1:7" x14ac:dyDescent="0.25">
      <c r="A45" t="s">
        <v>575</v>
      </c>
      <c r="B45">
        <v>146</v>
      </c>
      <c r="C45" s="51">
        <v>0.1112953091</v>
      </c>
      <c r="D45" s="19">
        <v>4.5999999999999999E-2</v>
      </c>
      <c r="E45" s="51"/>
      <c r="F45" s="51">
        <v>1.1299999999999999E-2</v>
      </c>
      <c r="G45" s="51">
        <v>8.6499999999999994E-2</v>
      </c>
    </row>
    <row r="46" spans="1:7" x14ac:dyDescent="0.25">
      <c r="A46" t="s">
        <v>575</v>
      </c>
      <c r="B46">
        <v>147</v>
      </c>
      <c r="C46" s="51">
        <v>0.11116699220000001</v>
      </c>
      <c r="D46" s="19">
        <v>4.5999999999999999E-2</v>
      </c>
      <c r="E46" s="51"/>
      <c r="F46" s="51">
        <v>1.15E-2</v>
      </c>
      <c r="G46" s="51">
        <v>8.6300000000000002E-2</v>
      </c>
    </row>
    <row r="47" spans="1:7" x14ac:dyDescent="0.25">
      <c r="A47" t="s">
        <v>575</v>
      </c>
      <c r="B47">
        <v>150</v>
      </c>
      <c r="C47" s="51">
        <v>0.11054471019999994</v>
      </c>
      <c r="D47" s="19">
        <v>4.5999999999999999E-2</v>
      </c>
      <c r="E47" s="51">
        <v>1.554000000000144E-4</v>
      </c>
      <c r="F47" s="51">
        <v>1.21E-2</v>
      </c>
      <c r="G47" s="51">
        <v>8.5699999999999998E-2</v>
      </c>
    </row>
    <row r="48" spans="1:7" x14ac:dyDescent="0.25">
      <c r="A48" t="s">
        <v>575</v>
      </c>
      <c r="B48">
        <v>154</v>
      </c>
      <c r="C48" s="51">
        <v>0.10930718420000005</v>
      </c>
      <c r="D48" s="19">
        <v>4.5999999999999999E-2</v>
      </c>
      <c r="E48" s="51">
        <v>3.5924840000006953E-4</v>
      </c>
      <c r="F48" s="51">
        <v>1.29E-2</v>
      </c>
      <c r="G48" s="51">
        <v>8.4900000000000003E-2</v>
      </c>
    </row>
    <row r="49" spans="1:7" x14ac:dyDescent="0.25">
      <c r="A49" t="s">
        <v>575</v>
      </c>
      <c r="B49">
        <v>162</v>
      </c>
      <c r="C49" s="51">
        <v>0.10764763830000007</v>
      </c>
      <c r="D49" s="19">
        <v>4.5999999999999999E-2</v>
      </c>
      <c r="E49" s="51">
        <v>8.3471369999998045E-4</v>
      </c>
      <c r="F49" s="51">
        <v>1.3299999999999999E-2</v>
      </c>
      <c r="G49" s="51">
        <v>8.4199999999999997E-2</v>
      </c>
    </row>
    <row r="50" spans="1:7" x14ac:dyDescent="0.25">
      <c r="A50" t="s">
        <v>575</v>
      </c>
      <c r="B50">
        <v>169</v>
      </c>
      <c r="C50" s="51">
        <v>0.10585054400000005</v>
      </c>
      <c r="D50" s="19">
        <v>4.5999999999999999E-2</v>
      </c>
      <c r="E50" s="51">
        <v>1.3500095999999927E-3</v>
      </c>
      <c r="F50" s="51">
        <v>1.38E-2</v>
      </c>
      <c r="G50" s="51">
        <v>8.2799999999999999E-2</v>
      </c>
    </row>
    <row r="51" spans="1:7" x14ac:dyDescent="0.25">
      <c r="A51" t="s">
        <v>575</v>
      </c>
      <c r="B51">
        <v>176</v>
      </c>
      <c r="C51" s="51">
        <v>0.10473158839999996</v>
      </c>
      <c r="D51" s="19">
        <v>4.5999999999999999E-2</v>
      </c>
      <c r="E51" s="51">
        <v>1.9922094000000357E-3</v>
      </c>
      <c r="F51" s="51">
        <v>1.44E-2</v>
      </c>
      <c r="G51" s="51">
        <v>8.2400000000000001E-2</v>
      </c>
    </row>
    <row r="52" spans="1:7" x14ac:dyDescent="0.25">
      <c r="A52" t="s">
        <v>575</v>
      </c>
      <c r="B52">
        <v>183</v>
      </c>
      <c r="C52" s="51">
        <v>0.10317056660000005</v>
      </c>
      <c r="D52" s="19">
        <v>4.5999999999999999E-2</v>
      </c>
      <c r="E52" s="51">
        <v>2.8040253999999719E-3</v>
      </c>
      <c r="F52" s="51">
        <v>1.5299999999999999E-2</v>
      </c>
      <c r="G52" s="51">
        <v>8.14E-2</v>
      </c>
    </row>
    <row r="53" spans="1:7" x14ac:dyDescent="0.25">
      <c r="A53" t="s">
        <v>575</v>
      </c>
      <c r="B53">
        <v>188</v>
      </c>
      <c r="C53" s="51">
        <v>0.10235694890000005</v>
      </c>
      <c r="D53" s="19">
        <v>4.5999999999999999E-2</v>
      </c>
      <c r="E53" s="51">
        <v>3.5179847000000562E-3</v>
      </c>
      <c r="F53" s="51">
        <v>1.6E-2</v>
      </c>
      <c r="G53" s="51">
        <v>8.09E-2</v>
      </c>
    </row>
    <row r="54" spans="1:7" x14ac:dyDescent="0.25">
      <c r="A54" t="s">
        <v>575</v>
      </c>
      <c r="B54">
        <v>204</v>
      </c>
      <c r="C54" s="51">
        <v>9.9877767600000028E-2</v>
      </c>
      <c r="D54" s="19">
        <v>4.5999999999999999E-2</v>
      </c>
      <c r="E54" s="51">
        <v>5.3117113999999787E-3</v>
      </c>
      <c r="F54" s="51">
        <v>1.67E-2</v>
      </c>
      <c r="G54" s="51">
        <v>7.9299999999999995E-2</v>
      </c>
    </row>
    <row r="55" spans="1:7" x14ac:dyDescent="0.25">
      <c r="A55" t="s">
        <v>575</v>
      </c>
      <c r="B55">
        <v>206</v>
      </c>
      <c r="C55" s="51">
        <v>9.9636983900000045E-2</v>
      </c>
      <c r="D55" s="19">
        <v>4.5999999999999999E-2</v>
      </c>
      <c r="E55" s="51">
        <v>5.3878700999999297E-3</v>
      </c>
      <c r="F55" s="51">
        <v>1.6899999999999998E-2</v>
      </c>
      <c r="G55" s="51">
        <v>7.9200000000000007E-2</v>
      </c>
    </row>
    <row r="56" spans="1:7" x14ac:dyDescent="0.25">
      <c r="A56" t="s">
        <v>575</v>
      </c>
      <c r="B56">
        <v>207</v>
      </c>
      <c r="C56" s="51">
        <v>9.9487762499999952E-2</v>
      </c>
      <c r="D56" s="19">
        <v>4.5999999999999999E-2</v>
      </c>
      <c r="E56" s="51">
        <v>5.4287392000000522E-3</v>
      </c>
      <c r="F56" s="51">
        <v>1.6899999999999998E-2</v>
      </c>
      <c r="G56" s="51">
        <v>7.9100000000000004E-2</v>
      </c>
    </row>
    <row r="57" spans="1:7" x14ac:dyDescent="0.25">
      <c r="A57" t="s">
        <v>575</v>
      </c>
      <c r="B57">
        <v>217</v>
      </c>
      <c r="C57" s="51">
        <v>9.7888212200000033E-2</v>
      </c>
      <c r="D57" s="19">
        <v>4.5999999999999999E-2</v>
      </c>
      <c r="E57" s="51">
        <v>5.9569401000000256E-3</v>
      </c>
      <c r="F57" s="51">
        <v>1.7899999999999999E-2</v>
      </c>
      <c r="G57" s="51">
        <v>7.8E-2</v>
      </c>
    </row>
    <row r="58" spans="1:7" x14ac:dyDescent="0.25">
      <c r="A58" t="s">
        <v>575</v>
      </c>
      <c r="B58">
        <v>224</v>
      </c>
      <c r="C58" s="51">
        <v>9.7047300299999931E-2</v>
      </c>
      <c r="D58" s="19">
        <v>4.5999999999999999E-2</v>
      </c>
      <c r="E58" s="51">
        <v>6.4870732999999349E-3</v>
      </c>
      <c r="F58" s="51">
        <v>1.83E-2</v>
      </c>
      <c r="G58" s="51">
        <v>7.7700000000000005E-2</v>
      </c>
    </row>
    <row r="59" spans="1:7" x14ac:dyDescent="0.25">
      <c r="A59" t="s">
        <v>575</v>
      </c>
      <c r="B59">
        <v>225</v>
      </c>
      <c r="C59" s="51">
        <v>9.6867923700000066E-2</v>
      </c>
      <c r="D59" s="19">
        <v>4.5999999999999999E-2</v>
      </c>
      <c r="E59" s="51">
        <v>6.5760838999999295E-3</v>
      </c>
      <c r="F59" s="51">
        <v>1.84E-2</v>
      </c>
      <c r="G59" s="51">
        <v>7.7600000000000002E-2</v>
      </c>
    </row>
    <row r="60" spans="1:7" x14ac:dyDescent="0.25">
      <c r="A60" t="s">
        <v>575</v>
      </c>
      <c r="B60">
        <v>236</v>
      </c>
      <c r="C60" s="51">
        <v>9.5599012400000016E-2</v>
      </c>
      <c r="D60" s="19">
        <v>4.5999999999999999E-2</v>
      </c>
      <c r="E60" s="51">
        <v>7.831202699999977E-3</v>
      </c>
      <c r="F60" s="51">
        <v>1.8800000000000001E-2</v>
      </c>
      <c r="G60" s="51">
        <v>7.6600000000000001E-2</v>
      </c>
    </row>
    <row r="61" spans="1:7" x14ac:dyDescent="0.25">
      <c r="A61" t="s">
        <v>575</v>
      </c>
      <c r="B61">
        <v>237</v>
      </c>
      <c r="C61" s="51">
        <v>9.5471048400000036E-2</v>
      </c>
      <c r="D61" s="19">
        <v>4.5999999999999999E-2</v>
      </c>
      <c r="E61" s="51">
        <v>7.974666399999962E-3</v>
      </c>
      <c r="F61" s="51">
        <v>1.89E-2</v>
      </c>
      <c r="G61" s="51">
        <v>7.6499999999999999E-2</v>
      </c>
    </row>
    <row r="62" spans="1:7" x14ac:dyDescent="0.25">
      <c r="A62" t="s">
        <v>575</v>
      </c>
      <c r="B62">
        <v>249</v>
      </c>
      <c r="C62" s="51">
        <v>9.407195090000002E-2</v>
      </c>
      <c r="D62" s="19">
        <v>4.5999999999999999E-2</v>
      </c>
      <c r="E62" s="51">
        <v>8.5803217000000129E-3</v>
      </c>
      <c r="F62" s="51">
        <v>1.9800000000000002E-2</v>
      </c>
      <c r="G62" s="51">
        <v>7.5700000000000003E-2</v>
      </c>
    </row>
    <row r="63" spans="1:7" x14ac:dyDescent="0.25">
      <c r="A63" t="s">
        <v>575</v>
      </c>
      <c r="B63">
        <v>254</v>
      </c>
      <c r="C63" s="51">
        <v>9.3494691800000002E-2</v>
      </c>
      <c r="D63" s="19">
        <v>4.5999999999999999E-2</v>
      </c>
      <c r="E63" s="51">
        <v>8.7663645000000661E-3</v>
      </c>
      <c r="F63" s="51">
        <v>0.02</v>
      </c>
      <c r="G63" s="51">
        <v>7.5399999999999995E-2</v>
      </c>
    </row>
    <row r="64" spans="1:7" x14ac:dyDescent="0.25">
      <c r="A64" t="s">
        <v>575</v>
      </c>
      <c r="B64">
        <v>276</v>
      </c>
      <c r="C64" s="51">
        <v>9.1181535700000038E-2</v>
      </c>
      <c r="D64" s="19">
        <v>4.5999999999999999E-2</v>
      </c>
      <c r="E64" s="51">
        <v>1.040318009999993E-2</v>
      </c>
      <c r="F64" s="51">
        <v>2.1000000000000001E-2</v>
      </c>
      <c r="G64" s="51">
        <v>7.4200000000000002E-2</v>
      </c>
    </row>
    <row r="65" spans="1:7" x14ac:dyDescent="0.25">
      <c r="A65" t="s">
        <v>575</v>
      </c>
      <c r="B65">
        <v>283</v>
      </c>
      <c r="C65" s="51">
        <v>9.0694284399999964E-2</v>
      </c>
      <c r="D65" s="19">
        <v>4.5999999999999999E-2</v>
      </c>
      <c r="E65" s="51">
        <v>1.0817831800000021E-2</v>
      </c>
      <c r="F65" s="51">
        <v>2.1399999999999999E-2</v>
      </c>
      <c r="G65" s="51">
        <v>7.3700000000000002E-2</v>
      </c>
    </row>
    <row r="66" spans="1:7" x14ac:dyDescent="0.25">
      <c r="A66" t="s">
        <v>575</v>
      </c>
      <c r="B66">
        <v>302</v>
      </c>
      <c r="C66" s="51">
        <v>8.8959960899999968E-2</v>
      </c>
      <c r="D66" s="19">
        <v>4.5999999999999999E-2</v>
      </c>
      <c r="E66" s="51">
        <v>1.1502119299999976E-2</v>
      </c>
      <c r="F66" s="51">
        <v>2.2100000000000002E-2</v>
      </c>
      <c r="G66" s="51">
        <v>7.2599999999999998E-2</v>
      </c>
    </row>
    <row r="67" spans="1:7" x14ac:dyDescent="0.25">
      <c r="A67" t="s">
        <v>575</v>
      </c>
      <c r="B67">
        <v>303</v>
      </c>
      <c r="C67" s="51">
        <v>8.8830308900000002E-2</v>
      </c>
      <c r="D67" s="19">
        <v>4.5999999999999999E-2</v>
      </c>
      <c r="E67" s="51">
        <v>1.1561466499999966E-2</v>
      </c>
      <c r="F67" s="51">
        <v>2.2100000000000002E-2</v>
      </c>
      <c r="G67" s="51">
        <v>7.2499999999999995E-2</v>
      </c>
    </row>
    <row r="68" spans="1:7" x14ac:dyDescent="0.25">
      <c r="A68" t="s">
        <v>575</v>
      </c>
      <c r="B68">
        <v>329</v>
      </c>
      <c r="C68" s="51">
        <v>8.7046423000000039E-2</v>
      </c>
      <c r="D68" s="19">
        <v>4.5999999999999999E-2</v>
      </c>
      <c r="E68" s="51">
        <v>1.2891179300000033E-2</v>
      </c>
      <c r="F68" s="51">
        <v>2.3099999999999999E-2</v>
      </c>
      <c r="G68" s="51">
        <v>7.1499999999999994E-2</v>
      </c>
    </row>
    <row r="69" spans="1:7" x14ac:dyDescent="0.25">
      <c r="A69" t="s">
        <v>575</v>
      </c>
      <c r="B69">
        <v>351</v>
      </c>
      <c r="C69" s="51">
        <v>8.5383882499999966E-2</v>
      </c>
      <c r="D69" s="19">
        <v>4.5999999999999999E-2</v>
      </c>
      <c r="E69" s="51">
        <v>1.4121293999999977E-2</v>
      </c>
      <c r="F69" s="51">
        <v>2.3800000000000002E-2</v>
      </c>
      <c r="G69" s="51">
        <v>7.0599999999999996E-2</v>
      </c>
    </row>
    <row r="70" spans="1:7" x14ac:dyDescent="0.25">
      <c r="A70" t="s">
        <v>575</v>
      </c>
      <c r="B70">
        <v>352</v>
      </c>
      <c r="C70" s="51">
        <v>8.531013490000007E-2</v>
      </c>
      <c r="D70" s="19">
        <v>4.5999999999999999E-2</v>
      </c>
      <c r="E70" s="51">
        <v>1.4207254599999998E-2</v>
      </c>
      <c r="F70" s="51">
        <v>2.3800000000000002E-2</v>
      </c>
      <c r="G70" s="51">
        <v>7.0499999999999993E-2</v>
      </c>
    </row>
    <row r="71" spans="1:7" x14ac:dyDescent="0.25">
      <c r="A71" t="s">
        <v>575</v>
      </c>
      <c r="B71">
        <v>375</v>
      </c>
      <c r="C71" s="51">
        <v>8.4140062299999985E-2</v>
      </c>
      <c r="D71" s="19">
        <v>4.5999999999999999E-2</v>
      </c>
      <c r="E71" s="51">
        <v>1.4789662400000054E-2</v>
      </c>
      <c r="F71" s="51">
        <v>2.46E-2</v>
      </c>
      <c r="G71" s="51">
        <v>6.9599999999999995E-2</v>
      </c>
    </row>
  </sheetData>
  <sortState ref="A2:D87">
    <sortCondition ref="B2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E2" sqref="E2"/>
    </sheetView>
  </sheetViews>
  <sheetFormatPr defaultRowHeight="15" x14ac:dyDescent="0.25"/>
  <cols>
    <col min="1" max="1" width="15.28515625" bestFit="1" customWidth="1"/>
    <col min="2" max="2" width="11" style="40" bestFit="1" customWidth="1"/>
    <col min="3" max="3" width="9" style="40" bestFit="1" customWidth="1"/>
    <col min="4" max="4" width="8.5703125" style="40" bestFit="1" customWidth="1"/>
    <col min="5" max="5" width="11" style="40" bestFit="1" customWidth="1"/>
  </cols>
  <sheetData>
    <row r="1" spans="1:7" x14ac:dyDescent="0.25">
      <c r="A1" t="s">
        <v>415</v>
      </c>
      <c r="B1" s="40" t="s">
        <v>416</v>
      </c>
      <c r="C1" s="40" t="s">
        <v>418</v>
      </c>
      <c r="D1" s="40" t="s">
        <v>419</v>
      </c>
      <c r="E1" s="40" t="s">
        <v>611</v>
      </c>
      <c r="F1" s="40" t="s">
        <v>1078</v>
      </c>
      <c r="G1" s="40" t="s">
        <v>1077</v>
      </c>
    </row>
    <row r="2" spans="1:7" x14ac:dyDescent="0.25">
      <c r="A2" t="s">
        <v>570</v>
      </c>
      <c r="B2" s="40">
        <v>0</v>
      </c>
      <c r="C2" s="99">
        <v>0.5</v>
      </c>
      <c r="D2" s="92">
        <v>2.4E-2</v>
      </c>
      <c r="E2" s="99"/>
      <c r="F2" s="51"/>
      <c r="G2" s="51">
        <v>0.5</v>
      </c>
    </row>
    <row r="3" spans="1:7" x14ac:dyDescent="0.25">
      <c r="A3" t="s">
        <v>570</v>
      </c>
      <c r="B3" s="40">
        <v>6</v>
      </c>
      <c r="C3" s="99">
        <v>0.48502160000000005</v>
      </c>
      <c r="D3" s="92">
        <v>2.4E-2</v>
      </c>
      <c r="E3" s="99"/>
      <c r="F3" s="51"/>
      <c r="G3" s="51">
        <v>0.31190000000000001</v>
      </c>
    </row>
    <row r="4" spans="1:7" x14ac:dyDescent="0.25">
      <c r="A4" t="s">
        <v>570</v>
      </c>
      <c r="B4" s="40">
        <v>11</v>
      </c>
      <c r="C4" s="99">
        <v>0.32201150000000001</v>
      </c>
      <c r="D4" s="92">
        <v>2.4E-2</v>
      </c>
      <c r="E4" s="99"/>
      <c r="F4" s="51"/>
      <c r="G4" s="51">
        <v>0.19309999999999999</v>
      </c>
    </row>
    <row r="5" spans="1:7" x14ac:dyDescent="0.25">
      <c r="A5" t="s">
        <v>570</v>
      </c>
      <c r="B5" s="40">
        <v>13</v>
      </c>
      <c r="C5" s="99">
        <v>0.28895949999999998</v>
      </c>
      <c r="D5" s="92">
        <v>2.4E-2</v>
      </c>
      <c r="E5" s="99"/>
      <c r="F5" s="51"/>
      <c r="G5" s="51">
        <v>0.18390000000000001</v>
      </c>
    </row>
    <row r="6" spans="1:7" x14ac:dyDescent="0.25">
      <c r="A6" t="s">
        <v>570</v>
      </c>
      <c r="B6" s="40">
        <v>15</v>
      </c>
      <c r="C6" s="99">
        <v>0.25835130000000006</v>
      </c>
      <c r="D6" s="92">
        <v>2.4E-2</v>
      </c>
      <c r="E6" s="99"/>
      <c r="F6" s="51"/>
      <c r="G6" s="51">
        <v>0.17100000000000001</v>
      </c>
    </row>
    <row r="7" spans="1:7" x14ac:dyDescent="0.25">
      <c r="A7" t="s">
        <v>570</v>
      </c>
      <c r="B7" s="40">
        <v>16</v>
      </c>
      <c r="C7" s="99">
        <v>0.24477660000000001</v>
      </c>
      <c r="D7" s="92">
        <v>2.4E-2</v>
      </c>
      <c r="E7" s="99"/>
      <c r="F7" s="51"/>
      <c r="G7" s="51">
        <v>0.16450000000000001</v>
      </c>
    </row>
    <row r="8" spans="1:7" x14ac:dyDescent="0.25">
      <c r="A8" t="s">
        <v>570</v>
      </c>
      <c r="B8" s="40">
        <v>17</v>
      </c>
      <c r="C8" s="99">
        <v>0.23235489999999998</v>
      </c>
      <c r="D8" s="92">
        <v>2.4E-2</v>
      </c>
      <c r="E8" s="99"/>
      <c r="F8" s="51"/>
      <c r="G8" s="51">
        <v>0.15820000000000001</v>
      </c>
    </row>
    <row r="9" spans="1:7" x14ac:dyDescent="0.25">
      <c r="A9" t="s">
        <v>570</v>
      </c>
      <c r="B9" s="40">
        <v>43</v>
      </c>
      <c r="C9" s="99">
        <v>0.13659390000000002</v>
      </c>
      <c r="D9" s="92">
        <v>2.4E-2</v>
      </c>
      <c r="E9" s="99"/>
      <c r="F9" s="51"/>
      <c r="G9" s="51">
        <v>9.1399999999999995E-2</v>
      </c>
    </row>
    <row r="10" spans="1:7" x14ac:dyDescent="0.25">
      <c r="A10" t="s">
        <v>570</v>
      </c>
      <c r="B10" s="40">
        <v>61</v>
      </c>
      <c r="C10" s="99">
        <v>0.11314070000000001</v>
      </c>
      <c r="D10" s="92">
        <v>2.4E-2</v>
      </c>
      <c r="E10" s="99"/>
      <c r="F10" s="51"/>
      <c r="G10" s="51">
        <v>7.8899999999999998E-2</v>
      </c>
    </row>
    <row r="11" spans="1:7" x14ac:dyDescent="0.25">
      <c r="A11" t="s">
        <v>570</v>
      </c>
      <c r="B11" s="40">
        <v>69</v>
      </c>
      <c r="C11" s="99">
        <v>0.10718000000000004</v>
      </c>
      <c r="D11" s="92">
        <v>2.4E-2</v>
      </c>
      <c r="E11" s="99"/>
      <c r="F11" s="51"/>
      <c r="G11" s="51">
        <v>7.3700000000000002E-2</v>
      </c>
    </row>
    <row r="12" spans="1:7" x14ac:dyDescent="0.25">
      <c r="A12" t="s">
        <v>570</v>
      </c>
      <c r="B12" s="40">
        <v>70</v>
      </c>
      <c r="C12" s="99">
        <v>0.10663960000000003</v>
      </c>
      <c r="D12" s="92">
        <v>2.4E-2</v>
      </c>
      <c r="E12" s="99"/>
      <c r="F12" s="51"/>
      <c r="G12" s="51">
        <v>7.3599999999999999E-2</v>
      </c>
    </row>
    <row r="13" spans="1:7" x14ac:dyDescent="0.25">
      <c r="A13" t="s">
        <v>570</v>
      </c>
      <c r="B13" s="40">
        <v>71</v>
      </c>
      <c r="C13" s="99">
        <v>0.10602829999999998</v>
      </c>
      <c r="D13" s="92">
        <v>2.4E-2</v>
      </c>
      <c r="E13" s="99"/>
      <c r="F13" s="51"/>
      <c r="G13" s="51">
        <v>7.3499999999999996E-2</v>
      </c>
    </row>
    <row r="14" spans="1:7" x14ac:dyDescent="0.25">
      <c r="A14" t="s">
        <v>570</v>
      </c>
      <c r="B14" s="40">
        <v>72</v>
      </c>
      <c r="C14" s="99">
        <v>0.10535849999999997</v>
      </c>
      <c r="D14" s="92">
        <v>2.4E-2</v>
      </c>
      <c r="E14" s="99"/>
      <c r="F14" s="51"/>
      <c r="G14" s="51">
        <v>7.3300000000000004E-2</v>
      </c>
    </row>
    <row r="15" spans="1:7" x14ac:dyDescent="0.25">
      <c r="A15" t="s">
        <v>570</v>
      </c>
      <c r="B15" s="40">
        <v>77</v>
      </c>
      <c r="C15" s="99">
        <v>0.10144909999999996</v>
      </c>
      <c r="D15" s="92">
        <v>2.4E-2</v>
      </c>
      <c r="E15" s="99"/>
      <c r="F15" s="51"/>
      <c r="G15" s="51">
        <v>7.1800000000000003E-2</v>
      </c>
    </row>
    <row r="16" spans="1:7" x14ac:dyDescent="0.25">
      <c r="A16" t="s">
        <v>570</v>
      </c>
      <c r="B16" s="40">
        <v>78</v>
      </c>
      <c r="C16" s="99">
        <v>0.10060190000000006</v>
      </c>
      <c r="D16" s="92">
        <v>2.4E-2</v>
      </c>
      <c r="E16" s="99"/>
      <c r="F16" s="51"/>
      <c r="G16" s="51">
        <v>7.1400000000000005E-2</v>
      </c>
    </row>
    <row r="17" spans="1:7" x14ac:dyDescent="0.25">
      <c r="A17" t="s">
        <v>570</v>
      </c>
      <c r="B17" s="40">
        <v>81</v>
      </c>
      <c r="C17" s="99">
        <v>9.8011159999999931E-2</v>
      </c>
      <c r="D17" s="92">
        <v>2.4E-2</v>
      </c>
      <c r="E17" s="99"/>
      <c r="F17" s="51"/>
      <c r="G17" s="51">
        <v>7.0199999999999999E-2</v>
      </c>
    </row>
    <row r="18" spans="1:7" x14ac:dyDescent="0.25">
      <c r="A18" t="s">
        <v>570</v>
      </c>
      <c r="B18" s="40">
        <v>82</v>
      </c>
      <c r="C18" s="99">
        <v>9.7141189999999961E-2</v>
      </c>
      <c r="D18" s="92">
        <v>2.4E-2</v>
      </c>
      <c r="E18" s="99"/>
      <c r="F18" s="51"/>
      <c r="G18" s="51">
        <v>6.9800000000000001E-2</v>
      </c>
    </row>
    <row r="19" spans="1:7" x14ac:dyDescent="0.25">
      <c r="A19" t="s">
        <v>570</v>
      </c>
      <c r="B19" s="40">
        <v>104</v>
      </c>
      <c r="C19" s="99">
        <v>8.7035039999999952E-2</v>
      </c>
      <c r="D19" s="92">
        <v>2.4E-2</v>
      </c>
      <c r="E19" s="99"/>
      <c r="F19" s="51"/>
      <c r="G19" s="51">
        <v>6.3600000000000004E-2</v>
      </c>
    </row>
    <row r="20" spans="1:7" x14ac:dyDescent="0.25">
      <c r="A20" t="s">
        <v>570</v>
      </c>
      <c r="B20" s="40">
        <v>111</v>
      </c>
      <c r="C20" s="99">
        <v>8.5780040000000071E-2</v>
      </c>
      <c r="D20" s="92">
        <v>2.4E-2</v>
      </c>
      <c r="E20" s="99"/>
      <c r="F20" s="51"/>
      <c r="G20" s="51">
        <v>6.1600000000000002E-2</v>
      </c>
    </row>
    <row r="21" spans="1:7" x14ac:dyDescent="0.25">
      <c r="A21" t="s">
        <v>570</v>
      </c>
      <c r="B21" s="40">
        <v>113</v>
      </c>
      <c r="C21" s="99">
        <v>8.5126159999999937E-2</v>
      </c>
      <c r="D21" s="92">
        <v>2.4E-2</v>
      </c>
      <c r="E21" s="99"/>
      <c r="F21" s="51"/>
      <c r="G21" s="51">
        <v>6.0999999999999999E-2</v>
      </c>
    </row>
    <row r="22" spans="1:7" x14ac:dyDescent="0.25">
      <c r="A22" t="s">
        <v>570</v>
      </c>
      <c r="B22" s="40">
        <v>114</v>
      </c>
      <c r="C22" s="99">
        <v>8.4768130000000066E-2</v>
      </c>
      <c r="D22" s="92">
        <v>2.4E-2</v>
      </c>
      <c r="E22" s="99"/>
      <c r="F22" s="51"/>
      <c r="G22" s="51">
        <v>6.0699999999999997E-2</v>
      </c>
    </row>
    <row r="23" spans="1:7" x14ac:dyDescent="0.25">
      <c r="A23" t="s">
        <v>570</v>
      </c>
      <c r="B23" s="40">
        <v>121</v>
      </c>
      <c r="C23" s="99">
        <v>8.1891760000000036E-2</v>
      </c>
      <c r="D23" s="92">
        <v>2.4E-2</v>
      </c>
      <c r="E23" s="99"/>
      <c r="F23" s="51"/>
      <c r="G23" s="51">
        <v>5.9700000000000003E-2</v>
      </c>
    </row>
    <row r="24" spans="1:7" x14ac:dyDescent="0.25">
      <c r="A24" t="s">
        <v>570</v>
      </c>
      <c r="B24" s="40">
        <v>124</v>
      </c>
      <c r="C24" s="99">
        <v>8.0548289999999981E-2</v>
      </c>
      <c r="D24" s="92">
        <v>2.4E-2</v>
      </c>
      <c r="E24" s="99"/>
      <c r="F24" s="51"/>
      <c r="G24" s="51">
        <v>5.9400000000000001E-2</v>
      </c>
    </row>
    <row r="25" spans="1:7" x14ac:dyDescent="0.25">
      <c r="A25" t="s">
        <v>570</v>
      </c>
      <c r="B25" s="40">
        <v>130</v>
      </c>
      <c r="C25" s="99">
        <v>7.9851050000000048E-2</v>
      </c>
      <c r="D25" s="92">
        <v>2.4E-2</v>
      </c>
      <c r="E25" s="99"/>
      <c r="F25" s="51"/>
      <c r="G25" s="51">
        <v>5.8500000000000003E-2</v>
      </c>
    </row>
    <row r="26" spans="1:7" x14ac:dyDescent="0.25">
      <c r="A26" t="s">
        <v>570</v>
      </c>
      <c r="B26" s="40">
        <v>132</v>
      </c>
      <c r="C26" s="99">
        <v>7.946561000000002E-2</v>
      </c>
      <c r="D26" s="92">
        <v>2.4E-2</v>
      </c>
      <c r="E26" s="99"/>
      <c r="F26" s="51"/>
      <c r="G26" s="51">
        <v>5.8099999999999999E-2</v>
      </c>
    </row>
    <row r="27" spans="1:7" x14ac:dyDescent="0.25">
      <c r="A27" t="s">
        <v>570</v>
      </c>
      <c r="B27" s="40">
        <v>139</v>
      </c>
      <c r="C27" s="99">
        <v>7.7585250000000064E-2</v>
      </c>
      <c r="D27" s="92">
        <v>2.4E-2</v>
      </c>
      <c r="E27" s="99"/>
      <c r="F27" s="51"/>
      <c r="G27" s="51">
        <v>5.67E-2</v>
      </c>
    </row>
    <row r="28" spans="1:7" x14ac:dyDescent="0.25">
      <c r="A28" t="s">
        <v>570</v>
      </c>
      <c r="B28" s="40">
        <v>144</v>
      </c>
      <c r="C28" s="99">
        <v>7.5947610000000054E-2</v>
      </c>
      <c r="D28" s="92">
        <v>2.4E-2</v>
      </c>
      <c r="E28" s="99"/>
      <c r="F28" s="51"/>
      <c r="G28" s="51">
        <v>5.5800000000000002E-2</v>
      </c>
    </row>
    <row r="29" spans="1:7" x14ac:dyDescent="0.25">
      <c r="A29" t="s">
        <v>570</v>
      </c>
      <c r="B29" s="40">
        <v>150</v>
      </c>
      <c r="C29" s="99">
        <v>7.4946000000000054E-2</v>
      </c>
      <c r="D29" s="92">
        <v>2.4E-2</v>
      </c>
      <c r="E29" s="99"/>
      <c r="F29" s="51"/>
      <c r="G29" s="51">
        <v>5.5500000000000001E-2</v>
      </c>
    </row>
    <row r="30" spans="1:7" x14ac:dyDescent="0.25">
      <c r="A30" t="s">
        <v>570</v>
      </c>
      <c r="B30" s="40">
        <v>153</v>
      </c>
      <c r="C30" s="99">
        <v>7.4604960000000067E-2</v>
      </c>
      <c r="D30" s="92">
        <v>2.4E-2</v>
      </c>
      <c r="E30" s="99"/>
      <c r="F30" s="51">
        <v>2.0000000000000001E-4</v>
      </c>
      <c r="G30" s="51">
        <v>5.5199999999999999E-2</v>
      </c>
    </row>
    <row r="31" spans="1:7" x14ac:dyDescent="0.25">
      <c r="A31" t="s">
        <v>570</v>
      </c>
      <c r="B31" s="40">
        <v>163</v>
      </c>
      <c r="C31" s="99">
        <v>7.2549389999999936E-2</v>
      </c>
      <c r="D31" s="92">
        <v>2.4E-2</v>
      </c>
      <c r="E31" s="99"/>
      <c r="F31" s="51">
        <v>5.9999999999999995E-4</v>
      </c>
      <c r="G31" s="51">
        <v>5.3900000000000003E-2</v>
      </c>
    </row>
    <row r="32" spans="1:7" x14ac:dyDescent="0.25">
      <c r="A32" t="s">
        <v>570</v>
      </c>
      <c r="B32" s="40">
        <v>165</v>
      </c>
      <c r="C32" s="99">
        <v>7.2036590000000011E-2</v>
      </c>
      <c r="D32" s="92">
        <v>2.4E-2</v>
      </c>
      <c r="E32" s="99"/>
      <c r="F32" s="51">
        <v>6.9999999999999999E-4</v>
      </c>
      <c r="G32" s="51">
        <v>5.3600000000000002E-2</v>
      </c>
    </row>
    <row r="33" spans="1:7" x14ac:dyDescent="0.25">
      <c r="A33" t="s">
        <v>570</v>
      </c>
      <c r="B33" s="40">
        <v>173</v>
      </c>
      <c r="C33" s="99">
        <v>7.0753579999999941E-2</v>
      </c>
      <c r="D33" s="92">
        <v>2.4E-2</v>
      </c>
      <c r="E33" s="99"/>
      <c r="F33" s="51">
        <v>1.1000000000000001E-3</v>
      </c>
      <c r="G33" s="51">
        <v>5.2699999999999997E-2</v>
      </c>
    </row>
    <row r="34" spans="1:7" x14ac:dyDescent="0.25">
      <c r="A34" t="s">
        <v>570</v>
      </c>
      <c r="B34" s="40">
        <v>177</v>
      </c>
      <c r="C34" s="99">
        <v>7.0369850000000012E-2</v>
      </c>
      <c r="D34" s="92">
        <v>2.4E-2</v>
      </c>
      <c r="E34" s="99"/>
      <c r="F34" s="51">
        <v>1.1999999999999999E-3</v>
      </c>
      <c r="G34" s="51">
        <v>5.2499999999999998E-2</v>
      </c>
    </row>
    <row r="35" spans="1:7" x14ac:dyDescent="0.25">
      <c r="A35" t="s">
        <v>570</v>
      </c>
      <c r="B35" s="40">
        <v>180</v>
      </c>
      <c r="C35" s="99">
        <v>6.9948660000000024E-2</v>
      </c>
      <c r="D35" s="92">
        <v>2.4E-2</v>
      </c>
      <c r="E35" s="99"/>
      <c r="F35" s="51">
        <v>1.4E-3</v>
      </c>
      <c r="G35" s="51">
        <v>5.2299999999999999E-2</v>
      </c>
    </row>
    <row r="36" spans="1:7" x14ac:dyDescent="0.25">
      <c r="A36" t="s">
        <v>570</v>
      </c>
      <c r="B36" s="40">
        <v>181</v>
      </c>
      <c r="C36" s="99">
        <v>6.9788259999999977E-2</v>
      </c>
      <c r="D36" s="92">
        <v>2.4E-2</v>
      </c>
      <c r="E36" s="99"/>
      <c r="F36" s="51">
        <v>1.4E-3</v>
      </c>
      <c r="G36" s="51">
        <v>5.2299999999999999E-2</v>
      </c>
    </row>
    <row r="37" spans="1:7" x14ac:dyDescent="0.25">
      <c r="A37" t="s">
        <v>570</v>
      </c>
      <c r="B37" s="40">
        <v>185</v>
      </c>
      <c r="C37" s="99">
        <v>6.9067830000000038E-2</v>
      </c>
      <c r="D37" s="92">
        <v>2.4E-2</v>
      </c>
      <c r="E37" s="99"/>
      <c r="F37" s="51">
        <v>1.6000000000000001E-3</v>
      </c>
      <c r="G37" s="51">
        <v>5.1900000000000002E-2</v>
      </c>
    </row>
    <row r="38" spans="1:7" x14ac:dyDescent="0.25">
      <c r="A38" t="s">
        <v>570</v>
      </c>
      <c r="B38" s="40">
        <v>186</v>
      </c>
      <c r="C38" s="99">
        <v>6.887136999999996E-2</v>
      </c>
      <c r="D38" s="92">
        <v>2.4E-2</v>
      </c>
      <c r="E38" s="99"/>
      <c r="F38" s="51">
        <v>1.6999999999999999E-3</v>
      </c>
      <c r="G38" s="51">
        <v>5.1799999999999999E-2</v>
      </c>
    </row>
    <row r="39" spans="1:7" x14ac:dyDescent="0.25">
      <c r="A39" t="s">
        <v>570</v>
      </c>
      <c r="B39" s="40">
        <v>188</v>
      </c>
      <c r="C39" s="99">
        <v>6.8462870000000037E-2</v>
      </c>
      <c r="D39" s="92">
        <v>2.4E-2</v>
      </c>
      <c r="E39" s="99"/>
      <c r="F39" s="51">
        <v>1.8E-3</v>
      </c>
      <c r="G39" s="51">
        <v>5.16E-2</v>
      </c>
    </row>
    <row r="40" spans="1:7" x14ac:dyDescent="0.25">
      <c r="A40" t="s">
        <v>570</v>
      </c>
      <c r="B40" s="40">
        <v>196</v>
      </c>
      <c r="C40" s="99">
        <v>6.7339429999999964E-2</v>
      </c>
      <c r="D40" s="92">
        <v>2.4E-2</v>
      </c>
      <c r="E40" s="99"/>
      <c r="F40" s="51">
        <v>2.2000000000000001E-3</v>
      </c>
      <c r="G40" s="51">
        <v>5.0700000000000002E-2</v>
      </c>
    </row>
    <row r="41" spans="1:7" x14ac:dyDescent="0.25">
      <c r="A41" t="s">
        <v>570</v>
      </c>
      <c r="B41" s="40">
        <v>200</v>
      </c>
      <c r="C41" s="99">
        <v>6.7065159999999929E-2</v>
      </c>
      <c r="D41" s="92">
        <v>2.4E-2</v>
      </c>
      <c r="E41" s="99"/>
      <c r="F41" s="51">
        <v>2.5000000000000001E-3</v>
      </c>
      <c r="G41" s="51">
        <v>5.0299999999999997E-2</v>
      </c>
    </row>
    <row r="42" spans="1:7" x14ac:dyDescent="0.25">
      <c r="A42" t="s">
        <v>570</v>
      </c>
      <c r="B42" s="40">
        <v>206</v>
      </c>
      <c r="C42" s="99">
        <v>6.6354249999999976E-2</v>
      </c>
      <c r="D42" s="92">
        <v>2.4E-2</v>
      </c>
      <c r="E42" s="99"/>
      <c r="F42" s="51">
        <v>2.8999999999999998E-3</v>
      </c>
      <c r="G42" s="51">
        <v>5.0099999999999999E-2</v>
      </c>
    </row>
    <row r="43" spans="1:7" x14ac:dyDescent="0.25">
      <c r="A43" t="s">
        <v>570</v>
      </c>
      <c r="B43" s="40">
        <v>209</v>
      </c>
      <c r="C43" s="99">
        <v>6.590365000000005E-2</v>
      </c>
      <c r="D43" s="92">
        <v>2.4E-2</v>
      </c>
      <c r="E43" s="99"/>
      <c r="F43" s="51">
        <v>3.0999999999999999E-3</v>
      </c>
      <c r="G43" s="51">
        <v>0.05</v>
      </c>
    </row>
    <row r="44" spans="1:7" x14ac:dyDescent="0.25">
      <c r="A44" t="s">
        <v>570</v>
      </c>
      <c r="B44" s="40">
        <v>210</v>
      </c>
      <c r="C44" s="99">
        <v>6.5742869999999981E-2</v>
      </c>
      <c r="D44" s="92">
        <v>2.4E-2</v>
      </c>
      <c r="E44" s="99"/>
      <c r="F44" s="51">
        <v>3.0999999999999999E-3</v>
      </c>
      <c r="G44" s="51">
        <v>4.99E-2</v>
      </c>
    </row>
    <row r="45" spans="1:7" x14ac:dyDescent="0.25">
      <c r="A45" t="s">
        <v>570</v>
      </c>
      <c r="B45" s="40">
        <v>212</v>
      </c>
      <c r="C45" s="99">
        <v>6.5407960000000001E-2</v>
      </c>
      <c r="D45" s="92">
        <v>2.4E-2</v>
      </c>
      <c r="E45" s="99"/>
      <c r="F45" s="51">
        <v>3.3E-3</v>
      </c>
      <c r="G45" s="51">
        <v>4.9799999999999997E-2</v>
      </c>
    </row>
    <row r="46" spans="1:7" x14ac:dyDescent="0.25">
      <c r="A46" t="s">
        <v>570</v>
      </c>
      <c r="B46" s="40">
        <v>216</v>
      </c>
      <c r="C46" s="99">
        <v>6.4694750000000023E-2</v>
      </c>
      <c r="D46" s="92">
        <v>2.4E-2</v>
      </c>
      <c r="E46" s="99"/>
      <c r="F46" s="51">
        <v>3.5999999999999999E-3</v>
      </c>
      <c r="G46" s="51">
        <v>4.9500000000000002E-2</v>
      </c>
    </row>
    <row r="47" spans="1:7" x14ac:dyDescent="0.25">
      <c r="A47" t="s">
        <v>570</v>
      </c>
      <c r="B47" s="40">
        <v>218</v>
      </c>
      <c r="C47" s="99">
        <v>6.4496649999999961E-2</v>
      </c>
      <c r="D47" s="92">
        <v>2.4E-2</v>
      </c>
      <c r="E47" s="99"/>
      <c r="F47" s="51">
        <v>3.7000000000000002E-3</v>
      </c>
      <c r="G47" s="51">
        <v>4.9299999999999997E-2</v>
      </c>
    </row>
    <row r="48" spans="1:7" x14ac:dyDescent="0.25">
      <c r="A48" t="s">
        <v>570</v>
      </c>
      <c r="B48" s="40">
        <v>226</v>
      </c>
      <c r="C48" s="99">
        <v>6.4083899999999971E-2</v>
      </c>
      <c r="D48" s="92">
        <v>2.4E-2</v>
      </c>
      <c r="E48" s="99"/>
      <c r="F48" s="51">
        <v>4.4000000000000003E-3</v>
      </c>
      <c r="G48" s="51">
        <v>4.8500000000000001E-2</v>
      </c>
    </row>
    <row r="49" spans="1:7" x14ac:dyDescent="0.25">
      <c r="A49" t="s">
        <v>570</v>
      </c>
      <c r="B49" s="40">
        <v>227</v>
      </c>
      <c r="C49" s="99">
        <v>6.3991950000000061E-2</v>
      </c>
      <c r="D49" s="92">
        <v>2.4E-2</v>
      </c>
      <c r="E49" s="99"/>
      <c r="F49" s="51">
        <v>4.4000000000000003E-3</v>
      </c>
      <c r="G49" s="51">
        <v>4.8399999999999999E-2</v>
      </c>
    </row>
    <row r="50" spans="1:7" x14ac:dyDescent="0.25">
      <c r="A50" t="s">
        <v>570</v>
      </c>
      <c r="B50" s="40">
        <v>230</v>
      </c>
      <c r="C50" s="99">
        <v>6.3676130000000053E-2</v>
      </c>
      <c r="D50" s="92">
        <v>2.4E-2</v>
      </c>
      <c r="E50" s="99"/>
      <c r="F50" s="51">
        <v>4.4999999999999997E-3</v>
      </c>
      <c r="G50" s="51">
        <v>4.8300000000000003E-2</v>
      </c>
    </row>
    <row r="51" spans="1:7" x14ac:dyDescent="0.25">
      <c r="A51" t="s">
        <v>570</v>
      </c>
      <c r="B51" s="40">
        <v>231</v>
      </c>
      <c r="C51" s="99">
        <v>6.3559070000000023E-2</v>
      </c>
      <c r="D51" s="92">
        <v>2.4E-2</v>
      </c>
      <c r="E51" s="99"/>
      <c r="F51" s="51">
        <v>4.4999999999999997E-3</v>
      </c>
      <c r="G51" s="51">
        <v>4.8300000000000003E-2</v>
      </c>
    </row>
    <row r="52" spans="1:7" x14ac:dyDescent="0.25">
      <c r="A52" t="s">
        <v>570</v>
      </c>
      <c r="B52" s="40">
        <v>232</v>
      </c>
      <c r="C52" s="99">
        <v>6.3436820000000005E-2</v>
      </c>
      <c r="D52" s="92">
        <v>2.4E-2</v>
      </c>
      <c r="E52" s="99"/>
      <c r="F52" s="51">
        <v>4.4999999999999997E-3</v>
      </c>
      <c r="G52" s="51">
        <v>4.8300000000000003E-2</v>
      </c>
    </row>
    <row r="53" spans="1:7" x14ac:dyDescent="0.25">
      <c r="A53" t="s">
        <v>570</v>
      </c>
      <c r="B53" s="40">
        <v>241</v>
      </c>
      <c r="C53" s="99">
        <v>6.2158340000000006E-2</v>
      </c>
      <c r="D53" s="92">
        <v>2.4E-2</v>
      </c>
      <c r="E53" s="99"/>
      <c r="F53" s="51">
        <v>4.7000000000000002E-3</v>
      </c>
      <c r="G53" s="51">
        <v>4.7899999999999998E-2</v>
      </c>
    </row>
    <row r="54" spans="1:7" x14ac:dyDescent="0.25">
      <c r="A54" t="s">
        <v>570</v>
      </c>
      <c r="B54" s="40">
        <v>242</v>
      </c>
      <c r="C54" s="99">
        <v>6.2031149999999965E-2</v>
      </c>
      <c r="D54" s="92">
        <v>2.4E-2</v>
      </c>
      <c r="E54" s="99"/>
      <c r="F54" s="51">
        <v>4.7999999999999996E-3</v>
      </c>
      <c r="G54" s="51">
        <v>4.7899999999999998E-2</v>
      </c>
    </row>
    <row r="55" spans="1:7" x14ac:dyDescent="0.25">
      <c r="A55" t="s">
        <v>570</v>
      </c>
      <c r="B55" s="40">
        <v>246</v>
      </c>
      <c r="C55" s="99">
        <v>6.1958209999999951E-2</v>
      </c>
      <c r="D55" s="92">
        <v>2.4E-2</v>
      </c>
      <c r="E55" s="99"/>
      <c r="F55" s="51">
        <v>4.8999999999999998E-3</v>
      </c>
      <c r="G55" s="51">
        <v>4.7600000000000003E-2</v>
      </c>
    </row>
    <row r="56" spans="1:7" x14ac:dyDescent="0.25">
      <c r="A56" t="s">
        <v>570</v>
      </c>
      <c r="B56" s="40">
        <v>265</v>
      </c>
      <c r="C56" s="99">
        <v>6.0181570000000024E-2</v>
      </c>
      <c r="D56" s="92">
        <v>2.4E-2</v>
      </c>
      <c r="E56" s="99"/>
      <c r="F56" s="51">
        <v>5.4000000000000003E-3</v>
      </c>
      <c r="G56" s="51">
        <v>4.6600000000000003E-2</v>
      </c>
    </row>
    <row r="57" spans="1:7" x14ac:dyDescent="0.25">
      <c r="A57" t="s">
        <v>570</v>
      </c>
      <c r="B57" s="40">
        <v>282</v>
      </c>
      <c r="C57" s="99">
        <v>5.9176750000000028E-2</v>
      </c>
      <c r="D57" s="92">
        <v>2.4E-2</v>
      </c>
      <c r="E57" s="99"/>
      <c r="F57" s="51">
        <v>6.1999999999999998E-3</v>
      </c>
      <c r="G57" s="51">
        <v>4.5699999999999998E-2</v>
      </c>
    </row>
    <row r="58" spans="1:7" x14ac:dyDescent="0.25">
      <c r="A58" t="s">
        <v>570</v>
      </c>
      <c r="B58" s="40">
        <v>290</v>
      </c>
      <c r="C58" s="99">
        <v>5.8375180000000026E-2</v>
      </c>
      <c r="D58" s="92">
        <v>2.4E-2</v>
      </c>
      <c r="E58" s="99">
        <v>1.3485000000002857E-4</v>
      </c>
      <c r="F58" s="51">
        <v>6.6E-3</v>
      </c>
      <c r="G58" s="51">
        <v>4.5400000000000003E-2</v>
      </c>
    </row>
    <row r="59" spans="1:7" x14ac:dyDescent="0.25">
      <c r="A59" t="s">
        <v>570</v>
      </c>
      <c r="B59" s="40">
        <v>322</v>
      </c>
      <c r="C59" s="99">
        <v>5.6403920000000059E-2</v>
      </c>
      <c r="D59" s="92">
        <v>2.4E-2</v>
      </c>
      <c r="E59" s="99">
        <v>7.0524300000002422E-4</v>
      </c>
      <c r="F59" s="51">
        <v>7.3000000000000001E-3</v>
      </c>
      <c r="G59" s="51">
        <v>4.4200000000000003E-2</v>
      </c>
    </row>
    <row r="60" spans="1:7" x14ac:dyDescent="0.25">
      <c r="A60" t="s">
        <v>570</v>
      </c>
      <c r="B60" s="40">
        <v>326</v>
      </c>
      <c r="C60" s="99">
        <v>5.630027999999996E-2</v>
      </c>
      <c r="D60" s="92">
        <v>2.4E-2</v>
      </c>
      <c r="E60" s="99">
        <v>7.9850399999997984E-4</v>
      </c>
      <c r="F60" s="51">
        <v>7.4000000000000003E-3</v>
      </c>
      <c r="G60" s="51">
        <v>4.41E-2</v>
      </c>
    </row>
    <row r="61" spans="1:7" x14ac:dyDescent="0.25">
      <c r="A61" t="s">
        <v>570</v>
      </c>
      <c r="B61" s="40">
        <v>335</v>
      </c>
      <c r="C61" s="99">
        <v>5.5823129999999992E-2</v>
      </c>
      <c r="D61" s="92">
        <v>2.4E-2</v>
      </c>
      <c r="E61" s="99">
        <v>1.0329509999999686E-3</v>
      </c>
      <c r="F61" s="51">
        <v>7.6E-3</v>
      </c>
      <c r="G61" s="51">
        <v>4.3799999999999999E-2</v>
      </c>
    </row>
    <row r="62" spans="1:7" x14ac:dyDescent="0.25">
      <c r="A62" t="s">
        <v>570</v>
      </c>
      <c r="B62" s="40">
        <v>337</v>
      </c>
      <c r="C62" s="99">
        <v>5.5682319999999945E-2</v>
      </c>
      <c r="D62" s="92">
        <v>2.4E-2</v>
      </c>
      <c r="E62" s="99">
        <v>1.0902049999999975E-3</v>
      </c>
      <c r="F62" s="51">
        <v>7.7000000000000002E-3</v>
      </c>
      <c r="G62" s="51">
        <v>4.3700000000000003E-2</v>
      </c>
    </row>
    <row r="63" spans="1:7" x14ac:dyDescent="0.25">
      <c r="A63" t="s">
        <v>570</v>
      </c>
      <c r="B63" s="40">
        <v>340</v>
      </c>
      <c r="C63" s="99">
        <v>5.5452990000000001E-2</v>
      </c>
      <c r="D63" s="92">
        <v>2.4E-2</v>
      </c>
      <c r="E63" s="99">
        <v>1.1799670000000617E-3</v>
      </c>
      <c r="F63" s="51">
        <v>7.7999999999999996E-3</v>
      </c>
      <c r="G63" s="51">
        <v>4.36E-2</v>
      </c>
    </row>
    <row r="64" spans="1:7" x14ac:dyDescent="0.25">
      <c r="A64" t="s">
        <v>570</v>
      </c>
      <c r="B64" s="40">
        <v>353</v>
      </c>
      <c r="C64" s="99">
        <v>5.4858540000000032E-2</v>
      </c>
      <c r="D64" s="92">
        <v>2.4E-2</v>
      </c>
      <c r="E64" s="99">
        <v>1.6302480000000229E-3</v>
      </c>
      <c r="F64" s="51">
        <v>8.2000000000000007E-3</v>
      </c>
      <c r="G64" s="51">
        <v>4.3200000000000002E-2</v>
      </c>
    </row>
    <row r="65" spans="1:7" x14ac:dyDescent="0.25">
      <c r="A65" t="s">
        <v>570</v>
      </c>
      <c r="B65" s="40">
        <v>369</v>
      </c>
      <c r="C65" s="99">
        <v>5.3958319999999983E-2</v>
      </c>
      <c r="D65" s="92">
        <v>2.4E-2</v>
      </c>
      <c r="E65" s="99">
        <v>2.356666999999959E-3</v>
      </c>
      <c r="F65" s="51">
        <v>8.5000000000000006E-3</v>
      </c>
      <c r="G65" s="51">
        <v>4.2700000000000002E-2</v>
      </c>
    </row>
    <row r="66" spans="1:7" x14ac:dyDescent="0.25">
      <c r="A66" t="s">
        <v>570</v>
      </c>
      <c r="B66" s="40">
        <v>386</v>
      </c>
      <c r="C66" s="99">
        <v>5.3354180000000043E-2</v>
      </c>
      <c r="D66" s="92">
        <v>2.4E-2</v>
      </c>
      <c r="E66" s="99">
        <v>2.7623339999999531E-3</v>
      </c>
      <c r="F66" s="51">
        <v>8.8000000000000005E-3</v>
      </c>
      <c r="G66" s="51">
        <v>4.2299999999999997E-2</v>
      </c>
    </row>
    <row r="67" spans="1:7" x14ac:dyDescent="0.25">
      <c r="A67" t="s">
        <v>570</v>
      </c>
      <c r="B67" s="40">
        <v>388</v>
      </c>
      <c r="C67" s="99">
        <v>5.3257109999999983E-2</v>
      </c>
      <c r="D67" s="92">
        <v>2.4E-2</v>
      </c>
      <c r="E67" s="99">
        <v>2.7817559999999729E-3</v>
      </c>
      <c r="F67" s="51">
        <v>8.8000000000000005E-3</v>
      </c>
      <c r="G67" s="51">
        <v>4.2200000000000001E-2</v>
      </c>
    </row>
    <row r="68" spans="1:7" x14ac:dyDescent="0.25">
      <c r="A68" t="s">
        <v>570</v>
      </c>
      <c r="B68" s="40">
        <v>394</v>
      </c>
      <c r="C68" s="99">
        <v>5.2914399999999945E-2</v>
      </c>
      <c r="D68" s="92">
        <v>2.4E-2</v>
      </c>
      <c r="E68" s="99">
        <v>2.8462179999999646E-3</v>
      </c>
      <c r="F68" s="51">
        <v>8.8999999999999999E-3</v>
      </c>
      <c r="G68" s="51">
        <v>4.2099999999999999E-2</v>
      </c>
    </row>
    <row r="69" spans="1:7" x14ac:dyDescent="0.25">
      <c r="A69" t="s">
        <v>570</v>
      </c>
      <c r="B69" s="40">
        <v>395</v>
      </c>
      <c r="C69" s="99">
        <v>5.2850830000000001E-2</v>
      </c>
      <c r="D69" s="92">
        <v>2.4E-2</v>
      </c>
      <c r="E69" s="99">
        <v>2.8579159999999604E-3</v>
      </c>
      <c r="F69" s="51">
        <v>8.9999999999999993E-3</v>
      </c>
      <c r="G69" s="51">
        <v>4.2099999999999999E-2</v>
      </c>
    </row>
    <row r="70" spans="1:7" x14ac:dyDescent="0.25">
      <c r="A70" t="s">
        <v>570</v>
      </c>
      <c r="B70" s="40">
        <v>399</v>
      </c>
      <c r="C70" s="99">
        <v>5.2581349999999957E-2</v>
      </c>
      <c r="D70" s="92">
        <v>2.4E-2</v>
      </c>
      <c r="E70" s="99">
        <v>2.9076229999999725E-3</v>
      </c>
      <c r="F70" s="51">
        <v>9.1000000000000004E-3</v>
      </c>
      <c r="G70" s="51">
        <v>4.19E-2</v>
      </c>
    </row>
    <row r="71" spans="1:7" x14ac:dyDescent="0.25">
      <c r="A71" t="s">
        <v>570</v>
      </c>
      <c r="B71" s="40">
        <v>407</v>
      </c>
      <c r="C71" s="99">
        <v>5.2437649999999961E-2</v>
      </c>
      <c r="D71" s="92">
        <v>2.4E-2</v>
      </c>
      <c r="E71" s="99">
        <v>3.022205999999983E-3</v>
      </c>
      <c r="F71" s="51">
        <v>9.2999999999999992E-3</v>
      </c>
      <c r="G71" s="51">
        <v>4.1599999999999998E-2</v>
      </c>
    </row>
    <row r="72" spans="1:7" x14ac:dyDescent="0.25">
      <c r="A72" t="s">
        <v>570</v>
      </c>
      <c r="B72" s="40">
        <v>415</v>
      </c>
      <c r="C72" s="99">
        <v>5.2157899999999986E-2</v>
      </c>
      <c r="D72" s="92">
        <v>2.4E-2</v>
      </c>
      <c r="E72" s="99">
        <v>3.1596820000000035E-3</v>
      </c>
      <c r="F72" s="51">
        <v>9.4999999999999998E-3</v>
      </c>
      <c r="G72" s="51">
        <v>4.1500000000000002E-2</v>
      </c>
    </row>
    <row r="73" spans="1:7" x14ac:dyDescent="0.25">
      <c r="A73" t="s">
        <v>570</v>
      </c>
      <c r="B73" s="40">
        <v>433</v>
      </c>
      <c r="C73" s="99">
        <v>5.142583000000002E-2</v>
      </c>
      <c r="D73" s="92">
        <v>2.4E-2</v>
      </c>
      <c r="E73" s="99">
        <v>3.5727489999999307E-3</v>
      </c>
      <c r="F73" s="51">
        <v>9.7000000000000003E-3</v>
      </c>
      <c r="G73" s="51">
        <v>4.1099999999999998E-2</v>
      </c>
    </row>
    <row r="74" spans="1:7" x14ac:dyDescent="0.25">
      <c r="A74" t="s">
        <v>570</v>
      </c>
      <c r="B74" s="40">
        <v>460</v>
      </c>
      <c r="C74" s="99">
        <v>5.0485520000000006E-2</v>
      </c>
      <c r="D74" s="92">
        <v>2.4E-2</v>
      </c>
      <c r="E74" s="99">
        <v>4.4066379999999584E-3</v>
      </c>
      <c r="F74" s="51">
        <v>1.01E-2</v>
      </c>
      <c r="G74" s="51">
        <v>4.0599999999999997E-2</v>
      </c>
    </row>
    <row r="75" spans="1:7" x14ac:dyDescent="0.25">
      <c r="A75" t="s">
        <v>570</v>
      </c>
      <c r="B75" s="40">
        <v>473</v>
      </c>
      <c r="C75" s="99">
        <v>5.0128969999999953E-2</v>
      </c>
      <c r="D75" s="92">
        <v>2.4E-2</v>
      </c>
      <c r="E75" s="99">
        <v>4.4984150000000507E-3</v>
      </c>
      <c r="F75" s="51">
        <v>1.0500000000000001E-2</v>
      </c>
      <c r="G75" s="51">
        <v>4.02E-2</v>
      </c>
    </row>
    <row r="76" spans="1:7" x14ac:dyDescent="0.25">
      <c r="A76" t="s">
        <v>570</v>
      </c>
      <c r="B76" s="40">
        <v>515</v>
      </c>
      <c r="C76" s="99">
        <v>4.882452000000001E-2</v>
      </c>
      <c r="D76" s="92">
        <v>2.4E-2</v>
      </c>
      <c r="E76" s="99">
        <v>5.1737869999999471E-3</v>
      </c>
      <c r="F76" s="51">
        <v>1.09E-2</v>
      </c>
      <c r="G76" s="51">
        <v>3.9600000000000003E-2</v>
      </c>
    </row>
    <row r="77" spans="1:7" x14ac:dyDescent="0.25">
      <c r="A77" t="s">
        <v>570</v>
      </c>
      <c r="B77" s="40">
        <v>545</v>
      </c>
      <c r="C77" s="99">
        <v>4.8074419999999944E-2</v>
      </c>
      <c r="D77" s="92">
        <v>2.4E-2</v>
      </c>
      <c r="E77" s="99">
        <v>5.7227989999999807E-3</v>
      </c>
      <c r="F77" s="51">
        <v>1.1299999999999999E-2</v>
      </c>
      <c r="G77" s="51">
        <v>3.9100000000000003E-2</v>
      </c>
    </row>
    <row r="78" spans="1:7" x14ac:dyDescent="0.25">
      <c r="A78" t="s">
        <v>570</v>
      </c>
      <c r="B78" s="40">
        <v>551</v>
      </c>
      <c r="C78" s="99">
        <v>4.7989060000000021E-2</v>
      </c>
      <c r="D78" s="92">
        <v>2.4E-2</v>
      </c>
      <c r="E78" s="99">
        <v>5.7671589999999636E-3</v>
      </c>
      <c r="F78" s="51">
        <v>1.14E-2</v>
      </c>
      <c r="G78" s="51">
        <v>3.9E-2</v>
      </c>
    </row>
    <row r="79" spans="1:7" x14ac:dyDescent="0.25">
      <c r="A79" t="s">
        <v>570</v>
      </c>
      <c r="B79" s="40">
        <v>563</v>
      </c>
      <c r="C79" s="99">
        <v>4.7655110000000035E-2</v>
      </c>
      <c r="D79" s="92">
        <v>2.4E-2</v>
      </c>
      <c r="E79" s="99">
        <v>5.8866580000000116E-3</v>
      </c>
      <c r="F79" s="51">
        <v>1.15E-2</v>
      </c>
      <c r="G79" s="51">
        <v>3.8800000000000001E-2</v>
      </c>
    </row>
    <row r="80" spans="1:7" x14ac:dyDescent="0.25">
      <c r="A80" t="s">
        <v>570</v>
      </c>
      <c r="B80" s="40">
        <v>606</v>
      </c>
      <c r="C80" s="99">
        <v>4.6726440000000057E-2</v>
      </c>
      <c r="D80" s="92">
        <v>2.4E-2</v>
      </c>
      <c r="E80" s="99">
        <v>6.664784000000026E-3</v>
      </c>
      <c r="F80" s="51">
        <v>1.2E-2</v>
      </c>
      <c r="G80" s="51">
        <v>3.8199999999999998E-2</v>
      </c>
    </row>
    <row r="81" spans="1:7" x14ac:dyDescent="0.25">
      <c r="A81" t="s">
        <v>570</v>
      </c>
      <c r="B81" s="40">
        <v>650</v>
      </c>
      <c r="C81" s="99">
        <v>4.5849130000000002E-2</v>
      </c>
      <c r="D81" s="92">
        <v>2.4E-2</v>
      </c>
      <c r="E81" s="99">
        <v>7.0721570000000615E-3</v>
      </c>
      <c r="F81" s="51">
        <v>1.29E-2</v>
      </c>
      <c r="G81" s="51">
        <v>3.7100000000000001E-2</v>
      </c>
    </row>
  </sheetData>
  <sortState ref="A2:D83">
    <sortCondition ref="B2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E2" sqref="E2"/>
    </sheetView>
  </sheetViews>
  <sheetFormatPr defaultRowHeight="15" x14ac:dyDescent="0.25"/>
  <cols>
    <col min="1" max="1" width="15.28515625" bestFit="1" customWidth="1"/>
    <col min="2" max="2" width="11" bestFit="1" customWidth="1"/>
    <col min="3" max="3" width="9.140625" customWidth="1"/>
    <col min="4" max="4" width="8.5703125" bestFit="1" customWidth="1"/>
  </cols>
  <sheetData>
    <row r="1" spans="1:6" x14ac:dyDescent="0.25">
      <c r="A1" t="s">
        <v>415</v>
      </c>
      <c r="B1" t="s">
        <v>416</v>
      </c>
      <c r="C1" t="s">
        <v>418</v>
      </c>
      <c r="D1" t="s">
        <v>419</v>
      </c>
      <c r="E1" t="s">
        <v>611</v>
      </c>
      <c r="F1" t="s">
        <v>1077</v>
      </c>
    </row>
    <row r="2" spans="1:6" x14ac:dyDescent="0.25">
      <c r="A2" t="s">
        <v>574</v>
      </c>
      <c r="B2">
        <v>0</v>
      </c>
      <c r="C2" s="51">
        <v>0.5</v>
      </c>
      <c r="D2" s="19">
        <v>1.6E-2</v>
      </c>
      <c r="E2" s="51"/>
      <c r="F2" s="51">
        <v>0.5</v>
      </c>
    </row>
    <row r="3" spans="1:6" x14ac:dyDescent="0.25">
      <c r="A3" t="s">
        <v>574</v>
      </c>
      <c r="B3">
        <v>11</v>
      </c>
      <c r="C3" s="51">
        <v>0.26932174680000004</v>
      </c>
      <c r="D3" s="19">
        <v>1.6E-2</v>
      </c>
      <c r="E3" s="51"/>
      <c r="F3" s="51">
        <v>0.1583</v>
      </c>
    </row>
    <row r="4" spans="1:6" x14ac:dyDescent="0.25">
      <c r="A4" t="s">
        <v>574</v>
      </c>
      <c r="B4">
        <v>13</v>
      </c>
      <c r="C4" s="51">
        <v>0.23057287220000006</v>
      </c>
      <c r="D4" s="19">
        <v>1.6E-2</v>
      </c>
      <c r="E4" s="51"/>
      <c r="F4" s="51">
        <v>0.1386</v>
      </c>
    </row>
    <row r="5" spans="1:6" x14ac:dyDescent="0.25">
      <c r="A5" t="s">
        <v>574</v>
      </c>
      <c r="B5">
        <v>15</v>
      </c>
      <c r="C5" s="51">
        <v>0.22303859709999999</v>
      </c>
      <c r="D5" s="19">
        <v>1.6E-2</v>
      </c>
      <c r="E5" s="51"/>
      <c r="F5" s="51">
        <v>0.1235</v>
      </c>
    </row>
    <row r="6" spans="1:6" x14ac:dyDescent="0.25">
      <c r="A6" t="s">
        <v>574</v>
      </c>
      <c r="B6">
        <v>17</v>
      </c>
      <c r="C6" s="51">
        <v>0.21011333469999996</v>
      </c>
      <c r="D6" s="19">
        <v>1.6E-2</v>
      </c>
      <c r="E6" s="51"/>
      <c r="F6" s="51">
        <v>0.1114</v>
      </c>
    </row>
    <row r="7" spans="1:6" x14ac:dyDescent="0.25">
      <c r="A7" t="s">
        <v>574</v>
      </c>
      <c r="B7">
        <v>18</v>
      </c>
      <c r="C7" s="51">
        <v>0.2028226662</v>
      </c>
      <c r="D7" s="19">
        <v>1.6E-2</v>
      </c>
      <c r="E7" s="51"/>
      <c r="F7" s="51">
        <v>0.10630000000000001</v>
      </c>
    </row>
    <row r="8" spans="1:6" x14ac:dyDescent="0.25">
      <c r="A8" t="s">
        <v>574</v>
      </c>
      <c r="B8">
        <v>21</v>
      </c>
      <c r="C8" s="51">
        <v>0.18146184919999997</v>
      </c>
      <c r="D8" s="19">
        <v>1.6E-2</v>
      </c>
      <c r="E8" s="51"/>
      <c r="F8" s="51">
        <v>9.3600000000000003E-2</v>
      </c>
    </row>
    <row r="9" spans="1:6" x14ac:dyDescent="0.25">
      <c r="A9" t="s">
        <v>574</v>
      </c>
      <c r="B9">
        <v>25</v>
      </c>
      <c r="C9" s="51">
        <v>0.15720936780000003</v>
      </c>
      <c r="D9" s="19">
        <v>1.6E-2</v>
      </c>
      <c r="E9" s="51"/>
      <c r="F9" s="51">
        <v>8.5800000000000001E-2</v>
      </c>
    </row>
    <row r="10" spans="1:6" x14ac:dyDescent="0.25">
      <c r="A10" t="s">
        <v>574</v>
      </c>
      <c r="B10">
        <v>26</v>
      </c>
      <c r="C10" s="51">
        <v>0.15197288510000007</v>
      </c>
      <c r="D10" s="19">
        <v>1.6E-2</v>
      </c>
      <c r="E10" s="51"/>
      <c r="F10" s="51">
        <v>8.5099999999999995E-2</v>
      </c>
    </row>
    <row r="11" spans="1:6" x14ac:dyDescent="0.25">
      <c r="A11" t="s">
        <v>574</v>
      </c>
      <c r="B11">
        <v>31</v>
      </c>
      <c r="C11" s="51">
        <v>0.13756595610000005</v>
      </c>
      <c r="D11" s="19">
        <v>1.6E-2</v>
      </c>
      <c r="E11" s="51"/>
      <c r="F11" s="51">
        <v>7.9699999999999993E-2</v>
      </c>
    </row>
    <row r="12" spans="1:6" x14ac:dyDescent="0.25">
      <c r="A12" t="s">
        <v>574</v>
      </c>
      <c r="B12">
        <v>36</v>
      </c>
      <c r="C12" s="51">
        <v>0.12867315289999992</v>
      </c>
      <c r="D12" s="19">
        <v>1.6E-2</v>
      </c>
      <c r="E12" s="51"/>
      <c r="F12" s="51">
        <v>7.3499999999999996E-2</v>
      </c>
    </row>
    <row r="13" spans="1:6" x14ac:dyDescent="0.25">
      <c r="A13" t="s">
        <v>574</v>
      </c>
      <c r="B13">
        <v>37</v>
      </c>
      <c r="C13" s="51">
        <v>0.12651101109999999</v>
      </c>
      <c r="D13" s="19">
        <v>1.6E-2</v>
      </c>
      <c r="E13" s="51"/>
      <c r="F13" s="51">
        <v>7.2300000000000003E-2</v>
      </c>
    </row>
    <row r="14" spans="1:6" x14ac:dyDescent="0.25">
      <c r="A14" t="s">
        <v>574</v>
      </c>
      <c r="B14">
        <v>38</v>
      </c>
      <c r="C14" s="51">
        <v>0.12431918139999994</v>
      </c>
      <c r="D14" s="19">
        <v>1.6E-2</v>
      </c>
      <c r="E14" s="51"/>
      <c r="F14" s="51">
        <v>7.1099999999999997E-2</v>
      </c>
    </row>
    <row r="15" spans="1:6" x14ac:dyDescent="0.25">
      <c r="A15" t="s">
        <v>574</v>
      </c>
      <c r="B15">
        <v>40</v>
      </c>
      <c r="C15" s="51">
        <v>0.11993204120000002</v>
      </c>
      <c r="D15" s="19">
        <v>1.6E-2</v>
      </c>
      <c r="E15" s="51"/>
      <c r="F15" s="51">
        <v>6.88E-2</v>
      </c>
    </row>
    <row r="16" spans="1:6" x14ac:dyDescent="0.25">
      <c r="A16" t="s">
        <v>574</v>
      </c>
      <c r="B16">
        <v>42</v>
      </c>
      <c r="C16" s="51">
        <v>0.11563394549999999</v>
      </c>
      <c r="D16" s="19">
        <v>1.6E-2</v>
      </c>
      <c r="E16" s="51"/>
      <c r="F16" s="51">
        <v>6.6600000000000006E-2</v>
      </c>
    </row>
    <row r="17" spans="1:6" x14ac:dyDescent="0.25">
      <c r="A17" t="s">
        <v>574</v>
      </c>
      <c r="B17">
        <v>52</v>
      </c>
      <c r="C17" s="51">
        <v>0.10110774989999996</v>
      </c>
      <c r="D17" s="19">
        <v>1.6E-2</v>
      </c>
      <c r="E17" s="51"/>
      <c r="F17" s="51">
        <v>5.74E-2</v>
      </c>
    </row>
    <row r="18" spans="1:6" x14ac:dyDescent="0.25">
      <c r="A18" t="s">
        <v>574</v>
      </c>
      <c r="B18">
        <v>53</v>
      </c>
      <c r="C18" s="51">
        <v>0.10059111599999994</v>
      </c>
      <c r="D18" s="19">
        <v>1.6E-2</v>
      </c>
      <c r="E18" s="51"/>
      <c r="F18" s="51">
        <v>5.6599999999999998E-2</v>
      </c>
    </row>
    <row r="19" spans="1:6" x14ac:dyDescent="0.25">
      <c r="A19" t="s">
        <v>574</v>
      </c>
      <c r="B19">
        <v>55</v>
      </c>
      <c r="C19" s="51">
        <v>9.9244451499999969E-2</v>
      </c>
      <c r="D19" s="19">
        <v>1.6E-2</v>
      </c>
      <c r="E19" s="51"/>
      <c r="F19" s="51">
        <v>5.6399999999999999E-2</v>
      </c>
    </row>
    <row r="20" spans="1:6" x14ac:dyDescent="0.25">
      <c r="A20" t="s">
        <v>574</v>
      </c>
      <c r="B20">
        <v>58</v>
      </c>
      <c r="C20" s="51">
        <v>9.6711387600000046E-2</v>
      </c>
      <c r="D20" s="19">
        <v>1.6E-2</v>
      </c>
      <c r="E20" s="51"/>
      <c r="F20" s="51">
        <v>5.5899999999999998E-2</v>
      </c>
    </row>
    <row r="21" spans="1:6" x14ac:dyDescent="0.25">
      <c r="A21" t="s">
        <v>574</v>
      </c>
      <c r="B21">
        <v>62</v>
      </c>
      <c r="C21" s="51">
        <v>9.2868528399999942E-2</v>
      </c>
      <c r="D21" s="19">
        <v>1.6E-2</v>
      </c>
      <c r="E21" s="51"/>
      <c r="F21" s="51">
        <v>5.4800000000000001E-2</v>
      </c>
    </row>
    <row r="22" spans="1:6" x14ac:dyDescent="0.25">
      <c r="A22" t="s">
        <v>574</v>
      </c>
      <c r="B22">
        <v>64</v>
      </c>
      <c r="C22" s="51">
        <v>9.0877199199999981E-2</v>
      </c>
      <c r="D22" s="19">
        <v>1.6E-2</v>
      </c>
      <c r="E22" s="51"/>
      <c r="F22" s="51">
        <v>5.4199999999999998E-2</v>
      </c>
    </row>
    <row r="23" spans="1:6" x14ac:dyDescent="0.25">
      <c r="A23" t="s">
        <v>574</v>
      </c>
      <c r="B23">
        <v>71</v>
      </c>
      <c r="C23" s="51">
        <v>8.4032802600000026E-2</v>
      </c>
      <c r="D23" s="19">
        <v>1.6E-2</v>
      </c>
      <c r="E23" s="51"/>
      <c r="F23" s="51">
        <v>5.16E-2</v>
      </c>
    </row>
    <row r="24" spans="1:6" x14ac:dyDescent="0.25">
      <c r="A24" t="s">
        <v>574</v>
      </c>
      <c r="B24">
        <v>89</v>
      </c>
      <c r="C24" s="51">
        <v>7.6155481299999939E-2</v>
      </c>
      <c r="D24" s="19">
        <v>1.6E-2</v>
      </c>
      <c r="E24" s="51"/>
      <c r="F24" s="51">
        <v>4.5100000000000001E-2</v>
      </c>
    </row>
    <row r="25" spans="1:6" x14ac:dyDescent="0.25">
      <c r="A25" t="s">
        <v>574</v>
      </c>
      <c r="B25">
        <v>90</v>
      </c>
      <c r="C25" s="51">
        <v>7.5601415600000055E-2</v>
      </c>
      <c r="D25" s="19">
        <v>1.6E-2</v>
      </c>
      <c r="E25" s="51"/>
      <c r="F25" s="51">
        <v>4.5100000000000001E-2</v>
      </c>
    </row>
    <row r="26" spans="1:6" x14ac:dyDescent="0.25">
      <c r="A26" t="s">
        <v>574</v>
      </c>
      <c r="B26">
        <v>92</v>
      </c>
      <c r="C26" s="51">
        <v>7.4481816299999934E-2</v>
      </c>
      <c r="D26" s="19">
        <v>1.6E-2</v>
      </c>
      <c r="E26" s="51"/>
      <c r="F26" s="51">
        <v>4.4999999999999998E-2</v>
      </c>
    </row>
    <row r="27" spans="1:6" x14ac:dyDescent="0.25">
      <c r="A27" t="s">
        <v>574</v>
      </c>
      <c r="B27">
        <v>95</v>
      </c>
      <c r="C27" s="51">
        <v>7.279249190000002E-2</v>
      </c>
      <c r="D27" s="19">
        <v>1.6E-2</v>
      </c>
      <c r="E27" s="51"/>
      <c r="F27" s="51">
        <v>4.48E-2</v>
      </c>
    </row>
    <row r="28" spans="1:6" x14ac:dyDescent="0.25">
      <c r="A28" t="s">
        <v>574</v>
      </c>
      <c r="B28">
        <v>103</v>
      </c>
      <c r="C28" s="51">
        <v>6.989052770000001E-2</v>
      </c>
      <c r="D28" s="19">
        <v>1.6E-2</v>
      </c>
      <c r="E28" s="51"/>
      <c r="F28" s="51">
        <v>4.3700000000000003E-2</v>
      </c>
    </row>
    <row r="29" spans="1:6" x14ac:dyDescent="0.25">
      <c r="A29" t="s">
        <v>574</v>
      </c>
      <c r="B29">
        <v>111</v>
      </c>
      <c r="C29" s="51">
        <v>6.8196177500000066E-2</v>
      </c>
      <c r="D29" s="19">
        <v>1.6E-2</v>
      </c>
      <c r="E29" s="51"/>
      <c r="F29" s="51">
        <v>4.2299999999999997E-2</v>
      </c>
    </row>
    <row r="30" spans="1:6" x14ac:dyDescent="0.25">
      <c r="A30" t="s">
        <v>574</v>
      </c>
      <c r="B30">
        <v>135</v>
      </c>
      <c r="C30" s="51">
        <v>6.1601142899999954E-2</v>
      </c>
      <c r="D30" s="19">
        <v>1.6E-2</v>
      </c>
      <c r="E30" s="51"/>
      <c r="F30" s="51">
        <v>3.9E-2</v>
      </c>
    </row>
    <row r="31" spans="1:6" x14ac:dyDescent="0.25">
      <c r="A31" t="s">
        <v>574</v>
      </c>
      <c r="B31">
        <v>140</v>
      </c>
      <c r="C31" s="51">
        <v>6.0854964300000064E-2</v>
      </c>
      <c r="D31" s="19">
        <v>1.6E-2</v>
      </c>
      <c r="E31" s="51"/>
      <c r="F31" s="51">
        <v>3.8600000000000002E-2</v>
      </c>
    </row>
    <row r="32" spans="1:6" x14ac:dyDescent="0.25">
      <c r="A32" t="s">
        <v>574</v>
      </c>
      <c r="B32">
        <v>150</v>
      </c>
      <c r="C32" s="51">
        <v>5.8709816899999934E-2</v>
      </c>
      <c r="D32" s="19">
        <v>1.6E-2</v>
      </c>
      <c r="E32" s="51"/>
      <c r="F32" s="51">
        <v>3.7699999999999997E-2</v>
      </c>
    </row>
    <row r="33" spans="1:6" x14ac:dyDescent="0.25">
      <c r="A33" t="s">
        <v>574</v>
      </c>
      <c r="B33">
        <v>168</v>
      </c>
      <c r="C33" s="51">
        <v>5.5754604300000066E-2</v>
      </c>
      <c r="D33" s="19">
        <v>1.6E-2</v>
      </c>
      <c r="E33" s="51"/>
      <c r="F33" s="51">
        <v>3.56E-2</v>
      </c>
    </row>
    <row r="34" spans="1:6" x14ac:dyDescent="0.25">
      <c r="A34" t="s">
        <v>574</v>
      </c>
      <c r="B34">
        <v>171</v>
      </c>
      <c r="C34" s="51">
        <v>5.5435357100000006E-2</v>
      </c>
      <c r="D34" s="19">
        <v>1.6E-2</v>
      </c>
      <c r="E34" s="51"/>
      <c r="F34" s="51">
        <v>3.5499999999999997E-2</v>
      </c>
    </row>
    <row r="35" spans="1:6" x14ac:dyDescent="0.25">
      <c r="A35" t="s">
        <v>574</v>
      </c>
      <c r="B35">
        <v>174</v>
      </c>
      <c r="C35" s="51">
        <v>5.5048837700000061E-2</v>
      </c>
      <c r="D35" s="19">
        <v>1.6E-2</v>
      </c>
      <c r="E35" s="51"/>
      <c r="F35" s="51">
        <v>3.5400000000000001E-2</v>
      </c>
    </row>
    <row r="36" spans="1:6" x14ac:dyDescent="0.25">
      <c r="A36" t="s">
        <v>574</v>
      </c>
      <c r="B36">
        <v>176</v>
      </c>
      <c r="C36" s="51">
        <v>5.4761295299999943E-2</v>
      </c>
      <c r="D36" s="19">
        <v>1.6E-2</v>
      </c>
      <c r="E36" s="51"/>
      <c r="F36" s="51">
        <v>3.5400000000000001E-2</v>
      </c>
    </row>
    <row r="37" spans="1:6" x14ac:dyDescent="0.25">
      <c r="A37" t="s">
        <v>574</v>
      </c>
      <c r="B37">
        <v>177</v>
      </c>
      <c r="C37" s="51">
        <v>5.4609994900000063E-2</v>
      </c>
      <c r="D37" s="19">
        <v>1.6E-2</v>
      </c>
      <c r="E37" s="51"/>
      <c r="F37" s="51">
        <v>3.5299999999999998E-2</v>
      </c>
    </row>
    <row r="38" spans="1:6" x14ac:dyDescent="0.25">
      <c r="A38" t="s">
        <v>574</v>
      </c>
      <c r="B38">
        <v>185</v>
      </c>
      <c r="C38" s="51">
        <v>5.3268680599999951E-2</v>
      </c>
      <c r="D38" s="19">
        <v>1.6E-2</v>
      </c>
      <c r="E38" s="51"/>
      <c r="F38" s="51">
        <v>3.5000000000000003E-2</v>
      </c>
    </row>
    <row r="39" spans="1:6" x14ac:dyDescent="0.25">
      <c r="A39" t="s">
        <v>574</v>
      </c>
      <c r="B39">
        <v>203</v>
      </c>
      <c r="C39" s="51">
        <v>5.1339788399999975E-2</v>
      </c>
      <c r="D39" s="19">
        <v>1.6E-2</v>
      </c>
      <c r="E39" s="51"/>
      <c r="F39" s="51">
        <v>3.3700000000000001E-2</v>
      </c>
    </row>
    <row r="40" spans="1:6" x14ac:dyDescent="0.25">
      <c r="A40" t="s">
        <v>574</v>
      </c>
      <c r="B40">
        <v>226</v>
      </c>
      <c r="C40" s="51">
        <v>4.8561773299999944E-2</v>
      </c>
      <c r="D40" s="19">
        <v>1.6E-2</v>
      </c>
      <c r="E40" s="51"/>
      <c r="F40" s="51">
        <v>3.27E-2</v>
      </c>
    </row>
    <row r="41" spans="1:6" x14ac:dyDescent="0.25">
      <c r="A41" t="s">
        <v>574</v>
      </c>
      <c r="B41">
        <v>235</v>
      </c>
      <c r="C41" s="51">
        <v>4.8158044799999973E-2</v>
      </c>
      <c r="D41" s="19">
        <v>1.6E-2</v>
      </c>
      <c r="E41" s="51"/>
      <c r="F41" s="51">
        <v>3.2300000000000002E-2</v>
      </c>
    </row>
    <row r="42" spans="1:6" x14ac:dyDescent="0.25">
      <c r="A42" t="s">
        <v>574</v>
      </c>
      <c r="B42">
        <v>242</v>
      </c>
      <c r="C42" s="51">
        <v>4.7720508599999933E-2</v>
      </c>
      <c r="D42" s="19">
        <v>1.6E-2</v>
      </c>
      <c r="E42" s="51"/>
      <c r="F42" s="51">
        <v>3.2000000000000001E-2</v>
      </c>
    </row>
    <row r="43" spans="1:6" x14ac:dyDescent="0.25">
      <c r="A43" t="s">
        <v>574</v>
      </c>
      <c r="B43">
        <v>297</v>
      </c>
      <c r="C43" s="51">
        <v>4.3611693400000033E-2</v>
      </c>
      <c r="D43" s="19">
        <v>1.6E-2</v>
      </c>
      <c r="E43" s="51"/>
      <c r="F43" s="51">
        <v>0.03</v>
      </c>
    </row>
    <row r="44" spans="1:6" x14ac:dyDescent="0.25">
      <c r="A44" t="s">
        <v>574</v>
      </c>
      <c r="B44">
        <v>299</v>
      </c>
      <c r="C44" s="51">
        <v>4.3428039599999975E-2</v>
      </c>
      <c r="D44" s="19">
        <v>1.6E-2</v>
      </c>
      <c r="E44" s="51"/>
      <c r="F44" s="51">
        <v>2.9899999999999999E-2</v>
      </c>
    </row>
    <row r="45" spans="1:6" x14ac:dyDescent="0.25">
      <c r="A45" t="s">
        <v>574</v>
      </c>
      <c r="B45">
        <v>314</v>
      </c>
      <c r="C45" s="51">
        <v>4.299215790000005E-2</v>
      </c>
      <c r="D45" s="19">
        <v>1.6E-2</v>
      </c>
      <c r="E45" s="51"/>
      <c r="F45" s="51">
        <v>2.9600000000000001E-2</v>
      </c>
    </row>
    <row r="46" spans="1:6" x14ac:dyDescent="0.25">
      <c r="A46" t="s">
        <v>574</v>
      </c>
      <c r="B46">
        <v>322</v>
      </c>
      <c r="C46" s="51">
        <v>4.2560658499999987E-2</v>
      </c>
      <c r="D46" s="19">
        <v>1.6E-2</v>
      </c>
      <c r="E46" s="51"/>
      <c r="F46" s="51">
        <v>2.9399999999999999E-2</v>
      </c>
    </row>
    <row r="47" spans="1:6" x14ac:dyDescent="0.25">
      <c r="A47" t="s">
        <v>574</v>
      </c>
      <c r="B47">
        <v>329</v>
      </c>
      <c r="C47" s="51">
        <v>4.2099513999999942E-2</v>
      </c>
      <c r="D47" s="19">
        <v>1.6E-2</v>
      </c>
      <c r="E47" s="51"/>
      <c r="F47" s="51">
        <v>2.93E-2</v>
      </c>
    </row>
    <row r="48" spans="1:6" x14ac:dyDescent="0.25">
      <c r="A48" t="s">
        <v>574</v>
      </c>
      <c r="B48">
        <v>343</v>
      </c>
      <c r="C48" s="51">
        <v>4.1414818800000003E-2</v>
      </c>
      <c r="D48" s="19">
        <v>1.6E-2</v>
      </c>
      <c r="E48" s="51"/>
      <c r="F48" s="51">
        <v>2.8799999999999999E-2</v>
      </c>
    </row>
    <row r="49" spans="1:6" x14ac:dyDescent="0.25">
      <c r="A49" t="s">
        <v>574</v>
      </c>
      <c r="B49">
        <v>380</v>
      </c>
      <c r="C49" s="51">
        <v>3.9839811300000035E-2</v>
      </c>
      <c r="D49" s="19">
        <v>1.6E-2</v>
      </c>
      <c r="E49" s="51"/>
      <c r="F49" s="51">
        <v>2.81E-2</v>
      </c>
    </row>
    <row r="50" spans="1:6" x14ac:dyDescent="0.25">
      <c r="A50" t="s">
        <v>574</v>
      </c>
      <c r="B50">
        <v>386</v>
      </c>
      <c r="C50" s="51">
        <v>3.974464420000004E-2</v>
      </c>
      <c r="D50" s="19">
        <v>1.6E-2</v>
      </c>
      <c r="E50" s="51"/>
      <c r="F50" s="51">
        <v>2.8000000000000001E-2</v>
      </c>
    </row>
    <row r="51" spans="1:6" x14ac:dyDescent="0.25">
      <c r="A51" t="s">
        <v>574</v>
      </c>
      <c r="B51">
        <v>401</v>
      </c>
      <c r="C51" s="51">
        <v>3.9226644000000019E-2</v>
      </c>
      <c r="D51" s="19">
        <v>1.6E-2</v>
      </c>
      <c r="E51" s="51"/>
      <c r="F51" s="51">
        <v>2.76E-2</v>
      </c>
    </row>
    <row r="52" spans="1:6" x14ac:dyDescent="0.25">
      <c r="A52" t="s">
        <v>574</v>
      </c>
      <c r="B52">
        <v>402</v>
      </c>
      <c r="C52" s="51">
        <v>3.918177369999995E-2</v>
      </c>
      <c r="D52" s="19">
        <v>1.6E-2</v>
      </c>
      <c r="E52" s="51"/>
      <c r="F52" s="51">
        <v>2.76E-2</v>
      </c>
    </row>
    <row r="53" spans="1:6" x14ac:dyDescent="0.25">
      <c r="A53" t="s">
        <v>574</v>
      </c>
      <c r="B53">
        <v>404</v>
      </c>
      <c r="C53" s="51">
        <v>3.9089095599999978E-2</v>
      </c>
      <c r="D53" s="19">
        <v>1.6E-2</v>
      </c>
      <c r="E53" s="51"/>
      <c r="F53" s="51">
        <v>2.76E-2</v>
      </c>
    </row>
    <row r="54" spans="1:6" x14ac:dyDescent="0.25">
      <c r="A54" t="s">
        <v>574</v>
      </c>
      <c r="B54">
        <v>450</v>
      </c>
      <c r="C54" s="51">
        <v>3.7556924799999933E-2</v>
      </c>
      <c r="D54" s="19">
        <v>1.6E-2</v>
      </c>
      <c r="E54" s="51">
        <v>5.1123700000061942E-5</v>
      </c>
      <c r="F54" s="51">
        <v>2.6800000000000001E-2</v>
      </c>
    </row>
    <row r="55" spans="1:6" x14ac:dyDescent="0.25">
      <c r="A55" t="s">
        <v>574</v>
      </c>
      <c r="B55">
        <v>455</v>
      </c>
      <c r="C55" s="51">
        <v>3.7326309700000025E-2</v>
      </c>
      <c r="D55" s="19">
        <v>1.6E-2</v>
      </c>
      <c r="E55" s="51">
        <v>7.901410000002329E-5</v>
      </c>
      <c r="F55" s="51">
        <v>2.6800000000000001E-2</v>
      </c>
    </row>
    <row r="56" spans="1:6" x14ac:dyDescent="0.25">
      <c r="A56" t="s">
        <v>574</v>
      </c>
      <c r="B56">
        <v>459</v>
      </c>
      <c r="C56" s="51">
        <v>3.7269666199999989E-2</v>
      </c>
      <c r="D56" s="19">
        <v>1.6E-2</v>
      </c>
      <c r="E56" s="51">
        <v>1.0211240000003841E-4</v>
      </c>
      <c r="F56" s="51">
        <v>2.6800000000000001E-2</v>
      </c>
    </row>
    <row r="57" spans="1:6" x14ac:dyDescent="0.25">
      <c r="A57" t="s">
        <v>574</v>
      </c>
      <c r="B57">
        <v>461</v>
      </c>
      <c r="C57" s="51">
        <v>3.7256460199999994E-2</v>
      </c>
      <c r="D57" s="19">
        <v>1.6E-2</v>
      </c>
      <c r="E57" s="51">
        <v>1.1393990000001963E-4</v>
      </c>
      <c r="F57" s="51">
        <v>2.6800000000000001E-2</v>
      </c>
    </row>
    <row r="58" spans="1:6" x14ac:dyDescent="0.25">
      <c r="A58" t="s">
        <v>574</v>
      </c>
      <c r="B58">
        <v>497</v>
      </c>
      <c r="C58" s="51">
        <v>3.6220357400000014E-2</v>
      </c>
      <c r="D58" s="19">
        <v>1.6E-2</v>
      </c>
      <c r="E58" s="51">
        <v>3.6678019999996536E-4</v>
      </c>
      <c r="F58" s="51">
        <v>2.6200000000000001E-2</v>
      </c>
    </row>
    <row r="59" spans="1:6" x14ac:dyDescent="0.25">
      <c r="A59" t="s">
        <v>574</v>
      </c>
      <c r="B59">
        <v>533</v>
      </c>
      <c r="C59" s="51">
        <v>3.5480325200000065E-2</v>
      </c>
      <c r="D59" s="19">
        <v>1.6E-2</v>
      </c>
      <c r="E59" s="51">
        <v>7.2993560000000457E-4</v>
      </c>
      <c r="F59" s="51">
        <v>2.5899999999999999E-2</v>
      </c>
    </row>
    <row r="60" spans="1:6" x14ac:dyDescent="0.25">
      <c r="A60" t="s">
        <v>574</v>
      </c>
      <c r="B60">
        <v>551</v>
      </c>
      <c r="C60" s="51">
        <v>3.5191268899999954E-2</v>
      </c>
      <c r="D60" s="19">
        <v>1.6E-2</v>
      </c>
      <c r="E60" s="51">
        <v>9.7384689999998383E-4</v>
      </c>
      <c r="F60" s="51">
        <v>2.5600000000000001E-2</v>
      </c>
    </row>
    <row r="61" spans="1:6" x14ac:dyDescent="0.25">
      <c r="A61" t="s">
        <v>574</v>
      </c>
      <c r="B61">
        <v>552</v>
      </c>
      <c r="C61" s="51">
        <v>3.5176324800000033E-2</v>
      </c>
      <c r="D61" s="19">
        <v>1.6E-2</v>
      </c>
      <c r="E61" s="51">
        <v>9.8894540000003415E-4</v>
      </c>
      <c r="F61" s="51">
        <v>2.5600000000000001E-2</v>
      </c>
    </row>
    <row r="62" spans="1:6" x14ac:dyDescent="0.25">
      <c r="A62" t="s">
        <v>574</v>
      </c>
      <c r="B62">
        <v>561</v>
      </c>
      <c r="C62" s="51">
        <v>3.5002827600000043E-2</v>
      </c>
      <c r="D62" s="19">
        <v>1.6E-2</v>
      </c>
      <c r="E62" s="51">
        <v>1.1331332999999688E-3</v>
      </c>
      <c r="F62" s="51">
        <v>2.5600000000000001E-2</v>
      </c>
    </row>
    <row r="63" spans="1:6" x14ac:dyDescent="0.25">
      <c r="A63" t="s">
        <v>574</v>
      </c>
      <c r="B63">
        <v>598</v>
      </c>
      <c r="C63" s="51">
        <v>3.4295461199999974E-2</v>
      </c>
      <c r="D63" s="19">
        <v>1.6E-2</v>
      </c>
      <c r="E63" s="51">
        <v>1.7249612999999898E-3</v>
      </c>
      <c r="F63" s="51">
        <v>2.5100000000000001E-2</v>
      </c>
    </row>
    <row r="64" spans="1:6" x14ac:dyDescent="0.25">
      <c r="A64" t="s">
        <v>574</v>
      </c>
      <c r="B64">
        <v>609</v>
      </c>
      <c r="C64" s="51">
        <v>3.4073758100000046E-2</v>
      </c>
      <c r="D64" s="19">
        <v>1.6E-2</v>
      </c>
      <c r="E64" s="51">
        <v>1.7650430000000483E-3</v>
      </c>
      <c r="F64" s="51">
        <v>2.5100000000000001E-2</v>
      </c>
    </row>
    <row r="65" spans="1:6" x14ac:dyDescent="0.25">
      <c r="A65" t="s">
        <v>574</v>
      </c>
      <c r="B65">
        <v>690</v>
      </c>
      <c r="C65" s="51">
        <v>3.2804732299999986E-2</v>
      </c>
      <c r="D65" s="19">
        <v>1.6E-2</v>
      </c>
      <c r="E65" s="51">
        <v>2.3838111999999966E-3</v>
      </c>
      <c r="F65" s="51">
        <v>2.4400000000000002E-2</v>
      </c>
    </row>
    <row r="66" spans="1:6" x14ac:dyDescent="0.25">
      <c r="A66" t="s">
        <v>574</v>
      </c>
      <c r="B66">
        <v>697</v>
      </c>
      <c r="C66" s="51">
        <v>3.2678868800000059E-2</v>
      </c>
      <c r="D66" s="19">
        <v>1.6E-2</v>
      </c>
      <c r="E66" s="51">
        <v>2.4766893999999696E-3</v>
      </c>
      <c r="F66" s="51">
        <v>2.4400000000000002E-2</v>
      </c>
    </row>
    <row r="67" spans="1:6" x14ac:dyDescent="0.25">
      <c r="A67" t="s">
        <v>574</v>
      </c>
      <c r="B67">
        <v>798</v>
      </c>
      <c r="C67" s="51">
        <v>3.1319167599999954E-2</v>
      </c>
      <c r="D67" s="19">
        <v>1.6E-2</v>
      </c>
      <c r="E67" s="51">
        <v>3.1835451999999973E-3</v>
      </c>
      <c r="F67" s="51">
        <v>2.3699999999999999E-2</v>
      </c>
    </row>
    <row r="68" spans="1:6" x14ac:dyDescent="0.25">
      <c r="A68" t="s">
        <v>574</v>
      </c>
      <c r="B68">
        <v>808</v>
      </c>
      <c r="C68" s="51">
        <v>3.1283731500000016E-2</v>
      </c>
      <c r="D68" s="19">
        <v>1.6E-2</v>
      </c>
      <c r="E68" s="51">
        <v>3.2778238999999587E-3</v>
      </c>
      <c r="F68" s="51">
        <v>2.3699999999999999E-2</v>
      </c>
    </row>
    <row r="69" spans="1:6" x14ac:dyDescent="0.25">
      <c r="A69" t="s">
        <v>574</v>
      </c>
      <c r="B69">
        <v>825</v>
      </c>
      <c r="C69" s="51">
        <v>3.112108710000001E-2</v>
      </c>
      <c r="D69" s="19">
        <v>1.6E-2</v>
      </c>
      <c r="E69" s="51">
        <v>3.4717804000000286E-3</v>
      </c>
      <c r="F69" s="51">
        <v>2.3599999999999999E-2</v>
      </c>
    </row>
    <row r="70" spans="1:6" x14ac:dyDescent="0.25">
      <c r="A70" t="s">
        <v>574</v>
      </c>
      <c r="B70">
        <v>918</v>
      </c>
      <c r="C70" s="51">
        <v>3.019768709999994E-2</v>
      </c>
      <c r="D70" s="19">
        <v>1.6E-2</v>
      </c>
      <c r="E70" s="51">
        <v>3.9600638000000287E-3</v>
      </c>
      <c r="F70" s="51">
        <v>2.3099999999999999E-2</v>
      </c>
    </row>
    <row r="71" spans="1:6" x14ac:dyDescent="0.25">
      <c r="A71" t="s">
        <v>574</v>
      </c>
      <c r="B71">
        <v>943</v>
      </c>
      <c r="C71" s="51">
        <v>2.9959147000000002E-2</v>
      </c>
      <c r="D71" s="19">
        <v>1.6E-2</v>
      </c>
      <c r="E71" s="51">
        <v>4.2079735000000087E-3</v>
      </c>
      <c r="F71" s="51">
        <v>2.3E-2</v>
      </c>
    </row>
    <row r="72" spans="1:6" x14ac:dyDescent="0.25">
      <c r="A72" t="s">
        <v>574</v>
      </c>
      <c r="B72">
        <v>1168</v>
      </c>
      <c r="C72" s="51">
        <v>2.8291339900000025E-2</v>
      </c>
      <c r="D72" s="19">
        <v>1.6E-2</v>
      </c>
      <c r="E72" s="51">
        <v>5.2119093999999679E-3</v>
      </c>
      <c r="F72" s="51">
        <v>2.2200000000000001E-2</v>
      </c>
    </row>
    <row r="73" spans="1:6" x14ac:dyDescent="0.25">
      <c r="A73" t="s">
        <v>574</v>
      </c>
      <c r="B73">
        <v>1183</v>
      </c>
      <c r="C73" s="51">
        <v>2.8252039000000052E-2</v>
      </c>
      <c r="D73" s="19">
        <v>1.6E-2</v>
      </c>
      <c r="E73" s="51">
        <v>5.2383106999999993E-3</v>
      </c>
      <c r="F73" s="51">
        <v>2.2100000000000002E-2</v>
      </c>
    </row>
    <row r="74" spans="1:6" x14ac:dyDescent="0.25">
      <c r="A74" t="s">
        <v>574</v>
      </c>
      <c r="B74">
        <v>1283</v>
      </c>
      <c r="C74" s="51">
        <v>2.7691936500000056E-2</v>
      </c>
      <c r="D74" s="19">
        <v>1.6E-2</v>
      </c>
      <c r="E74" s="51">
        <v>5.6152928000000202E-3</v>
      </c>
      <c r="F74" s="51">
        <v>2.18E-2</v>
      </c>
    </row>
    <row r="75" spans="1:6" x14ac:dyDescent="0.25">
      <c r="A75" t="s">
        <v>574</v>
      </c>
      <c r="B75">
        <v>1400</v>
      </c>
      <c r="C75" s="51">
        <v>2.7083232399999987E-2</v>
      </c>
      <c r="D75" s="19">
        <v>1.6E-2</v>
      </c>
      <c r="E75" s="51">
        <v>5.9904527999999858E-3</v>
      </c>
      <c r="F75" s="51">
        <v>2.1600000000000001E-2</v>
      </c>
    </row>
  </sheetData>
  <sortState ref="A2:E93">
    <sortCondition ref="B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X2" sqref="X2"/>
    </sheetView>
  </sheetViews>
  <sheetFormatPr defaultRowHeight="15" x14ac:dyDescent="0.25"/>
  <cols>
    <col min="1" max="1" width="12.140625" customWidth="1"/>
    <col min="2" max="2" width="63.7109375" bestFit="1" customWidth="1"/>
    <col min="3" max="3" width="11.42578125" customWidth="1"/>
    <col min="4" max="4" width="12.5703125" bestFit="1" customWidth="1"/>
    <col min="5" max="5" width="16.28515625" customWidth="1"/>
    <col min="6" max="6" width="19.85546875" customWidth="1"/>
    <col min="7" max="7" width="20.85546875" customWidth="1"/>
    <col min="8" max="8" width="22.28515625" customWidth="1"/>
    <col min="9" max="9" width="19.5703125" customWidth="1"/>
    <col min="10" max="10" width="13.5703125" customWidth="1"/>
    <col min="11" max="11" width="12.140625" customWidth="1"/>
    <col min="12" max="12" width="9.140625" style="20"/>
    <col min="18" max="18" width="20.85546875" customWidth="1"/>
  </cols>
  <sheetData>
    <row r="1" spans="1:27" ht="45" x14ac:dyDescent="0.25">
      <c r="A1" s="6" t="s">
        <v>189</v>
      </c>
      <c r="B1" s="6" t="s">
        <v>183</v>
      </c>
      <c r="C1" s="7" t="s">
        <v>190</v>
      </c>
      <c r="D1" s="6" t="s">
        <v>195</v>
      </c>
      <c r="E1" s="7" t="s">
        <v>191</v>
      </c>
      <c r="F1" s="7" t="s">
        <v>192</v>
      </c>
      <c r="G1" s="7" t="s">
        <v>193</v>
      </c>
      <c r="H1" s="6" t="s">
        <v>1096</v>
      </c>
      <c r="I1" s="6" t="s">
        <v>346</v>
      </c>
      <c r="J1" s="6" t="s">
        <v>194</v>
      </c>
      <c r="K1" s="6" t="s">
        <v>189</v>
      </c>
      <c r="L1" s="27" t="s">
        <v>408</v>
      </c>
      <c r="M1" s="27" t="s">
        <v>1088</v>
      </c>
      <c r="N1" s="27" t="s">
        <v>1090</v>
      </c>
      <c r="O1" s="27" t="s">
        <v>1089</v>
      </c>
      <c r="P1" s="27" t="s">
        <v>1091</v>
      </c>
      <c r="Q1" s="27" t="s">
        <v>407</v>
      </c>
      <c r="R1" s="7" t="s">
        <v>193</v>
      </c>
      <c r="S1" s="27" t="s">
        <v>1092</v>
      </c>
      <c r="T1" s="27" t="s">
        <v>1093</v>
      </c>
      <c r="U1" s="27" t="s">
        <v>1094</v>
      </c>
      <c r="V1" s="27" t="s">
        <v>1095</v>
      </c>
      <c r="W1" s="27" t="s">
        <v>566</v>
      </c>
      <c r="X1" s="52" t="s">
        <v>1097</v>
      </c>
      <c r="Y1" s="52" t="s">
        <v>590</v>
      </c>
      <c r="Z1" s="52" t="s">
        <v>591</v>
      </c>
      <c r="AA1" s="52" t="s">
        <v>1084</v>
      </c>
    </row>
    <row r="2" spans="1:27" x14ac:dyDescent="0.25">
      <c r="A2" t="s">
        <v>9</v>
      </c>
      <c r="B2" t="s">
        <v>10</v>
      </c>
      <c r="C2" s="96">
        <v>49</v>
      </c>
      <c r="D2" s="96">
        <v>49</v>
      </c>
      <c r="E2" s="97">
        <v>0.67</v>
      </c>
      <c r="F2" s="97">
        <v>0.57999999999999996</v>
      </c>
      <c r="G2" s="97">
        <v>0.56000000000000005</v>
      </c>
      <c r="H2" s="96" t="s">
        <v>388</v>
      </c>
      <c r="I2" s="98">
        <v>3.4000000000000002E-2</v>
      </c>
      <c r="J2" s="96" t="s">
        <v>237</v>
      </c>
      <c r="K2" s="4" t="str">
        <f>A2</f>
        <v>7A6</v>
      </c>
      <c r="L2" s="25">
        <v>12</v>
      </c>
      <c r="M2" s="25">
        <v>3</v>
      </c>
      <c r="N2" s="25">
        <v>23</v>
      </c>
      <c r="O2" s="25">
        <f>L2-M2</f>
        <v>9</v>
      </c>
      <c r="P2" s="25">
        <f>N2-L2</f>
        <v>11</v>
      </c>
      <c r="Q2" s="25">
        <v>14</v>
      </c>
      <c r="R2">
        <v>56.000000000000007</v>
      </c>
      <c r="S2">
        <v>41.180840000000003</v>
      </c>
      <c r="T2">
        <v>70.519880000000001</v>
      </c>
      <c r="U2">
        <f>R2-S2</f>
        <v>14.819160000000004</v>
      </c>
      <c r="V2">
        <f>T2-R2</f>
        <v>14.519879999999993</v>
      </c>
      <c r="W2">
        <v>80</v>
      </c>
      <c r="X2" s="91">
        <f>IF('CEA Summary'!$O$4=2, L2, IF('CEA Summary'!$O$4=1, R2))</f>
        <v>12</v>
      </c>
      <c r="Y2" s="91">
        <f>IF('CEA Summary'!$O$4=2, O2, IF('CEA Summary'!$O$4=1, U2))</f>
        <v>9</v>
      </c>
      <c r="Z2" s="91">
        <f>IF('CEA Summary'!$O$4=2, P2, IF('CEA Summary'!$O$4=1, V2))</f>
        <v>11</v>
      </c>
      <c r="AA2" s="91">
        <f>IF('CEA Summary'!$O$4=2, Q2, IF('CEA Summary'!$O$4=1, W2))</f>
        <v>14</v>
      </c>
    </row>
    <row r="3" spans="1:27" x14ac:dyDescent="0.25">
      <c r="A3" t="s">
        <v>120</v>
      </c>
      <c r="B3" t="s">
        <v>612</v>
      </c>
      <c r="C3" s="96">
        <v>33</v>
      </c>
      <c r="D3" s="96">
        <v>29</v>
      </c>
      <c r="E3" s="97">
        <v>0.76</v>
      </c>
      <c r="F3" s="97">
        <v>0.52</v>
      </c>
      <c r="G3" s="97">
        <v>0.55000000000000004</v>
      </c>
      <c r="H3" s="96" t="s">
        <v>837</v>
      </c>
      <c r="I3" s="98">
        <v>0.02</v>
      </c>
      <c r="J3" s="96" t="s">
        <v>838</v>
      </c>
      <c r="K3" s="4" t="str">
        <f t="shared" ref="K3:K66" si="0">A3</f>
        <v>RTK</v>
      </c>
      <c r="L3" s="25">
        <v>12</v>
      </c>
      <c r="M3" s="25">
        <v>5</v>
      </c>
      <c r="N3" s="25">
        <v>56</v>
      </c>
      <c r="O3" s="25">
        <f t="shared" ref="O3:O66" si="1">L3-M3</f>
        <v>7</v>
      </c>
      <c r="P3" s="25">
        <f t="shared" ref="P3:P66" si="2">N3-L3</f>
        <v>44</v>
      </c>
      <c r="Q3" s="25">
        <v>14</v>
      </c>
      <c r="R3">
        <v>55.000000000000007</v>
      </c>
      <c r="S3">
        <v>35.693869999999997</v>
      </c>
      <c r="T3">
        <v>73.554470000000009</v>
      </c>
      <c r="U3">
        <f t="shared" ref="U3:U66" si="3">R3-S3</f>
        <v>19.30613000000001</v>
      </c>
      <c r="V3">
        <f t="shared" ref="V3:V66" si="4">T3-R3</f>
        <v>18.554470000000002</v>
      </c>
      <c r="W3">
        <v>80</v>
      </c>
      <c r="X3" s="91">
        <f>IF('CEA Summary'!$O$4=2, L3, IF('CEA Summary'!$O$4=1, R3))</f>
        <v>12</v>
      </c>
      <c r="Y3" s="91">
        <f>IF('CEA Summary'!$O$4=2, O3, IF('CEA Summary'!$O$4=1, U3))</f>
        <v>7</v>
      </c>
      <c r="Z3" s="91">
        <f>IF('CEA Summary'!$O$4=2, P3, IF('CEA Summary'!$O$4=1, V3))</f>
        <v>44</v>
      </c>
      <c r="AA3" s="91">
        <f>IF('CEA Summary'!$O$4=2, Q3, IF('CEA Summary'!$O$4=1, W3))</f>
        <v>14</v>
      </c>
    </row>
    <row r="4" spans="1:27" x14ac:dyDescent="0.25">
      <c r="A4" t="s">
        <v>48</v>
      </c>
      <c r="B4" t="s">
        <v>613</v>
      </c>
      <c r="C4" s="96">
        <v>39</v>
      </c>
      <c r="D4" s="96">
        <v>38</v>
      </c>
      <c r="E4" s="97">
        <v>0.61</v>
      </c>
      <c r="F4" s="97">
        <v>0.15</v>
      </c>
      <c r="G4" s="97">
        <v>0.26</v>
      </c>
      <c r="H4" s="96" t="s">
        <v>460</v>
      </c>
      <c r="I4" s="98">
        <v>0.02</v>
      </c>
      <c r="J4" s="96" t="s">
        <v>243</v>
      </c>
      <c r="K4" s="4" t="str">
        <f t="shared" si="0"/>
        <v>RF4</v>
      </c>
      <c r="L4" s="25">
        <v>19</v>
      </c>
      <c r="M4" s="25">
        <v>14</v>
      </c>
      <c r="N4" s="25">
        <v>24</v>
      </c>
      <c r="O4" s="25">
        <f t="shared" si="1"/>
        <v>5</v>
      </c>
      <c r="P4" s="25">
        <f t="shared" si="2"/>
        <v>5</v>
      </c>
      <c r="Q4" s="25">
        <v>14</v>
      </c>
      <c r="R4">
        <v>26</v>
      </c>
      <c r="S4">
        <v>13.403370000000001</v>
      </c>
      <c r="T4">
        <v>43.100819999999999</v>
      </c>
      <c r="U4">
        <f t="shared" si="3"/>
        <v>12.596629999999999</v>
      </c>
      <c r="V4">
        <f t="shared" si="4"/>
        <v>17.100819999999999</v>
      </c>
      <c r="W4">
        <v>80</v>
      </c>
      <c r="X4" s="91">
        <f>IF('CEA Summary'!$O$4=2, L4, IF('CEA Summary'!$O$4=1, R4))</f>
        <v>19</v>
      </c>
      <c r="Y4" s="91">
        <f>IF('CEA Summary'!$O$4=2, O4, IF('CEA Summary'!$O$4=1, U4))</f>
        <v>5</v>
      </c>
      <c r="Z4" s="91">
        <f>IF('CEA Summary'!$O$4=2, P4, IF('CEA Summary'!$O$4=1, V4))</f>
        <v>5</v>
      </c>
      <c r="AA4" s="91">
        <f>IF('CEA Summary'!$O$4=2, Q4, IF('CEA Summary'!$O$4=1, W4))</f>
        <v>14</v>
      </c>
    </row>
    <row r="5" spans="1:27" x14ac:dyDescent="0.25">
      <c r="A5" t="s">
        <v>13</v>
      </c>
      <c r="B5" t="s">
        <v>14</v>
      </c>
      <c r="C5" s="96">
        <v>20</v>
      </c>
      <c r="D5" s="96">
        <v>19</v>
      </c>
      <c r="E5" s="97">
        <v>1</v>
      </c>
      <c r="F5" s="97">
        <v>0.55000000000000004</v>
      </c>
      <c r="G5" s="97">
        <v>0.84</v>
      </c>
      <c r="H5" s="96" t="s">
        <v>839</v>
      </c>
      <c r="I5" s="98">
        <v>0.05</v>
      </c>
      <c r="J5" s="96" t="s">
        <v>840</v>
      </c>
      <c r="K5" s="4" t="str">
        <f t="shared" si="0"/>
        <v>R1H</v>
      </c>
      <c r="L5" s="25">
        <v>11</v>
      </c>
      <c r="M5" s="25">
        <v>7</v>
      </c>
      <c r="N5" s="25">
        <v>13</v>
      </c>
      <c r="O5" s="25">
        <f t="shared" si="1"/>
        <v>4</v>
      </c>
      <c r="P5" s="25">
        <f t="shared" si="2"/>
        <v>2</v>
      </c>
      <c r="Q5" s="25">
        <v>14</v>
      </c>
      <c r="R5">
        <v>84</v>
      </c>
      <c r="S5">
        <v>60.421539999999993</v>
      </c>
      <c r="T5">
        <v>96.617379999999997</v>
      </c>
      <c r="U5">
        <f t="shared" si="3"/>
        <v>23.578460000000007</v>
      </c>
      <c r="V5">
        <f t="shared" si="4"/>
        <v>12.617379999999997</v>
      </c>
      <c r="W5">
        <v>80</v>
      </c>
      <c r="X5" s="91">
        <f>IF('CEA Summary'!$O$4=2, L5, IF('CEA Summary'!$O$4=1, R5))</f>
        <v>11</v>
      </c>
      <c r="Y5" s="91">
        <f>IF('CEA Summary'!$O$4=2, O5, IF('CEA Summary'!$O$4=1, U5))</f>
        <v>4</v>
      </c>
      <c r="Z5" s="91">
        <f>IF('CEA Summary'!$O$4=2, P5, IF('CEA Summary'!$O$4=1, V5))</f>
        <v>2</v>
      </c>
      <c r="AA5" s="91">
        <f>IF('CEA Summary'!$O$4=2, Q5, IF('CEA Summary'!$O$4=1, W5))</f>
        <v>14</v>
      </c>
    </row>
    <row r="6" spans="1:27" x14ac:dyDescent="0.25">
      <c r="A6" t="s">
        <v>37</v>
      </c>
      <c r="B6" t="s">
        <v>38</v>
      </c>
      <c r="C6" s="96">
        <v>22</v>
      </c>
      <c r="D6" s="96">
        <v>22</v>
      </c>
      <c r="E6" s="97">
        <v>0.9</v>
      </c>
      <c r="F6" s="97">
        <v>0.55000000000000004</v>
      </c>
      <c r="G6" s="97">
        <v>0.86</v>
      </c>
      <c r="H6" s="96" t="s">
        <v>386</v>
      </c>
      <c r="I6" s="98">
        <v>2.9000000000000001E-2</v>
      </c>
      <c r="J6" s="96" t="s">
        <v>841</v>
      </c>
      <c r="K6" s="4" t="str">
        <f t="shared" si="0"/>
        <v>RDD</v>
      </c>
      <c r="L6" s="25">
        <v>11</v>
      </c>
      <c r="M6" s="25">
        <v>8</v>
      </c>
      <c r="N6" s="25">
        <v>12</v>
      </c>
      <c r="O6" s="25">
        <f t="shared" si="1"/>
        <v>3</v>
      </c>
      <c r="P6" s="25">
        <f t="shared" si="2"/>
        <v>1</v>
      </c>
      <c r="Q6" s="25">
        <v>14</v>
      </c>
      <c r="R6">
        <v>86</v>
      </c>
      <c r="S6">
        <v>65.087789999999998</v>
      </c>
      <c r="T6">
        <v>97.09442</v>
      </c>
      <c r="U6">
        <f t="shared" si="3"/>
        <v>20.912210000000002</v>
      </c>
      <c r="V6">
        <f t="shared" si="4"/>
        <v>11.09442</v>
      </c>
      <c r="W6">
        <v>80</v>
      </c>
      <c r="X6" s="91">
        <f>IF('CEA Summary'!$O$4=2, L6, IF('CEA Summary'!$O$4=1, R6))</f>
        <v>11</v>
      </c>
      <c r="Y6" s="91">
        <f>IF('CEA Summary'!$O$4=2, O6, IF('CEA Summary'!$O$4=1, U6))</f>
        <v>3</v>
      </c>
      <c r="Z6" s="91">
        <f>IF('CEA Summary'!$O$4=2, P6, IF('CEA Summary'!$O$4=1, V6))</f>
        <v>1</v>
      </c>
      <c r="AA6" s="91">
        <f>IF('CEA Summary'!$O$4=2, Q6, IF('CEA Summary'!$O$4=1, W6))</f>
        <v>14</v>
      </c>
    </row>
    <row r="7" spans="1:27" x14ac:dyDescent="0.25">
      <c r="A7" t="s">
        <v>33</v>
      </c>
      <c r="B7" t="s">
        <v>34</v>
      </c>
      <c r="C7" s="96">
        <v>42</v>
      </c>
      <c r="D7" s="96">
        <v>36</v>
      </c>
      <c r="E7" s="97">
        <v>0.53</v>
      </c>
      <c r="F7" s="97">
        <v>0.27</v>
      </c>
      <c r="G7" s="97">
        <v>0.56000000000000005</v>
      </c>
      <c r="H7" s="96" t="s">
        <v>878</v>
      </c>
      <c r="I7" s="98">
        <v>2.1999999999999999E-2</v>
      </c>
      <c r="J7" s="96" t="s">
        <v>322</v>
      </c>
      <c r="K7" s="4" t="str">
        <f t="shared" si="0"/>
        <v>RC1</v>
      </c>
      <c r="L7" s="25">
        <v>13</v>
      </c>
      <c r="M7" s="25">
        <v>11</v>
      </c>
      <c r="N7" s="25">
        <v>36</v>
      </c>
      <c r="O7" s="25">
        <f t="shared" si="1"/>
        <v>2</v>
      </c>
      <c r="P7" s="25">
        <f t="shared" si="2"/>
        <v>23</v>
      </c>
      <c r="Q7" s="25">
        <v>14</v>
      </c>
      <c r="R7">
        <v>56.000000000000007</v>
      </c>
      <c r="S7">
        <v>38.097679999999997</v>
      </c>
      <c r="T7">
        <v>72.064580000000007</v>
      </c>
      <c r="U7">
        <f t="shared" si="3"/>
        <v>17.90232000000001</v>
      </c>
      <c r="V7">
        <f t="shared" si="4"/>
        <v>16.064579999999999</v>
      </c>
      <c r="W7">
        <v>80</v>
      </c>
      <c r="X7" s="91">
        <f>IF('CEA Summary'!$O$4=2, L7, IF('CEA Summary'!$O$4=1, R7))</f>
        <v>13</v>
      </c>
      <c r="Y7" s="91">
        <f>IF('CEA Summary'!$O$4=2, O7, IF('CEA Summary'!$O$4=1, U7))</f>
        <v>2</v>
      </c>
      <c r="Z7" s="91">
        <f>IF('CEA Summary'!$O$4=2, P7, IF('CEA Summary'!$O$4=1, V7))</f>
        <v>23</v>
      </c>
      <c r="AA7" s="91">
        <f>IF('CEA Summary'!$O$4=2, Q7, IF('CEA Summary'!$O$4=1, W7))</f>
        <v>14</v>
      </c>
    </row>
    <row r="8" spans="1:27" x14ac:dyDescent="0.25">
      <c r="A8" t="s">
        <v>180</v>
      </c>
      <c r="B8" t="s">
        <v>181</v>
      </c>
      <c r="C8" s="96">
        <v>131</v>
      </c>
      <c r="D8" s="96">
        <v>128</v>
      </c>
      <c r="E8" s="97">
        <v>0.71</v>
      </c>
      <c r="F8" s="97">
        <v>0.38</v>
      </c>
      <c r="G8" s="97">
        <v>0.46</v>
      </c>
      <c r="H8" s="96" t="s">
        <v>879</v>
      </c>
      <c r="I8" s="98">
        <v>2.1000000000000001E-2</v>
      </c>
      <c r="J8" s="96" t="s">
        <v>227</v>
      </c>
      <c r="K8" s="4" t="str">
        <f t="shared" si="0"/>
        <v>ZT001</v>
      </c>
      <c r="L8" s="25">
        <v>15</v>
      </c>
      <c r="M8" s="25">
        <v>9</v>
      </c>
      <c r="N8" s="25">
        <v>29</v>
      </c>
      <c r="O8" s="25">
        <f t="shared" si="1"/>
        <v>6</v>
      </c>
      <c r="P8" s="25">
        <f t="shared" si="2"/>
        <v>14</v>
      </c>
      <c r="Q8" s="25">
        <v>14</v>
      </c>
      <c r="R8">
        <v>46</v>
      </c>
      <c r="S8">
        <v>37.249739999999996</v>
      </c>
      <c r="T8">
        <v>55.122599999999998</v>
      </c>
      <c r="U8">
        <f t="shared" si="3"/>
        <v>8.7502600000000044</v>
      </c>
      <c r="V8">
        <f t="shared" si="4"/>
        <v>9.1225999999999985</v>
      </c>
      <c r="W8">
        <v>80</v>
      </c>
      <c r="X8" s="91">
        <f>IF('CEA Summary'!$O$4=2, L8, IF('CEA Summary'!$O$4=1, R8))</f>
        <v>15</v>
      </c>
      <c r="Y8" s="91">
        <f>IF('CEA Summary'!$O$4=2, O8, IF('CEA Summary'!$O$4=1, U8))</f>
        <v>6</v>
      </c>
      <c r="Z8" s="91">
        <f>IF('CEA Summary'!$O$4=2, P8, IF('CEA Summary'!$O$4=1, V8))</f>
        <v>14</v>
      </c>
      <c r="AA8" s="91">
        <f>IF('CEA Summary'!$O$4=2, Q8, IF('CEA Summary'!$O$4=1, W8))</f>
        <v>14</v>
      </c>
    </row>
    <row r="9" spans="1:27" x14ac:dyDescent="0.25">
      <c r="A9" t="s">
        <v>0</v>
      </c>
      <c r="B9" t="s">
        <v>1</v>
      </c>
      <c r="C9" s="96">
        <v>33</v>
      </c>
      <c r="D9" s="96">
        <v>33</v>
      </c>
      <c r="E9" s="97">
        <v>0.67</v>
      </c>
      <c r="F9" s="97">
        <v>0.55000000000000004</v>
      </c>
      <c r="G9" s="97">
        <v>0.52</v>
      </c>
      <c r="H9" s="96" t="s">
        <v>842</v>
      </c>
      <c r="I9" s="98">
        <v>4.3999999999999997E-2</v>
      </c>
      <c r="J9" s="96" t="s">
        <v>334</v>
      </c>
      <c r="K9" s="4" t="str">
        <f t="shared" si="0"/>
        <v>7A1</v>
      </c>
      <c r="L9" s="25">
        <v>14</v>
      </c>
      <c r="M9" s="25">
        <v>10</v>
      </c>
      <c r="N9" s="25">
        <v>28</v>
      </c>
      <c r="O9" s="25">
        <f t="shared" si="1"/>
        <v>4</v>
      </c>
      <c r="P9" s="25">
        <f t="shared" si="2"/>
        <v>14</v>
      </c>
      <c r="Q9" s="25">
        <v>14</v>
      </c>
      <c r="R9">
        <v>52</v>
      </c>
      <c r="S9">
        <v>33.544449999999998</v>
      </c>
      <c r="T9">
        <v>69.203659999999999</v>
      </c>
      <c r="U9">
        <f t="shared" si="3"/>
        <v>18.455550000000002</v>
      </c>
      <c r="V9">
        <f t="shared" si="4"/>
        <v>17.203659999999999</v>
      </c>
      <c r="W9">
        <v>80</v>
      </c>
      <c r="X9" s="91">
        <f>IF('CEA Summary'!$O$4=2, L9, IF('CEA Summary'!$O$4=1, R9))</f>
        <v>14</v>
      </c>
      <c r="Y9" s="91">
        <f>IF('CEA Summary'!$O$4=2, O9, IF('CEA Summary'!$O$4=1, U9))</f>
        <v>4</v>
      </c>
      <c r="Z9" s="91">
        <f>IF('CEA Summary'!$O$4=2, P9, IF('CEA Summary'!$O$4=1, V9))</f>
        <v>14</v>
      </c>
      <c r="AA9" s="91">
        <f>IF('CEA Summary'!$O$4=2, Q9, IF('CEA Summary'!$O$4=1, W9))</f>
        <v>14</v>
      </c>
    </row>
    <row r="10" spans="1:27" x14ac:dyDescent="0.25">
      <c r="A10" t="s">
        <v>19</v>
      </c>
      <c r="B10" t="s">
        <v>20</v>
      </c>
      <c r="C10" s="96">
        <v>22</v>
      </c>
      <c r="D10" s="96">
        <v>20</v>
      </c>
      <c r="E10" s="97">
        <v>0.57999999999999996</v>
      </c>
      <c r="F10" s="97">
        <v>0.32</v>
      </c>
      <c r="G10" s="97">
        <v>0.6</v>
      </c>
      <c r="H10" s="96" t="s">
        <v>880</v>
      </c>
      <c r="I10" s="98">
        <v>0</v>
      </c>
      <c r="J10" s="96" t="s">
        <v>236</v>
      </c>
      <c r="K10" s="4" t="str">
        <f t="shared" si="0"/>
        <v>RAE</v>
      </c>
      <c r="L10" s="25">
        <v>14</v>
      </c>
      <c r="M10" s="25">
        <v>8</v>
      </c>
      <c r="N10" s="25">
        <v>34</v>
      </c>
      <c r="O10" s="25">
        <f t="shared" si="1"/>
        <v>6</v>
      </c>
      <c r="P10" s="25">
        <f t="shared" si="2"/>
        <v>20</v>
      </c>
      <c r="Q10" s="25">
        <v>14</v>
      </c>
      <c r="R10">
        <v>60</v>
      </c>
      <c r="S10">
        <v>36.054259999999999</v>
      </c>
      <c r="T10">
        <v>80.880989999999997</v>
      </c>
      <c r="U10">
        <f t="shared" si="3"/>
        <v>23.945740000000001</v>
      </c>
      <c r="V10">
        <f t="shared" si="4"/>
        <v>20.880989999999997</v>
      </c>
      <c r="W10">
        <v>80</v>
      </c>
      <c r="X10" s="91">
        <f>IF('CEA Summary'!$O$4=2, L10, IF('CEA Summary'!$O$4=1, R10))</f>
        <v>14</v>
      </c>
      <c r="Y10" s="91">
        <f>IF('CEA Summary'!$O$4=2, O10, IF('CEA Summary'!$O$4=1, U10))</f>
        <v>6</v>
      </c>
      <c r="Z10" s="91">
        <f>IF('CEA Summary'!$O$4=2, P10, IF('CEA Summary'!$O$4=1, V10))</f>
        <v>20</v>
      </c>
      <c r="AA10" s="91">
        <f>IF('CEA Summary'!$O$4=2, Q10, IF('CEA Summary'!$O$4=1, W10))</f>
        <v>14</v>
      </c>
    </row>
    <row r="11" spans="1:27" x14ac:dyDescent="0.25">
      <c r="A11" t="s">
        <v>148</v>
      </c>
      <c r="B11" t="s">
        <v>149</v>
      </c>
      <c r="C11" s="96">
        <v>44</v>
      </c>
      <c r="D11" s="96">
        <v>44</v>
      </c>
      <c r="E11" s="97">
        <v>0.91</v>
      </c>
      <c r="F11" s="97">
        <v>0.73</v>
      </c>
      <c r="G11" s="97">
        <v>0.88</v>
      </c>
      <c r="H11" s="96" t="s">
        <v>467</v>
      </c>
      <c r="I11" s="98">
        <v>0.01</v>
      </c>
      <c r="J11" s="96" t="s">
        <v>334</v>
      </c>
      <c r="K11" s="4" t="str">
        <f t="shared" si="0"/>
        <v>RXH</v>
      </c>
      <c r="L11" s="25">
        <v>9</v>
      </c>
      <c r="M11" s="25">
        <v>7</v>
      </c>
      <c r="N11" s="25">
        <v>11</v>
      </c>
      <c r="O11" s="25">
        <f t="shared" si="1"/>
        <v>2</v>
      </c>
      <c r="P11" s="25">
        <f t="shared" si="2"/>
        <v>2</v>
      </c>
      <c r="Q11" s="25">
        <v>14</v>
      </c>
      <c r="R11">
        <v>88</v>
      </c>
      <c r="S11">
        <v>74.916760000000011</v>
      </c>
      <c r="T11">
        <v>96.114770000000007</v>
      </c>
      <c r="U11">
        <f t="shared" si="3"/>
        <v>13.083239999999989</v>
      </c>
      <c r="V11">
        <f t="shared" si="4"/>
        <v>8.1147700000000071</v>
      </c>
      <c r="W11">
        <v>80</v>
      </c>
      <c r="X11" s="91">
        <f>IF('CEA Summary'!$O$4=2, L11, IF('CEA Summary'!$O$4=1, R11))</f>
        <v>9</v>
      </c>
      <c r="Y11" s="91">
        <f>IF('CEA Summary'!$O$4=2, O11, IF('CEA Summary'!$O$4=1, U11))</f>
        <v>2</v>
      </c>
      <c r="Z11" s="91">
        <f>IF('CEA Summary'!$O$4=2, P11, IF('CEA Summary'!$O$4=1, V11))</f>
        <v>2</v>
      </c>
      <c r="AA11" s="91">
        <f>IF('CEA Summary'!$O$4=2, Q11, IF('CEA Summary'!$O$4=1, W11))</f>
        <v>14</v>
      </c>
    </row>
    <row r="12" spans="1:27" x14ac:dyDescent="0.25">
      <c r="A12" t="s">
        <v>142</v>
      </c>
      <c r="B12" t="s">
        <v>143</v>
      </c>
      <c r="C12" s="96">
        <v>42</v>
      </c>
      <c r="D12" s="96">
        <v>42</v>
      </c>
      <c r="E12" s="97">
        <v>0.64</v>
      </c>
      <c r="F12" s="97">
        <v>0.49</v>
      </c>
      <c r="G12" s="97">
        <v>0.62</v>
      </c>
      <c r="H12" s="96" t="s">
        <v>843</v>
      </c>
      <c r="I12" s="98">
        <v>7.0000000000000001E-3</v>
      </c>
      <c r="J12" s="96" t="s">
        <v>295</v>
      </c>
      <c r="K12" s="4" t="str">
        <f t="shared" si="0"/>
        <v>RWY</v>
      </c>
      <c r="L12" s="25">
        <v>12</v>
      </c>
      <c r="M12" s="25">
        <v>10</v>
      </c>
      <c r="N12" s="25">
        <v>17</v>
      </c>
      <c r="O12" s="25">
        <f t="shared" si="1"/>
        <v>2</v>
      </c>
      <c r="P12" s="25">
        <f t="shared" si="2"/>
        <v>5</v>
      </c>
      <c r="Q12" s="25">
        <v>14</v>
      </c>
      <c r="R12">
        <v>62</v>
      </c>
      <c r="S12">
        <v>45.636749999999999</v>
      </c>
      <c r="T12">
        <v>76.427940000000007</v>
      </c>
      <c r="U12">
        <f t="shared" si="3"/>
        <v>16.363250000000001</v>
      </c>
      <c r="V12">
        <f t="shared" si="4"/>
        <v>14.427940000000007</v>
      </c>
      <c r="W12">
        <v>80</v>
      </c>
      <c r="X12" s="91">
        <f>IF('CEA Summary'!$O$4=2, L12, IF('CEA Summary'!$O$4=1, R12))</f>
        <v>12</v>
      </c>
      <c r="Y12" s="91">
        <f>IF('CEA Summary'!$O$4=2, O12, IF('CEA Summary'!$O$4=1, U12))</f>
        <v>2</v>
      </c>
      <c r="Z12" s="91">
        <f>IF('CEA Summary'!$O$4=2, P12, IF('CEA Summary'!$O$4=1, V12))</f>
        <v>5</v>
      </c>
      <c r="AA12" s="91">
        <f>IF('CEA Summary'!$O$4=2, Q12, IF('CEA Summary'!$O$4=1, W12))</f>
        <v>14</v>
      </c>
    </row>
    <row r="13" spans="1:27" x14ac:dyDescent="0.25">
      <c r="A13" t="s">
        <v>54</v>
      </c>
      <c r="B13" t="s">
        <v>55</v>
      </c>
      <c r="C13" s="96">
        <v>72</v>
      </c>
      <c r="D13" s="96">
        <v>62</v>
      </c>
      <c r="E13" s="97">
        <v>0.66</v>
      </c>
      <c r="F13" s="97">
        <v>0.35</v>
      </c>
      <c r="G13" s="97">
        <v>0.52</v>
      </c>
      <c r="H13" s="96" t="s">
        <v>844</v>
      </c>
      <c r="I13" s="98">
        <v>4.0000000000000001E-3</v>
      </c>
      <c r="J13" s="96" t="s">
        <v>349</v>
      </c>
      <c r="K13" s="4" t="str">
        <f t="shared" si="0"/>
        <v>RGT</v>
      </c>
      <c r="L13" s="25">
        <v>14</v>
      </c>
      <c r="M13" s="25">
        <v>10</v>
      </c>
      <c r="N13" s="25">
        <v>26</v>
      </c>
      <c r="O13" s="25">
        <f t="shared" si="1"/>
        <v>4</v>
      </c>
      <c r="P13" s="25">
        <f t="shared" si="2"/>
        <v>12</v>
      </c>
      <c r="Q13" s="25">
        <v>14</v>
      </c>
      <c r="R13">
        <v>52</v>
      </c>
      <c r="S13">
        <v>38.56391</v>
      </c>
      <c r="T13">
        <v>64.502719999999997</v>
      </c>
      <c r="U13">
        <f t="shared" si="3"/>
        <v>13.43609</v>
      </c>
      <c r="V13">
        <f t="shared" si="4"/>
        <v>12.502719999999997</v>
      </c>
      <c r="W13">
        <v>80</v>
      </c>
      <c r="X13" s="91">
        <f>IF('CEA Summary'!$O$4=2, L13, IF('CEA Summary'!$O$4=1, R13))</f>
        <v>14</v>
      </c>
      <c r="Y13" s="91">
        <f>IF('CEA Summary'!$O$4=2, O13, IF('CEA Summary'!$O$4=1, U13))</f>
        <v>4</v>
      </c>
      <c r="Z13" s="91">
        <f>IF('CEA Summary'!$O$4=2, P13, IF('CEA Summary'!$O$4=1, V13))</f>
        <v>12</v>
      </c>
      <c r="AA13" s="91">
        <f>IF('CEA Summary'!$O$4=2, Q13, IF('CEA Summary'!$O$4=1, W13))</f>
        <v>14</v>
      </c>
    </row>
    <row r="14" spans="1:27" x14ac:dyDescent="0.25">
      <c r="A14" t="s">
        <v>5</v>
      </c>
      <c r="B14" t="s">
        <v>6</v>
      </c>
      <c r="C14" s="96" t="s">
        <v>398</v>
      </c>
      <c r="D14" s="96" t="s">
        <v>398</v>
      </c>
      <c r="E14" s="97" t="s">
        <v>399</v>
      </c>
      <c r="F14" s="97" t="s">
        <v>399</v>
      </c>
      <c r="G14" s="97" t="s">
        <v>399</v>
      </c>
      <c r="H14" s="96" t="s">
        <v>399</v>
      </c>
      <c r="I14" s="98">
        <v>0</v>
      </c>
      <c r="J14" s="96" t="s">
        <v>456</v>
      </c>
      <c r="K14" s="4" t="str">
        <f t="shared" si="0"/>
        <v>7A4</v>
      </c>
      <c r="L14" s="25" t="e">
        <v>#N/A</v>
      </c>
      <c r="M14" s="25" t="e">
        <v>#N/A</v>
      </c>
      <c r="N14" s="25" t="e">
        <v>#N/A</v>
      </c>
      <c r="O14" s="25" t="e">
        <f t="shared" si="1"/>
        <v>#N/A</v>
      </c>
      <c r="P14" s="25" t="e">
        <f t="shared" si="2"/>
        <v>#N/A</v>
      </c>
      <c r="Q14" s="25">
        <v>14</v>
      </c>
      <c r="R14" t="e">
        <v>#VALUE!</v>
      </c>
      <c r="S14" t="e">
        <v>#N/A</v>
      </c>
      <c r="T14" t="e">
        <v>#N/A</v>
      </c>
      <c r="U14" t="e">
        <f t="shared" si="3"/>
        <v>#VALUE!</v>
      </c>
      <c r="V14" t="e">
        <f t="shared" si="4"/>
        <v>#N/A</v>
      </c>
      <c r="W14">
        <v>80</v>
      </c>
      <c r="X14" s="91" t="e">
        <f>IF('CEA Summary'!$O$4=2, L14, IF('CEA Summary'!$O$4=1, R14))</f>
        <v>#N/A</v>
      </c>
      <c r="Y14" s="91" t="e">
        <f>IF('CEA Summary'!$O$4=2, O14, IF('CEA Summary'!$O$4=1, U14))</f>
        <v>#N/A</v>
      </c>
      <c r="Z14" s="91" t="e">
        <f>IF('CEA Summary'!$O$4=2, P14, IF('CEA Summary'!$O$4=1, V14))</f>
        <v>#N/A</v>
      </c>
      <c r="AA14" s="91">
        <f>IF('CEA Summary'!$O$4=2, Q14, IF('CEA Summary'!$O$4=1, W14))</f>
        <v>14</v>
      </c>
    </row>
    <row r="15" spans="1:27" x14ac:dyDescent="0.25">
      <c r="A15" t="s">
        <v>81</v>
      </c>
      <c r="B15" t="s">
        <v>82</v>
      </c>
      <c r="C15" s="96">
        <v>52</v>
      </c>
      <c r="D15" s="96">
        <v>52</v>
      </c>
      <c r="E15" s="97">
        <v>0.75</v>
      </c>
      <c r="F15" s="97">
        <v>0.35</v>
      </c>
      <c r="G15" s="97">
        <v>0.73</v>
      </c>
      <c r="H15" s="96" t="s">
        <v>845</v>
      </c>
      <c r="I15" s="98">
        <v>8.9999999999999993E-3</v>
      </c>
      <c r="J15" s="96" t="s">
        <v>322</v>
      </c>
      <c r="K15" s="4" t="str">
        <f t="shared" si="0"/>
        <v>RLN</v>
      </c>
      <c r="L15" s="25">
        <v>13</v>
      </c>
      <c r="M15" s="25">
        <v>11</v>
      </c>
      <c r="N15" s="25">
        <v>16</v>
      </c>
      <c r="O15" s="25">
        <f t="shared" si="1"/>
        <v>2</v>
      </c>
      <c r="P15" s="25">
        <f t="shared" si="2"/>
        <v>3</v>
      </c>
      <c r="Q15" s="25">
        <v>14</v>
      </c>
      <c r="R15">
        <v>73</v>
      </c>
      <c r="S15">
        <v>58.975699999999996</v>
      </c>
      <c r="T15">
        <v>84.431740000000005</v>
      </c>
      <c r="U15">
        <f t="shared" si="3"/>
        <v>14.024300000000004</v>
      </c>
      <c r="V15">
        <f t="shared" si="4"/>
        <v>11.431740000000005</v>
      </c>
      <c r="W15">
        <v>80</v>
      </c>
      <c r="X15" s="91">
        <f>IF('CEA Summary'!$O$4=2, L15, IF('CEA Summary'!$O$4=1, R15))</f>
        <v>13</v>
      </c>
      <c r="Y15" s="91">
        <f>IF('CEA Summary'!$O$4=2, O15, IF('CEA Summary'!$O$4=1, U15))</f>
        <v>2</v>
      </c>
      <c r="Z15" s="91">
        <f>IF('CEA Summary'!$O$4=2, P15, IF('CEA Summary'!$O$4=1, V15))</f>
        <v>3</v>
      </c>
      <c r="AA15" s="91">
        <f>IF('CEA Summary'!$O$4=2, Q15, IF('CEA Summary'!$O$4=1, W15))</f>
        <v>14</v>
      </c>
    </row>
    <row r="16" spans="1:27" x14ac:dyDescent="0.25">
      <c r="A16" t="s">
        <v>72</v>
      </c>
      <c r="B16" t="s">
        <v>73</v>
      </c>
      <c r="C16" s="96">
        <v>75</v>
      </c>
      <c r="D16" s="96">
        <v>70</v>
      </c>
      <c r="E16" s="97">
        <v>0.77</v>
      </c>
      <c r="F16" s="97">
        <v>0.2</v>
      </c>
      <c r="G16" s="97">
        <v>0.46</v>
      </c>
      <c r="H16" s="96" t="s">
        <v>881</v>
      </c>
      <c r="I16" s="98">
        <v>7.0000000000000001E-3</v>
      </c>
      <c r="J16" s="96" t="s">
        <v>349</v>
      </c>
      <c r="K16" s="4" t="str">
        <f t="shared" si="0"/>
        <v>RJR</v>
      </c>
      <c r="L16" s="25">
        <v>16</v>
      </c>
      <c r="M16" s="25">
        <v>11</v>
      </c>
      <c r="N16" s="25">
        <v>32</v>
      </c>
      <c r="O16" s="25">
        <f t="shared" si="1"/>
        <v>5</v>
      </c>
      <c r="P16" s="25">
        <f t="shared" si="2"/>
        <v>16</v>
      </c>
      <c r="Q16" s="25">
        <v>14</v>
      </c>
      <c r="R16">
        <v>46</v>
      </c>
      <c r="S16">
        <v>33.744770000000003</v>
      </c>
      <c r="T16">
        <v>58.05791</v>
      </c>
      <c r="U16">
        <f t="shared" si="3"/>
        <v>12.255229999999997</v>
      </c>
      <c r="V16">
        <f t="shared" si="4"/>
        <v>12.05791</v>
      </c>
      <c r="W16">
        <v>80</v>
      </c>
      <c r="X16" s="91">
        <f>IF('CEA Summary'!$O$4=2, L16, IF('CEA Summary'!$O$4=1, R16))</f>
        <v>16</v>
      </c>
      <c r="Y16" s="91">
        <f>IF('CEA Summary'!$O$4=2, O16, IF('CEA Summary'!$O$4=1, U16))</f>
        <v>5</v>
      </c>
      <c r="Z16" s="91">
        <f>IF('CEA Summary'!$O$4=2, P16, IF('CEA Summary'!$O$4=1, V16))</f>
        <v>16</v>
      </c>
      <c r="AA16" s="91">
        <f>IF('CEA Summary'!$O$4=2, Q16, IF('CEA Summary'!$O$4=1, W16))</f>
        <v>14</v>
      </c>
    </row>
    <row r="17" spans="1:27" x14ac:dyDescent="0.25">
      <c r="A17" t="s">
        <v>7</v>
      </c>
      <c r="B17" t="s">
        <v>616</v>
      </c>
      <c r="C17" s="96">
        <v>22</v>
      </c>
      <c r="D17" s="96">
        <v>21</v>
      </c>
      <c r="E17" s="97">
        <v>0.95</v>
      </c>
      <c r="F17" s="97">
        <v>0.73</v>
      </c>
      <c r="G17" s="97">
        <v>0.9</v>
      </c>
      <c r="H17" s="96" t="s">
        <v>365</v>
      </c>
      <c r="I17" s="98">
        <v>1.4E-2</v>
      </c>
      <c r="J17" s="96" t="s">
        <v>330</v>
      </c>
      <c r="K17" s="4" t="str">
        <f t="shared" si="0"/>
        <v>7A5</v>
      </c>
      <c r="L17" s="25">
        <v>8</v>
      </c>
      <c r="M17" s="25">
        <v>7</v>
      </c>
      <c r="N17" s="25">
        <v>12</v>
      </c>
      <c r="O17" s="25">
        <f t="shared" si="1"/>
        <v>1</v>
      </c>
      <c r="P17" s="25">
        <f t="shared" si="2"/>
        <v>4</v>
      </c>
      <c r="Q17" s="25">
        <v>14</v>
      </c>
      <c r="R17">
        <v>90</v>
      </c>
      <c r="S17">
        <v>68.301730000000006</v>
      </c>
      <c r="T17">
        <v>98.765150000000006</v>
      </c>
      <c r="U17">
        <f t="shared" si="3"/>
        <v>21.698269999999994</v>
      </c>
      <c r="V17">
        <f t="shared" si="4"/>
        <v>8.7651500000000055</v>
      </c>
      <c r="W17">
        <v>80</v>
      </c>
      <c r="X17" s="91">
        <f>IF('CEA Summary'!$O$4=2, L17, IF('CEA Summary'!$O$4=1, R17))</f>
        <v>8</v>
      </c>
      <c r="Y17" s="91">
        <f>IF('CEA Summary'!$O$4=2, O17, IF('CEA Summary'!$O$4=1, U17))</f>
        <v>1</v>
      </c>
      <c r="Z17" s="91">
        <f>IF('CEA Summary'!$O$4=2, P17, IF('CEA Summary'!$O$4=1, V17))</f>
        <v>4</v>
      </c>
      <c r="AA17" s="91">
        <f>IF('CEA Summary'!$O$4=2, Q17, IF('CEA Summary'!$O$4=1, W17))</f>
        <v>14</v>
      </c>
    </row>
    <row r="18" spans="1:27" x14ac:dyDescent="0.25">
      <c r="A18" t="s">
        <v>93</v>
      </c>
      <c r="B18" t="s">
        <v>617</v>
      </c>
      <c r="C18" s="96">
        <v>51</v>
      </c>
      <c r="D18" s="96">
        <v>50</v>
      </c>
      <c r="E18" s="97">
        <v>0.69</v>
      </c>
      <c r="F18" s="97">
        <v>0.53</v>
      </c>
      <c r="G18" s="97">
        <v>0.55000000000000004</v>
      </c>
      <c r="H18" s="96" t="s">
        <v>846</v>
      </c>
      <c r="I18" s="98">
        <v>0</v>
      </c>
      <c r="J18" s="96" t="s">
        <v>322</v>
      </c>
      <c r="K18" s="4" t="str">
        <f t="shared" si="0"/>
        <v>RP5</v>
      </c>
      <c r="L18" s="25">
        <v>13</v>
      </c>
      <c r="M18" s="25">
        <v>8</v>
      </c>
      <c r="N18" s="25">
        <v>38</v>
      </c>
      <c r="O18" s="25">
        <f t="shared" si="1"/>
        <v>5</v>
      </c>
      <c r="P18" s="25">
        <f t="shared" si="2"/>
        <v>25</v>
      </c>
      <c r="Q18" s="25">
        <v>14</v>
      </c>
      <c r="R18">
        <v>55.000000000000007</v>
      </c>
      <c r="S18">
        <v>40.230539999999998</v>
      </c>
      <c r="T18">
        <v>69.334630000000004</v>
      </c>
      <c r="U18">
        <f t="shared" si="3"/>
        <v>14.769460000000009</v>
      </c>
      <c r="V18">
        <f t="shared" si="4"/>
        <v>14.334629999999997</v>
      </c>
      <c r="W18">
        <v>80</v>
      </c>
      <c r="X18" s="91">
        <f>IF('CEA Summary'!$O$4=2, L18, IF('CEA Summary'!$O$4=1, R18))</f>
        <v>13</v>
      </c>
      <c r="Y18" s="91">
        <f>IF('CEA Summary'!$O$4=2, O18, IF('CEA Summary'!$O$4=1, U18))</f>
        <v>5</v>
      </c>
      <c r="Z18" s="91">
        <f>IF('CEA Summary'!$O$4=2, P18, IF('CEA Summary'!$O$4=1, V18))</f>
        <v>25</v>
      </c>
      <c r="AA18" s="91">
        <f>IF('CEA Summary'!$O$4=2, Q18, IF('CEA Summary'!$O$4=1, W18))</f>
        <v>14</v>
      </c>
    </row>
    <row r="19" spans="1:27" x14ac:dyDescent="0.25">
      <c r="A19" t="s">
        <v>138</v>
      </c>
      <c r="B19" t="s">
        <v>139</v>
      </c>
      <c r="C19" s="96">
        <v>47</v>
      </c>
      <c r="D19" s="96">
        <v>39</v>
      </c>
      <c r="E19" s="97">
        <v>0.85</v>
      </c>
      <c r="F19" s="97">
        <v>0.7</v>
      </c>
      <c r="G19" s="97">
        <v>0.82</v>
      </c>
      <c r="H19" s="96" t="s">
        <v>340</v>
      </c>
      <c r="I19" s="98">
        <v>1.4E-2</v>
      </c>
      <c r="J19" s="96" t="s">
        <v>300</v>
      </c>
      <c r="K19" s="4" t="str">
        <f t="shared" si="0"/>
        <v>RWH</v>
      </c>
      <c r="L19" s="25">
        <v>7</v>
      </c>
      <c r="M19" s="25">
        <v>5</v>
      </c>
      <c r="N19" s="25">
        <v>11</v>
      </c>
      <c r="O19" s="25">
        <f t="shared" si="1"/>
        <v>2</v>
      </c>
      <c r="P19" s="25">
        <f t="shared" si="2"/>
        <v>4</v>
      </c>
      <c r="Q19" s="25">
        <v>14</v>
      </c>
      <c r="R19">
        <v>82</v>
      </c>
      <c r="S19">
        <v>66.465040000000002</v>
      </c>
      <c r="T19">
        <v>92.464950000000002</v>
      </c>
      <c r="U19">
        <f t="shared" si="3"/>
        <v>15.534959999999998</v>
      </c>
      <c r="V19">
        <f t="shared" si="4"/>
        <v>10.464950000000002</v>
      </c>
      <c r="W19">
        <v>80</v>
      </c>
      <c r="X19" s="91">
        <f>IF('CEA Summary'!$O$4=2, L19, IF('CEA Summary'!$O$4=1, R19))</f>
        <v>7</v>
      </c>
      <c r="Y19" s="91">
        <f>IF('CEA Summary'!$O$4=2, O19, IF('CEA Summary'!$O$4=1, U19))</f>
        <v>2</v>
      </c>
      <c r="Z19" s="91">
        <f>IF('CEA Summary'!$O$4=2, P19, IF('CEA Summary'!$O$4=1, V19))</f>
        <v>4</v>
      </c>
      <c r="AA19" s="91">
        <f>IF('CEA Summary'!$O$4=2, Q19, IF('CEA Summary'!$O$4=1, W19))</f>
        <v>14</v>
      </c>
    </row>
    <row r="20" spans="1:27" x14ac:dyDescent="0.25">
      <c r="A20" t="s">
        <v>126</v>
      </c>
      <c r="B20" t="s">
        <v>127</v>
      </c>
      <c r="C20" s="96">
        <v>46</v>
      </c>
      <c r="D20" s="96">
        <v>41</v>
      </c>
      <c r="E20" s="97">
        <v>0.65</v>
      </c>
      <c r="F20" s="97">
        <v>0.52</v>
      </c>
      <c r="G20" s="97">
        <v>0.63</v>
      </c>
      <c r="H20" s="96" t="s">
        <v>847</v>
      </c>
      <c r="I20" s="98">
        <v>0.02</v>
      </c>
      <c r="J20" s="96" t="s">
        <v>301</v>
      </c>
      <c r="K20" s="4" t="str">
        <f t="shared" si="0"/>
        <v>RVV</v>
      </c>
      <c r="L20" s="25">
        <v>12</v>
      </c>
      <c r="M20" s="25">
        <v>7</v>
      </c>
      <c r="N20" s="25">
        <v>19</v>
      </c>
      <c r="O20" s="25">
        <f t="shared" si="1"/>
        <v>5</v>
      </c>
      <c r="P20" s="25">
        <f t="shared" si="2"/>
        <v>7</v>
      </c>
      <c r="Q20" s="25">
        <v>14</v>
      </c>
      <c r="R20">
        <v>63</v>
      </c>
      <c r="S20">
        <v>46.936260000000004</v>
      </c>
      <c r="T20">
        <v>77.877209999999991</v>
      </c>
      <c r="U20">
        <f t="shared" si="3"/>
        <v>16.063739999999996</v>
      </c>
      <c r="V20">
        <f t="shared" si="4"/>
        <v>14.877209999999991</v>
      </c>
      <c r="W20">
        <v>80</v>
      </c>
      <c r="X20" s="91">
        <f>IF('CEA Summary'!$O$4=2, L20, IF('CEA Summary'!$O$4=1, R20))</f>
        <v>12</v>
      </c>
      <c r="Y20" s="91">
        <f>IF('CEA Summary'!$O$4=2, O20, IF('CEA Summary'!$O$4=1, U20))</f>
        <v>5</v>
      </c>
      <c r="Z20" s="91">
        <f>IF('CEA Summary'!$O$4=2, P20, IF('CEA Summary'!$O$4=1, V20))</f>
        <v>7</v>
      </c>
      <c r="AA20" s="91">
        <f>IF('CEA Summary'!$O$4=2, Q20, IF('CEA Summary'!$O$4=1, W20))</f>
        <v>14</v>
      </c>
    </row>
    <row r="21" spans="1:27" x14ac:dyDescent="0.25">
      <c r="A21" t="s">
        <v>154</v>
      </c>
      <c r="B21" t="s">
        <v>155</v>
      </c>
      <c r="C21" s="96">
        <v>57</v>
      </c>
      <c r="D21" s="96">
        <v>44</v>
      </c>
      <c r="E21" s="97">
        <v>0.67</v>
      </c>
      <c r="F21" s="97">
        <v>0.53</v>
      </c>
      <c r="G21" s="97">
        <v>0.64</v>
      </c>
      <c r="H21" s="96" t="s">
        <v>848</v>
      </c>
      <c r="I21" s="98">
        <v>2.3E-2</v>
      </c>
      <c r="J21" s="96" t="s">
        <v>300</v>
      </c>
      <c r="K21" s="4" t="str">
        <f t="shared" si="0"/>
        <v>RXR</v>
      </c>
      <c r="L21" s="25">
        <v>13</v>
      </c>
      <c r="M21" s="25">
        <v>8</v>
      </c>
      <c r="N21" s="25">
        <v>21</v>
      </c>
      <c r="O21" s="25">
        <f t="shared" si="1"/>
        <v>5</v>
      </c>
      <c r="P21" s="25">
        <f t="shared" si="2"/>
        <v>8</v>
      </c>
      <c r="Q21" s="25">
        <v>14</v>
      </c>
      <c r="R21">
        <v>64</v>
      </c>
      <c r="S21">
        <v>47.772150000000003</v>
      </c>
      <c r="T21">
        <v>77.591989999999996</v>
      </c>
      <c r="U21">
        <f t="shared" si="3"/>
        <v>16.227849999999997</v>
      </c>
      <c r="V21">
        <f t="shared" si="4"/>
        <v>13.591989999999996</v>
      </c>
      <c r="W21">
        <v>80</v>
      </c>
      <c r="X21" s="91">
        <f>IF('CEA Summary'!$O$4=2, L21, IF('CEA Summary'!$O$4=1, R21))</f>
        <v>13</v>
      </c>
      <c r="Y21" s="91">
        <f>IF('CEA Summary'!$O$4=2, O21, IF('CEA Summary'!$O$4=1, U21))</f>
        <v>5</v>
      </c>
      <c r="Z21" s="91">
        <f>IF('CEA Summary'!$O$4=2, P21, IF('CEA Summary'!$O$4=1, V21))</f>
        <v>8</v>
      </c>
      <c r="AA21" s="91">
        <f>IF('CEA Summary'!$O$4=2, Q21, IF('CEA Summary'!$O$4=1, W21))</f>
        <v>14</v>
      </c>
    </row>
    <row r="22" spans="1:27" x14ac:dyDescent="0.25">
      <c r="A22" t="s">
        <v>39</v>
      </c>
      <c r="B22" t="s">
        <v>215</v>
      </c>
      <c r="C22" s="96">
        <v>60</v>
      </c>
      <c r="D22" s="96">
        <v>59</v>
      </c>
      <c r="E22" s="97">
        <v>0.64</v>
      </c>
      <c r="F22" s="97">
        <v>0.42</v>
      </c>
      <c r="G22" s="97">
        <v>0.47</v>
      </c>
      <c r="H22" s="96" t="s">
        <v>849</v>
      </c>
      <c r="I22" s="98">
        <v>2.5000000000000001E-2</v>
      </c>
      <c r="J22" s="96" t="s">
        <v>330</v>
      </c>
      <c r="K22" s="4" t="str">
        <f t="shared" si="0"/>
        <v>RDE</v>
      </c>
      <c r="L22" s="25">
        <v>18</v>
      </c>
      <c r="M22" s="25">
        <v>9</v>
      </c>
      <c r="N22" s="25">
        <v>33</v>
      </c>
      <c r="O22" s="25">
        <f t="shared" si="1"/>
        <v>9</v>
      </c>
      <c r="P22" s="25">
        <f t="shared" si="2"/>
        <v>15</v>
      </c>
      <c r="Q22" s="25">
        <v>14</v>
      </c>
      <c r="R22">
        <v>47</v>
      </c>
      <c r="S22">
        <v>34.298369999999998</v>
      </c>
      <c r="T22">
        <v>60.880710000000008</v>
      </c>
      <c r="U22">
        <f t="shared" si="3"/>
        <v>12.701630000000002</v>
      </c>
      <c r="V22">
        <f t="shared" si="4"/>
        <v>13.880710000000008</v>
      </c>
      <c r="W22">
        <v>80</v>
      </c>
      <c r="X22" s="91">
        <f>IF('CEA Summary'!$O$4=2, L22, IF('CEA Summary'!$O$4=1, R22))</f>
        <v>18</v>
      </c>
      <c r="Y22" s="91">
        <f>IF('CEA Summary'!$O$4=2, O22, IF('CEA Summary'!$O$4=1, U22))</f>
        <v>9</v>
      </c>
      <c r="Z22" s="91">
        <f>IF('CEA Summary'!$O$4=2, P22, IF('CEA Summary'!$O$4=1, V22))</f>
        <v>15</v>
      </c>
      <c r="AA22" s="91">
        <f>IF('CEA Summary'!$O$4=2, Q22, IF('CEA Summary'!$O$4=1, W22))</f>
        <v>14</v>
      </c>
    </row>
    <row r="23" spans="1:27" x14ac:dyDescent="0.25">
      <c r="A23" t="s">
        <v>40</v>
      </c>
      <c r="B23" t="s">
        <v>41</v>
      </c>
      <c r="C23" s="96">
        <v>44</v>
      </c>
      <c r="D23" s="96">
        <v>44</v>
      </c>
      <c r="E23" s="97">
        <v>0.75</v>
      </c>
      <c r="F23" s="97">
        <v>0.8</v>
      </c>
      <c r="G23" s="97">
        <v>0.73</v>
      </c>
      <c r="H23" s="96" t="s">
        <v>850</v>
      </c>
      <c r="I23" s="98">
        <v>1.4999999999999999E-2</v>
      </c>
      <c r="J23" s="96" t="s">
        <v>229</v>
      </c>
      <c r="K23" s="4" t="str">
        <f t="shared" si="0"/>
        <v>RDU</v>
      </c>
      <c r="L23" s="25">
        <v>8</v>
      </c>
      <c r="M23" s="25">
        <v>5</v>
      </c>
      <c r="N23" s="25">
        <v>17</v>
      </c>
      <c r="O23" s="25">
        <f t="shared" si="1"/>
        <v>3</v>
      </c>
      <c r="P23" s="25">
        <f t="shared" si="2"/>
        <v>9</v>
      </c>
      <c r="Q23" s="25">
        <v>14</v>
      </c>
      <c r="R23">
        <v>73</v>
      </c>
      <c r="S23">
        <v>57.210360000000001</v>
      </c>
      <c r="T23">
        <v>85.042320000000004</v>
      </c>
      <c r="U23">
        <f t="shared" si="3"/>
        <v>15.789639999999999</v>
      </c>
      <c r="V23">
        <f t="shared" si="4"/>
        <v>12.042320000000004</v>
      </c>
      <c r="W23">
        <v>80</v>
      </c>
      <c r="X23" s="91">
        <f>IF('CEA Summary'!$O$4=2, L23, IF('CEA Summary'!$O$4=1, R23))</f>
        <v>8</v>
      </c>
      <c r="Y23" s="91">
        <f>IF('CEA Summary'!$O$4=2, O23, IF('CEA Summary'!$O$4=1, U23))</f>
        <v>3</v>
      </c>
      <c r="Z23" s="91">
        <f>IF('CEA Summary'!$O$4=2, P23, IF('CEA Summary'!$O$4=1, V23))</f>
        <v>9</v>
      </c>
      <c r="AA23" s="91">
        <f>IF('CEA Summary'!$O$4=2, Q23, IF('CEA Summary'!$O$4=1, W23))</f>
        <v>14</v>
      </c>
    </row>
    <row r="24" spans="1:27" x14ac:dyDescent="0.25">
      <c r="A24" t="s">
        <v>115</v>
      </c>
      <c r="B24" t="s">
        <v>116</v>
      </c>
      <c r="C24" s="96">
        <v>66</v>
      </c>
      <c r="D24" s="96">
        <v>61</v>
      </c>
      <c r="E24" s="97">
        <v>0.64</v>
      </c>
      <c r="F24" s="97">
        <v>0.55000000000000004</v>
      </c>
      <c r="G24" s="97">
        <v>0.56000000000000005</v>
      </c>
      <c r="H24" s="96" t="s">
        <v>851</v>
      </c>
      <c r="I24" s="98">
        <v>2.1999999999999999E-2</v>
      </c>
      <c r="J24" s="96" t="s">
        <v>320</v>
      </c>
      <c r="K24" s="4" t="str">
        <f t="shared" si="0"/>
        <v>RTE</v>
      </c>
      <c r="L24" s="25">
        <v>13</v>
      </c>
      <c r="M24" s="25">
        <v>8</v>
      </c>
      <c r="N24" s="25">
        <v>22</v>
      </c>
      <c r="O24" s="25">
        <f t="shared" si="1"/>
        <v>5</v>
      </c>
      <c r="P24" s="25">
        <f t="shared" si="2"/>
        <v>9</v>
      </c>
      <c r="Q24" s="25">
        <v>14</v>
      </c>
      <c r="R24">
        <v>56.000000000000007</v>
      </c>
      <c r="S24">
        <v>42.445949999999996</v>
      </c>
      <c r="T24">
        <v>68.453589999999991</v>
      </c>
      <c r="U24">
        <f t="shared" si="3"/>
        <v>13.554050000000011</v>
      </c>
      <c r="V24">
        <f t="shared" si="4"/>
        <v>12.453589999999984</v>
      </c>
      <c r="W24">
        <v>80</v>
      </c>
      <c r="X24" s="91">
        <f>IF('CEA Summary'!$O$4=2, L24, IF('CEA Summary'!$O$4=1, R24))</f>
        <v>13</v>
      </c>
      <c r="Y24" s="91">
        <f>IF('CEA Summary'!$O$4=2, O24, IF('CEA Summary'!$O$4=1, U24))</f>
        <v>5</v>
      </c>
      <c r="Z24" s="91">
        <f>IF('CEA Summary'!$O$4=2, P24, IF('CEA Summary'!$O$4=1, V24))</f>
        <v>9</v>
      </c>
      <c r="AA24" s="91">
        <f>IF('CEA Summary'!$O$4=2, Q24, IF('CEA Summary'!$O$4=1, W24))</f>
        <v>14</v>
      </c>
    </row>
    <row r="25" spans="1:27" x14ac:dyDescent="0.25">
      <c r="A25" t="s">
        <v>66</v>
      </c>
      <c r="B25" t="s">
        <v>67</v>
      </c>
      <c r="C25" s="96">
        <v>56</v>
      </c>
      <c r="D25" s="96">
        <v>49</v>
      </c>
      <c r="E25" s="97">
        <v>0.57999999999999996</v>
      </c>
      <c r="F25" s="97">
        <v>0.56999999999999995</v>
      </c>
      <c r="G25" s="97">
        <v>0.67</v>
      </c>
      <c r="H25" s="96" t="s">
        <v>852</v>
      </c>
      <c r="I25" s="98">
        <v>2.5999999999999999E-2</v>
      </c>
      <c r="J25" s="96" t="s">
        <v>233</v>
      </c>
      <c r="K25" s="4" t="str">
        <f t="shared" si="0"/>
        <v>RJ1</v>
      </c>
      <c r="L25" s="25">
        <v>10</v>
      </c>
      <c r="M25" s="25">
        <v>7</v>
      </c>
      <c r="N25" s="25">
        <v>23</v>
      </c>
      <c r="O25" s="25">
        <f t="shared" si="1"/>
        <v>3</v>
      </c>
      <c r="P25" s="25">
        <f t="shared" si="2"/>
        <v>13</v>
      </c>
      <c r="Q25" s="25">
        <v>14</v>
      </c>
      <c r="R25">
        <v>67</v>
      </c>
      <c r="S25">
        <v>52.45993</v>
      </c>
      <c r="T25">
        <v>80.051459999999992</v>
      </c>
      <c r="U25">
        <f t="shared" si="3"/>
        <v>14.54007</v>
      </c>
      <c r="V25">
        <f t="shared" si="4"/>
        <v>13.051459999999992</v>
      </c>
      <c r="W25">
        <v>80</v>
      </c>
      <c r="X25" s="91">
        <f>IF('CEA Summary'!$O$4=2, L25, IF('CEA Summary'!$O$4=1, R25))</f>
        <v>10</v>
      </c>
      <c r="Y25" s="91">
        <f>IF('CEA Summary'!$O$4=2, O25, IF('CEA Summary'!$O$4=1, U25))</f>
        <v>3</v>
      </c>
      <c r="Z25" s="91">
        <f>IF('CEA Summary'!$O$4=2, P25, IF('CEA Summary'!$O$4=1, V25))</f>
        <v>13</v>
      </c>
      <c r="AA25" s="91">
        <f>IF('CEA Summary'!$O$4=2, Q25, IF('CEA Summary'!$O$4=1, W25))</f>
        <v>14</v>
      </c>
    </row>
    <row r="26" spans="1:27" x14ac:dyDescent="0.25">
      <c r="A26" t="s">
        <v>130</v>
      </c>
      <c r="B26" t="s">
        <v>618</v>
      </c>
      <c r="C26" s="96">
        <v>91</v>
      </c>
      <c r="D26" s="96">
        <v>85</v>
      </c>
      <c r="E26" s="97">
        <v>0.61</v>
      </c>
      <c r="F26" s="97">
        <v>0.38</v>
      </c>
      <c r="G26" s="97">
        <v>0.35</v>
      </c>
      <c r="H26" s="96" t="s">
        <v>853</v>
      </c>
      <c r="I26" s="98">
        <v>4.1000000000000002E-2</v>
      </c>
      <c r="J26" s="96" t="s">
        <v>349</v>
      </c>
      <c r="K26" s="4" t="str">
        <f t="shared" si="0"/>
        <v>RWA</v>
      </c>
      <c r="L26" s="25">
        <v>21</v>
      </c>
      <c r="M26" s="25">
        <v>10</v>
      </c>
      <c r="N26" s="25">
        <v>43</v>
      </c>
      <c r="O26" s="25">
        <f t="shared" si="1"/>
        <v>11</v>
      </c>
      <c r="P26" s="25">
        <f t="shared" si="2"/>
        <v>22</v>
      </c>
      <c r="Q26" s="25">
        <v>14</v>
      </c>
      <c r="R26">
        <v>35</v>
      </c>
      <c r="S26">
        <v>25.23105</v>
      </c>
      <c r="T26">
        <v>46.414319999999996</v>
      </c>
      <c r="U26">
        <f t="shared" si="3"/>
        <v>9.7689500000000002</v>
      </c>
      <c r="V26">
        <f t="shared" si="4"/>
        <v>11.414319999999996</v>
      </c>
      <c r="W26">
        <v>80</v>
      </c>
      <c r="X26" s="91">
        <f>IF('CEA Summary'!$O$4=2, L26, IF('CEA Summary'!$O$4=1, R26))</f>
        <v>21</v>
      </c>
      <c r="Y26" s="91">
        <f>IF('CEA Summary'!$O$4=2, O26, IF('CEA Summary'!$O$4=1, U26))</f>
        <v>11</v>
      </c>
      <c r="Z26" s="91">
        <f>IF('CEA Summary'!$O$4=2, P26, IF('CEA Summary'!$O$4=1, V26))</f>
        <v>22</v>
      </c>
      <c r="AA26" s="91">
        <f>IF('CEA Summary'!$O$4=2, Q26, IF('CEA Summary'!$O$4=1, W26))</f>
        <v>14</v>
      </c>
    </row>
    <row r="27" spans="1:27" x14ac:dyDescent="0.25">
      <c r="A27" t="s">
        <v>158</v>
      </c>
      <c r="B27" t="s">
        <v>159</v>
      </c>
      <c r="C27" s="96">
        <v>57</v>
      </c>
      <c r="D27" s="96">
        <v>46</v>
      </c>
      <c r="E27" s="97">
        <v>0.64</v>
      </c>
      <c r="F27" s="97">
        <v>0.45</v>
      </c>
      <c r="G27" s="97">
        <v>0.48</v>
      </c>
      <c r="H27" s="96" t="s">
        <v>854</v>
      </c>
      <c r="I27" s="98">
        <v>4.2999999999999997E-2</v>
      </c>
      <c r="J27" s="96" t="s">
        <v>245</v>
      </c>
      <c r="K27" s="4" t="str">
        <f t="shared" si="0"/>
        <v>RYJ</v>
      </c>
      <c r="L27" s="25">
        <v>15</v>
      </c>
      <c r="M27" s="25">
        <v>6</v>
      </c>
      <c r="N27" s="25">
        <v>38</v>
      </c>
      <c r="O27" s="25">
        <f t="shared" si="1"/>
        <v>9</v>
      </c>
      <c r="P27" s="25">
        <f t="shared" si="2"/>
        <v>23</v>
      </c>
      <c r="Q27" s="25">
        <v>14</v>
      </c>
      <c r="R27">
        <v>48</v>
      </c>
      <c r="S27">
        <v>32.887869999999999</v>
      </c>
      <c r="T27">
        <v>63.054350000000007</v>
      </c>
      <c r="U27">
        <f t="shared" si="3"/>
        <v>15.112130000000001</v>
      </c>
      <c r="V27">
        <f t="shared" si="4"/>
        <v>15.054350000000007</v>
      </c>
      <c r="W27">
        <v>80</v>
      </c>
      <c r="X27" s="91">
        <f>IF('CEA Summary'!$O$4=2, L27, IF('CEA Summary'!$O$4=1, R27))</f>
        <v>15</v>
      </c>
      <c r="Y27" s="91">
        <f>IF('CEA Summary'!$O$4=2, O27, IF('CEA Summary'!$O$4=1, U27))</f>
        <v>9</v>
      </c>
      <c r="Z27" s="91">
        <f>IF('CEA Summary'!$O$4=2, P27, IF('CEA Summary'!$O$4=1, V27))</f>
        <v>23</v>
      </c>
      <c r="AA27" s="91">
        <f>IF('CEA Summary'!$O$4=2, Q27, IF('CEA Summary'!$O$4=1, W27))</f>
        <v>14</v>
      </c>
    </row>
    <row r="28" spans="1:27" x14ac:dyDescent="0.25">
      <c r="A28" t="s">
        <v>74</v>
      </c>
      <c r="B28" t="s">
        <v>75</v>
      </c>
      <c r="C28" s="96">
        <v>97</v>
      </c>
      <c r="D28" s="96">
        <v>78</v>
      </c>
      <c r="E28" s="97">
        <v>0.9</v>
      </c>
      <c r="F28" s="97">
        <v>0.38</v>
      </c>
      <c r="G28" s="97">
        <v>0.56000000000000005</v>
      </c>
      <c r="H28" s="96" t="s">
        <v>882</v>
      </c>
      <c r="I28" s="98">
        <v>8.9999999999999993E-3</v>
      </c>
      <c r="J28" s="96" t="s">
        <v>225</v>
      </c>
      <c r="K28" s="4" t="str">
        <f t="shared" si="0"/>
        <v>RJZ</v>
      </c>
      <c r="L28" s="25">
        <v>13</v>
      </c>
      <c r="M28" s="25">
        <v>7</v>
      </c>
      <c r="N28" s="25">
        <v>30</v>
      </c>
      <c r="O28" s="25">
        <f t="shared" si="1"/>
        <v>6</v>
      </c>
      <c r="P28" s="25">
        <f t="shared" si="2"/>
        <v>17</v>
      </c>
      <c r="Q28" s="25">
        <v>14</v>
      </c>
      <c r="R28">
        <v>56.000000000000007</v>
      </c>
      <c r="S28">
        <v>44.704769999999996</v>
      </c>
      <c r="T28">
        <v>67.614149999999995</v>
      </c>
      <c r="U28">
        <f t="shared" si="3"/>
        <v>11.295230000000011</v>
      </c>
      <c r="V28">
        <f t="shared" si="4"/>
        <v>11.614149999999988</v>
      </c>
      <c r="W28">
        <v>80</v>
      </c>
      <c r="X28" s="91">
        <f>IF('CEA Summary'!$O$4=2, L28, IF('CEA Summary'!$O$4=1, R28))</f>
        <v>13</v>
      </c>
      <c r="Y28" s="91">
        <f>IF('CEA Summary'!$O$4=2, O28, IF('CEA Summary'!$O$4=1, U28))</f>
        <v>6</v>
      </c>
      <c r="Z28" s="91">
        <f>IF('CEA Summary'!$O$4=2, P28, IF('CEA Summary'!$O$4=1, V28))</f>
        <v>17</v>
      </c>
      <c r="AA28" s="91">
        <f>IF('CEA Summary'!$O$4=2, Q28, IF('CEA Summary'!$O$4=1, W28))</f>
        <v>14</v>
      </c>
    </row>
    <row r="29" spans="1:27" x14ac:dyDescent="0.25">
      <c r="A29" t="s">
        <v>150</v>
      </c>
      <c r="B29" t="s">
        <v>151</v>
      </c>
      <c r="C29" s="96">
        <v>101</v>
      </c>
      <c r="D29" s="96">
        <v>95</v>
      </c>
      <c r="E29" s="97">
        <v>0.49</v>
      </c>
      <c r="F29" s="97">
        <v>0.26</v>
      </c>
      <c r="G29" s="97">
        <v>0.28999999999999998</v>
      </c>
      <c r="H29" s="96" t="s">
        <v>855</v>
      </c>
      <c r="I29" s="98">
        <v>1.2E-2</v>
      </c>
      <c r="J29" s="96" t="s">
        <v>322</v>
      </c>
      <c r="K29" s="4" t="str">
        <f t="shared" si="0"/>
        <v>RXN</v>
      </c>
      <c r="L29" s="25">
        <v>23</v>
      </c>
      <c r="M29" s="25">
        <v>13</v>
      </c>
      <c r="N29" s="25">
        <v>37</v>
      </c>
      <c r="O29" s="25">
        <f t="shared" si="1"/>
        <v>10</v>
      </c>
      <c r="P29" s="25">
        <f t="shared" si="2"/>
        <v>14</v>
      </c>
      <c r="Q29" s="25">
        <v>14</v>
      </c>
      <c r="R29">
        <v>28.999999999999996</v>
      </c>
      <c r="S29">
        <v>20.559450000000002</v>
      </c>
      <c r="T29">
        <v>39.709780000000002</v>
      </c>
      <c r="U29">
        <f t="shared" si="3"/>
        <v>8.4405499999999947</v>
      </c>
      <c r="V29">
        <f t="shared" si="4"/>
        <v>10.709780000000006</v>
      </c>
      <c r="W29">
        <v>80</v>
      </c>
      <c r="X29" s="91">
        <f>IF('CEA Summary'!$O$4=2, L29, IF('CEA Summary'!$O$4=1, R29))</f>
        <v>23</v>
      </c>
      <c r="Y29" s="91">
        <f>IF('CEA Summary'!$O$4=2, O29, IF('CEA Summary'!$O$4=1, U29))</f>
        <v>10</v>
      </c>
      <c r="Z29" s="91">
        <f>IF('CEA Summary'!$O$4=2, P29, IF('CEA Summary'!$O$4=1, V29))</f>
        <v>14</v>
      </c>
      <c r="AA29" s="91">
        <f>IF('CEA Summary'!$O$4=2, Q29, IF('CEA Summary'!$O$4=1, W29))</f>
        <v>14</v>
      </c>
    </row>
    <row r="30" spans="1:27" x14ac:dyDescent="0.25">
      <c r="A30" t="s">
        <v>105</v>
      </c>
      <c r="B30" t="s">
        <v>106</v>
      </c>
      <c r="C30" s="96">
        <v>42</v>
      </c>
      <c r="D30" s="96">
        <v>42</v>
      </c>
      <c r="E30" s="97">
        <v>0.68</v>
      </c>
      <c r="F30" s="97">
        <v>0.93</v>
      </c>
      <c r="G30" s="97">
        <v>0.88</v>
      </c>
      <c r="H30" s="96" t="s">
        <v>883</v>
      </c>
      <c r="I30" s="98">
        <v>6.3E-2</v>
      </c>
      <c r="J30" s="96" t="s">
        <v>246</v>
      </c>
      <c r="K30" s="4" t="str">
        <f t="shared" si="0"/>
        <v>RR8</v>
      </c>
      <c r="L30" s="25">
        <v>10</v>
      </c>
      <c r="M30" s="25">
        <v>6</v>
      </c>
      <c r="N30" s="25">
        <v>12</v>
      </c>
      <c r="O30" s="25">
        <f t="shared" si="1"/>
        <v>4</v>
      </c>
      <c r="P30" s="25">
        <f t="shared" si="2"/>
        <v>2</v>
      </c>
      <c r="Q30" s="25">
        <v>14</v>
      </c>
      <c r="R30">
        <v>88</v>
      </c>
      <c r="S30">
        <v>73.196709999999996</v>
      </c>
      <c r="T30">
        <v>95.814040000000006</v>
      </c>
      <c r="U30">
        <f t="shared" si="3"/>
        <v>14.803290000000004</v>
      </c>
      <c r="V30">
        <f t="shared" si="4"/>
        <v>7.8140400000000056</v>
      </c>
      <c r="W30">
        <v>80</v>
      </c>
      <c r="X30" s="91">
        <f>IF('CEA Summary'!$O$4=2, L30, IF('CEA Summary'!$O$4=1, R30))</f>
        <v>10</v>
      </c>
      <c r="Y30" s="91">
        <f>IF('CEA Summary'!$O$4=2, O30, IF('CEA Summary'!$O$4=1, U30))</f>
        <v>4</v>
      </c>
      <c r="Z30" s="91">
        <f>IF('CEA Summary'!$O$4=2, P30, IF('CEA Summary'!$O$4=1, V30))</f>
        <v>2</v>
      </c>
      <c r="AA30" s="91">
        <f>IF('CEA Summary'!$O$4=2, Q30, IF('CEA Summary'!$O$4=1, W30))</f>
        <v>14</v>
      </c>
    </row>
    <row r="31" spans="1:27" x14ac:dyDescent="0.25">
      <c r="A31" t="s">
        <v>46</v>
      </c>
      <c r="B31" t="s">
        <v>619</v>
      </c>
      <c r="C31" s="96">
        <v>101</v>
      </c>
      <c r="D31" s="96">
        <v>98</v>
      </c>
      <c r="E31" s="97">
        <v>0.76</v>
      </c>
      <c r="F31" s="97">
        <v>0.2</v>
      </c>
      <c r="G31" s="97">
        <v>0.39</v>
      </c>
      <c r="H31" s="96" t="s">
        <v>884</v>
      </c>
      <c r="I31" s="98">
        <v>2.3E-2</v>
      </c>
      <c r="J31" s="96" t="s">
        <v>302</v>
      </c>
      <c r="K31" s="4" t="str">
        <f t="shared" si="0"/>
        <v>REM</v>
      </c>
      <c r="L31" s="25">
        <v>19</v>
      </c>
      <c r="M31" s="25">
        <v>12</v>
      </c>
      <c r="N31" s="25">
        <v>29</v>
      </c>
      <c r="O31" s="25">
        <f t="shared" si="1"/>
        <v>7</v>
      </c>
      <c r="P31" s="25">
        <f t="shared" si="2"/>
        <v>10</v>
      </c>
      <c r="Q31" s="25">
        <v>14</v>
      </c>
      <c r="R31">
        <v>39</v>
      </c>
      <c r="S31">
        <v>29.097099999999998</v>
      </c>
      <c r="T31">
        <v>49.151380000000003</v>
      </c>
      <c r="U31">
        <f t="shared" si="3"/>
        <v>9.9029000000000025</v>
      </c>
      <c r="V31">
        <f t="shared" si="4"/>
        <v>10.151380000000003</v>
      </c>
      <c r="W31">
        <v>80</v>
      </c>
      <c r="X31" s="91">
        <f>IF('CEA Summary'!$O$4=2, L31, IF('CEA Summary'!$O$4=1, R31))</f>
        <v>19</v>
      </c>
      <c r="Y31" s="91">
        <f>IF('CEA Summary'!$O$4=2, O31, IF('CEA Summary'!$O$4=1, U31))</f>
        <v>7</v>
      </c>
      <c r="Z31" s="91">
        <f>IF('CEA Summary'!$O$4=2, P31, IF('CEA Summary'!$O$4=1, V31))</f>
        <v>10</v>
      </c>
      <c r="AA31" s="91">
        <f>IF('CEA Summary'!$O$4=2, Q31, IF('CEA Summary'!$O$4=1, W31))</f>
        <v>14</v>
      </c>
    </row>
    <row r="32" spans="1:27" x14ac:dyDescent="0.25">
      <c r="A32" t="s">
        <v>15</v>
      </c>
      <c r="B32" t="s">
        <v>620</v>
      </c>
      <c r="C32" s="96">
        <v>41</v>
      </c>
      <c r="D32" s="96">
        <v>39</v>
      </c>
      <c r="E32" s="97">
        <v>0.85</v>
      </c>
      <c r="F32" s="97">
        <v>0.85</v>
      </c>
      <c r="G32" s="97">
        <v>0.95</v>
      </c>
      <c r="H32" s="96" t="s">
        <v>324</v>
      </c>
      <c r="I32" s="98">
        <v>4.7E-2</v>
      </c>
      <c r="J32" s="96" t="s">
        <v>256</v>
      </c>
      <c r="K32" s="4" t="str">
        <f t="shared" si="0"/>
        <v>R1K</v>
      </c>
      <c r="L32" s="25">
        <v>6</v>
      </c>
      <c r="M32" s="25">
        <v>3</v>
      </c>
      <c r="N32" s="25">
        <v>8</v>
      </c>
      <c r="O32" s="25">
        <f t="shared" si="1"/>
        <v>3</v>
      </c>
      <c r="P32" s="25">
        <f t="shared" si="2"/>
        <v>2</v>
      </c>
      <c r="Q32" s="25">
        <v>14</v>
      </c>
      <c r="R32">
        <v>95</v>
      </c>
      <c r="S32">
        <v>82.675520000000006</v>
      </c>
      <c r="T32">
        <v>99.372799999999998</v>
      </c>
      <c r="U32">
        <f t="shared" si="3"/>
        <v>12.324479999999994</v>
      </c>
      <c r="V32">
        <f t="shared" si="4"/>
        <v>4.372799999999998</v>
      </c>
      <c r="W32">
        <v>80</v>
      </c>
      <c r="X32" s="91">
        <f>IF('CEA Summary'!$O$4=2, L32, IF('CEA Summary'!$O$4=1, R32))</f>
        <v>6</v>
      </c>
      <c r="Y32" s="91">
        <f>IF('CEA Summary'!$O$4=2, O32, IF('CEA Summary'!$O$4=1, U32))</f>
        <v>3</v>
      </c>
      <c r="Z32" s="91">
        <f>IF('CEA Summary'!$O$4=2, P32, IF('CEA Summary'!$O$4=1, V32))</f>
        <v>2</v>
      </c>
      <c r="AA32" s="91">
        <f>IF('CEA Summary'!$O$4=2, Q32, IF('CEA Summary'!$O$4=1, W32))</f>
        <v>14</v>
      </c>
    </row>
    <row r="33" spans="1:27" x14ac:dyDescent="0.25">
      <c r="A33" t="s">
        <v>11</v>
      </c>
      <c r="B33" t="s">
        <v>12</v>
      </c>
      <c r="C33" s="96">
        <v>138</v>
      </c>
      <c r="D33" s="96">
        <v>125</v>
      </c>
      <c r="E33" s="97">
        <v>0.71</v>
      </c>
      <c r="F33" s="97">
        <v>0.52</v>
      </c>
      <c r="G33" s="97">
        <v>0.63</v>
      </c>
      <c r="H33" s="96" t="s">
        <v>222</v>
      </c>
      <c r="I33" s="98">
        <v>1.7000000000000001E-2</v>
      </c>
      <c r="J33" s="96" t="s">
        <v>243</v>
      </c>
      <c r="K33" s="4" t="str">
        <f t="shared" si="0"/>
        <v>R0A</v>
      </c>
      <c r="L33" s="25">
        <v>11</v>
      </c>
      <c r="M33" s="25">
        <v>6</v>
      </c>
      <c r="N33" s="25">
        <v>21</v>
      </c>
      <c r="O33" s="25">
        <f t="shared" si="1"/>
        <v>5</v>
      </c>
      <c r="P33" s="25">
        <f t="shared" si="2"/>
        <v>10</v>
      </c>
      <c r="Q33" s="25">
        <v>14</v>
      </c>
      <c r="R33">
        <v>63</v>
      </c>
      <c r="S33">
        <v>53.770419999999994</v>
      </c>
      <c r="T33">
        <v>71.404389999999992</v>
      </c>
      <c r="U33">
        <f t="shared" si="3"/>
        <v>9.2295800000000057</v>
      </c>
      <c r="V33">
        <f t="shared" si="4"/>
        <v>8.4043899999999923</v>
      </c>
      <c r="W33">
        <v>80</v>
      </c>
      <c r="X33" s="91">
        <f>IF('CEA Summary'!$O$4=2, L33, IF('CEA Summary'!$O$4=1, R33))</f>
        <v>11</v>
      </c>
      <c r="Y33" s="91">
        <f>IF('CEA Summary'!$O$4=2, O33, IF('CEA Summary'!$O$4=1, U33))</f>
        <v>5</v>
      </c>
      <c r="Z33" s="91">
        <f>IF('CEA Summary'!$O$4=2, P33, IF('CEA Summary'!$O$4=1, V33))</f>
        <v>10</v>
      </c>
      <c r="AA33" s="91">
        <f>IF('CEA Summary'!$O$4=2, Q33, IF('CEA Summary'!$O$4=1, W33))</f>
        <v>14</v>
      </c>
    </row>
    <row r="34" spans="1:27" x14ac:dyDescent="0.25">
      <c r="A34" t="s">
        <v>95</v>
      </c>
      <c r="B34" t="s">
        <v>96</v>
      </c>
      <c r="C34" s="96">
        <v>11</v>
      </c>
      <c r="D34" s="96">
        <v>10</v>
      </c>
      <c r="E34" s="97">
        <v>0.5</v>
      </c>
      <c r="F34" s="97">
        <v>0.45</v>
      </c>
      <c r="G34" s="97">
        <v>0.4</v>
      </c>
      <c r="H34" s="96" t="s">
        <v>885</v>
      </c>
      <c r="I34" s="98">
        <v>4.1000000000000002E-2</v>
      </c>
      <c r="J34" s="96" t="s">
        <v>322</v>
      </c>
      <c r="K34" s="4" t="str">
        <f t="shared" si="0"/>
        <v>RPA</v>
      </c>
      <c r="L34" s="25">
        <v>22</v>
      </c>
      <c r="M34" s="25">
        <v>11</v>
      </c>
      <c r="N34" s="25">
        <v>27</v>
      </c>
      <c r="O34" s="25">
        <f t="shared" si="1"/>
        <v>11</v>
      </c>
      <c r="P34" s="25">
        <f t="shared" si="2"/>
        <v>5</v>
      </c>
      <c r="Q34" s="25">
        <v>14</v>
      </c>
      <c r="R34">
        <v>40</v>
      </c>
      <c r="S34">
        <v>12.15523</v>
      </c>
      <c r="T34">
        <v>73.762190000000004</v>
      </c>
      <c r="U34">
        <f t="shared" si="3"/>
        <v>27.84477</v>
      </c>
      <c r="V34">
        <f t="shared" si="4"/>
        <v>33.762190000000004</v>
      </c>
      <c r="W34">
        <v>80</v>
      </c>
      <c r="X34" s="91">
        <f>IF('CEA Summary'!$O$4=2, L34, IF('CEA Summary'!$O$4=1, R34))</f>
        <v>22</v>
      </c>
      <c r="Y34" s="91">
        <f>IF('CEA Summary'!$O$4=2, O34, IF('CEA Summary'!$O$4=1, U34))</f>
        <v>11</v>
      </c>
      <c r="Z34" s="91">
        <f>IF('CEA Summary'!$O$4=2, P34, IF('CEA Summary'!$O$4=1, V34))</f>
        <v>5</v>
      </c>
      <c r="AA34" s="91">
        <f>IF('CEA Summary'!$O$4=2, Q34, IF('CEA Summary'!$O$4=1, W34))</f>
        <v>14</v>
      </c>
    </row>
    <row r="35" spans="1:27" x14ac:dyDescent="0.25">
      <c r="A35" t="s">
        <v>99</v>
      </c>
      <c r="B35" t="s">
        <v>100</v>
      </c>
      <c r="C35" s="96">
        <v>48</v>
      </c>
      <c r="D35" s="96">
        <v>41</v>
      </c>
      <c r="E35" s="97">
        <v>0.83</v>
      </c>
      <c r="F35" s="97">
        <v>0.19</v>
      </c>
      <c r="G35" s="97">
        <v>0.44</v>
      </c>
      <c r="H35" s="96" t="s">
        <v>856</v>
      </c>
      <c r="I35" s="98">
        <v>2.5999999999999999E-2</v>
      </c>
      <c r="J35" s="96" t="s">
        <v>320</v>
      </c>
      <c r="K35" s="4" t="str">
        <f t="shared" si="0"/>
        <v>RQ8</v>
      </c>
      <c r="L35" s="25">
        <v>17</v>
      </c>
      <c r="M35" s="25">
        <v>12</v>
      </c>
      <c r="N35" s="25">
        <v>35</v>
      </c>
      <c r="O35" s="25">
        <f t="shared" si="1"/>
        <v>5</v>
      </c>
      <c r="P35" s="25">
        <f t="shared" si="2"/>
        <v>18</v>
      </c>
      <c r="Q35" s="25">
        <v>14</v>
      </c>
      <c r="R35">
        <v>44</v>
      </c>
      <c r="S35">
        <v>28.468710000000002</v>
      </c>
      <c r="T35">
        <v>60.250159999999994</v>
      </c>
      <c r="U35">
        <f t="shared" si="3"/>
        <v>15.531289999999998</v>
      </c>
      <c r="V35">
        <f t="shared" si="4"/>
        <v>16.250159999999994</v>
      </c>
      <c r="W35">
        <v>80</v>
      </c>
      <c r="X35" s="91">
        <f>IF('CEA Summary'!$O$4=2, L35, IF('CEA Summary'!$O$4=1, R35))</f>
        <v>17</v>
      </c>
      <c r="Y35" s="91">
        <f>IF('CEA Summary'!$O$4=2, O35, IF('CEA Summary'!$O$4=1, U35))</f>
        <v>5</v>
      </c>
      <c r="Z35" s="91">
        <f>IF('CEA Summary'!$O$4=2, P35, IF('CEA Summary'!$O$4=1, V35))</f>
        <v>18</v>
      </c>
      <c r="AA35" s="91">
        <f>IF('CEA Summary'!$O$4=2, Q35, IF('CEA Summary'!$O$4=1, W35))</f>
        <v>14</v>
      </c>
    </row>
    <row r="36" spans="1:27" x14ac:dyDescent="0.25">
      <c r="A36" t="s">
        <v>113</v>
      </c>
      <c r="B36" t="s">
        <v>114</v>
      </c>
      <c r="C36" s="96">
        <v>77</v>
      </c>
      <c r="D36" s="96">
        <v>76</v>
      </c>
      <c r="E36" s="97">
        <v>0.73</v>
      </c>
      <c r="F36" s="97">
        <v>0.32</v>
      </c>
      <c r="G36" s="97">
        <v>0.48</v>
      </c>
      <c r="H36" s="96" t="s">
        <v>857</v>
      </c>
      <c r="I36" s="98">
        <v>1.2999999999999999E-2</v>
      </c>
      <c r="J36" s="96" t="s">
        <v>320</v>
      </c>
      <c r="K36" s="4" t="str">
        <f t="shared" si="0"/>
        <v>RTD</v>
      </c>
      <c r="L36" s="25">
        <v>16</v>
      </c>
      <c r="M36" s="25">
        <v>9</v>
      </c>
      <c r="N36" s="25">
        <v>25</v>
      </c>
      <c r="O36" s="25">
        <f t="shared" si="1"/>
        <v>7</v>
      </c>
      <c r="P36" s="25">
        <f t="shared" si="2"/>
        <v>9</v>
      </c>
      <c r="Q36" s="25">
        <v>14</v>
      </c>
      <c r="R36">
        <v>48</v>
      </c>
      <c r="S36">
        <v>36.517739999999996</v>
      </c>
      <c r="T36">
        <v>59.740519999999997</v>
      </c>
      <c r="U36">
        <f t="shared" si="3"/>
        <v>11.482260000000004</v>
      </c>
      <c r="V36">
        <f t="shared" si="4"/>
        <v>11.740519999999997</v>
      </c>
      <c r="W36">
        <v>80</v>
      </c>
      <c r="X36" s="91">
        <f>IF('CEA Summary'!$O$4=2, L36, IF('CEA Summary'!$O$4=1, R36))</f>
        <v>16</v>
      </c>
      <c r="Y36" s="91">
        <f>IF('CEA Summary'!$O$4=2, O36, IF('CEA Summary'!$O$4=1, U36))</f>
        <v>7</v>
      </c>
      <c r="Z36" s="91">
        <f>IF('CEA Summary'!$O$4=2, P36, IF('CEA Summary'!$O$4=1, V36))</f>
        <v>9</v>
      </c>
      <c r="AA36" s="91">
        <f>IF('CEA Summary'!$O$4=2, Q36, IF('CEA Summary'!$O$4=1, W36))</f>
        <v>14</v>
      </c>
    </row>
    <row r="37" spans="1:27" x14ac:dyDescent="0.25">
      <c r="A37" t="s">
        <v>160</v>
      </c>
      <c r="B37" t="s">
        <v>161</v>
      </c>
      <c r="C37" s="96">
        <v>36</v>
      </c>
      <c r="D37" s="96">
        <v>36</v>
      </c>
      <c r="E37" s="97">
        <v>0.75</v>
      </c>
      <c r="F37" s="97">
        <v>0.57999999999999996</v>
      </c>
      <c r="G37" s="97">
        <v>0.64</v>
      </c>
      <c r="H37" s="96" t="s">
        <v>886</v>
      </c>
      <c r="I37" s="98">
        <v>0.03</v>
      </c>
      <c r="J37" s="96" t="s">
        <v>330</v>
      </c>
      <c r="K37" s="4" t="str">
        <f t="shared" si="0"/>
        <v>SA999</v>
      </c>
      <c r="L37" s="25">
        <v>11</v>
      </c>
      <c r="M37" s="25">
        <v>8</v>
      </c>
      <c r="N37" s="25">
        <v>19</v>
      </c>
      <c r="O37" s="25">
        <f t="shared" si="1"/>
        <v>3</v>
      </c>
      <c r="P37" s="25">
        <f t="shared" si="2"/>
        <v>8</v>
      </c>
      <c r="Q37" s="25">
        <v>14</v>
      </c>
      <c r="R37">
        <v>64</v>
      </c>
      <c r="S37">
        <v>46.2209</v>
      </c>
      <c r="T37">
        <v>79.177710000000005</v>
      </c>
      <c r="U37">
        <f t="shared" si="3"/>
        <v>17.7791</v>
      </c>
      <c r="V37">
        <f t="shared" si="4"/>
        <v>15.177710000000005</v>
      </c>
      <c r="W37">
        <v>80</v>
      </c>
      <c r="X37" s="91">
        <f>IF('CEA Summary'!$O$4=2, L37, IF('CEA Summary'!$O$4=1, R37))</f>
        <v>11</v>
      </c>
      <c r="Y37" s="91">
        <f>IF('CEA Summary'!$O$4=2, O37, IF('CEA Summary'!$O$4=1, U37))</f>
        <v>3</v>
      </c>
      <c r="Z37" s="91">
        <f>IF('CEA Summary'!$O$4=2, P37, IF('CEA Summary'!$O$4=1, V37))</f>
        <v>8</v>
      </c>
      <c r="AA37" s="91">
        <f>IF('CEA Summary'!$O$4=2, Q37, IF('CEA Summary'!$O$4=1, W37))</f>
        <v>14</v>
      </c>
    </row>
    <row r="38" spans="1:27" x14ac:dyDescent="0.25">
      <c r="A38" t="s">
        <v>170</v>
      </c>
      <c r="B38" t="s">
        <v>171</v>
      </c>
      <c r="C38" s="96">
        <v>18</v>
      </c>
      <c r="D38" s="96">
        <v>16</v>
      </c>
      <c r="E38" s="97">
        <v>0.87</v>
      </c>
      <c r="F38" s="97">
        <v>0.5</v>
      </c>
      <c r="G38" s="97">
        <v>0.8</v>
      </c>
      <c r="H38" s="96" t="s">
        <v>655</v>
      </c>
      <c r="I38" s="98">
        <v>5.5E-2</v>
      </c>
      <c r="J38" s="96" t="s">
        <v>328</v>
      </c>
      <c r="K38" s="4" t="str">
        <f t="shared" si="0"/>
        <v>SN999</v>
      </c>
      <c r="L38" s="25">
        <v>9</v>
      </c>
      <c r="M38" s="25">
        <v>5</v>
      </c>
      <c r="N38" s="25">
        <v>13</v>
      </c>
      <c r="O38" s="25">
        <f t="shared" si="1"/>
        <v>4</v>
      </c>
      <c r="P38" s="25">
        <f t="shared" si="2"/>
        <v>4</v>
      </c>
      <c r="Q38" s="25">
        <v>14</v>
      </c>
      <c r="R38">
        <v>80</v>
      </c>
      <c r="S38">
        <v>51.910889999999995</v>
      </c>
      <c r="T38">
        <v>95.668800000000005</v>
      </c>
      <c r="U38">
        <f t="shared" si="3"/>
        <v>28.089110000000005</v>
      </c>
      <c r="V38">
        <f t="shared" si="4"/>
        <v>15.668800000000005</v>
      </c>
      <c r="W38">
        <v>80</v>
      </c>
      <c r="X38" s="91">
        <f>IF('CEA Summary'!$O$4=2, L38, IF('CEA Summary'!$O$4=1, R38))</f>
        <v>9</v>
      </c>
      <c r="Y38" s="91">
        <f>IF('CEA Summary'!$O$4=2, O38, IF('CEA Summary'!$O$4=1, U38))</f>
        <v>4</v>
      </c>
      <c r="Z38" s="91">
        <f>IF('CEA Summary'!$O$4=2, P38, IF('CEA Summary'!$O$4=1, V38))</f>
        <v>4</v>
      </c>
      <c r="AA38" s="91">
        <f>IF('CEA Summary'!$O$4=2, Q38, IF('CEA Summary'!$O$4=1, W38))</f>
        <v>14</v>
      </c>
    </row>
    <row r="39" spans="1:27" x14ac:dyDescent="0.25">
      <c r="A39" t="s">
        <v>164</v>
      </c>
      <c r="B39" t="s">
        <v>165</v>
      </c>
      <c r="C39" s="96">
        <v>109</v>
      </c>
      <c r="D39" s="96">
        <v>109</v>
      </c>
      <c r="E39" s="97">
        <v>0.65</v>
      </c>
      <c r="F39" s="97">
        <v>0.73</v>
      </c>
      <c r="G39" s="97">
        <v>0.63</v>
      </c>
      <c r="H39" s="96" t="s">
        <v>887</v>
      </c>
      <c r="I39" s="98">
        <v>1.4999999999999999E-2</v>
      </c>
      <c r="J39" s="96" t="s">
        <v>236</v>
      </c>
      <c r="K39" s="4" t="str">
        <f t="shared" si="0"/>
        <v>SG999</v>
      </c>
      <c r="L39" s="25">
        <v>12</v>
      </c>
      <c r="M39" s="25">
        <v>7</v>
      </c>
      <c r="N39" s="25">
        <v>21</v>
      </c>
      <c r="O39" s="25">
        <f t="shared" si="1"/>
        <v>5</v>
      </c>
      <c r="P39" s="25">
        <f t="shared" si="2"/>
        <v>9</v>
      </c>
      <c r="Q39" s="25">
        <v>14</v>
      </c>
      <c r="R39">
        <v>63</v>
      </c>
      <c r="S39">
        <v>53.137149999999998</v>
      </c>
      <c r="T39">
        <v>72.058580000000006</v>
      </c>
      <c r="U39">
        <f t="shared" si="3"/>
        <v>9.8628500000000017</v>
      </c>
      <c r="V39">
        <f t="shared" si="4"/>
        <v>9.0585800000000063</v>
      </c>
      <c r="W39">
        <v>80</v>
      </c>
      <c r="X39" s="91">
        <f>IF('CEA Summary'!$O$4=2, L39, IF('CEA Summary'!$O$4=1, R39))</f>
        <v>12</v>
      </c>
      <c r="Y39" s="91">
        <f>IF('CEA Summary'!$O$4=2, O39, IF('CEA Summary'!$O$4=1, U39))</f>
        <v>5</v>
      </c>
      <c r="Z39" s="91">
        <f>IF('CEA Summary'!$O$4=2, P39, IF('CEA Summary'!$O$4=1, V39))</f>
        <v>9</v>
      </c>
      <c r="AA39" s="91">
        <f>IF('CEA Summary'!$O$4=2, Q39, IF('CEA Summary'!$O$4=1, W39))</f>
        <v>14</v>
      </c>
    </row>
    <row r="40" spans="1:27" x14ac:dyDescent="0.25">
      <c r="A40" t="s">
        <v>166</v>
      </c>
      <c r="B40" t="s">
        <v>167</v>
      </c>
      <c r="C40" s="96">
        <v>31</v>
      </c>
      <c r="D40" s="96">
        <v>23</v>
      </c>
      <c r="E40" s="97">
        <v>0.41</v>
      </c>
      <c r="F40" s="97">
        <v>0.06</v>
      </c>
      <c r="G40" s="97">
        <v>0.17</v>
      </c>
      <c r="H40" s="96" t="s">
        <v>858</v>
      </c>
      <c r="I40" s="98">
        <v>0</v>
      </c>
      <c r="J40" s="96" t="s">
        <v>242</v>
      </c>
      <c r="K40" s="4" t="str">
        <f t="shared" si="0"/>
        <v>SH999</v>
      </c>
      <c r="L40" s="25">
        <v>24</v>
      </c>
      <c r="M40" s="25">
        <v>15</v>
      </c>
      <c r="N40" s="25">
        <v>47</v>
      </c>
      <c r="O40" s="25">
        <f t="shared" si="1"/>
        <v>9</v>
      </c>
      <c r="P40" s="25">
        <f t="shared" si="2"/>
        <v>23</v>
      </c>
      <c r="Q40" s="25">
        <v>14</v>
      </c>
      <c r="R40">
        <v>17</v>
      </c>
      <c r="S40">
        <v>4.9507599999999998</v>
      </c>
      <c r="T40">
        <v>38.781189999999995</v>
      </c>
      <c r="U40">
        <f t="shared" si="3"/>
        <v>12.049240000000001</v>
      </c>
      <c r="V40">
        <f t="shared" si="4"/>
        <v>21.781189999999995</v>
      </c>
      <c r="W40">
        <v>80</v>
      </c>
      <c r="X40" s="91">
        <f>IF('CEA Summary'!$O$4=2, L40, IF('CEA Summary'!$O$4=1, R40))</f>
        <v>24</v>
      </c>
      <c r="Y40" s="91">
        <f>IF('CEA Summary'!$O$4=2, O40, IF('CEA Summary'!$O$4=1, U40))</f>
        <v>9</v>
      </c>
      <c r="Z40" s="91">
        <f>IF('CEA Summary'!$O$4=2, P40, IF('CEA Summary'!$O$4=1, V40))</f>
        <v>23</v>
      </c>
      <c r="AA40" s="91">
        <f>IF('CEA Summary'!$O$4=2, Q40, IF('CEA Summary'!$O$4=1, W40))</f>
        <v>14</v>
      </c>
    </row>
    <row r="41" spans="1:27" x14ac:dyDescent="0.25">
      <c r="A41" t="s">
        <v>168</v>
      </c>
      <c r="B41" t="s">
        <v>169</v>
      </c>
      <c r="C41" s="96">
        <v>41</v>
      </c>
      <c r="D41" s="96">
        <v>41</v>
      </c>
      <c r="E41" s="97">
        <v>0.76</v>
      </c>
      <c r="F41" s="97">
        <v>0.46</v>
      </c>
      <c r="G41" s="97">
        <v>0.56000000000000005</v>
      </c>
      <c r="H41" s="96" t="s">
        <v>859</v>
      </c>
      <c r="I41" s="98">
        <v>3.2000000000000001E-2</v>
      </c>
      <c r="J41" s="96" t="s">
        <v>236</v>
      </c>
      <c r="K41" s="4" t="str">
        <f t="shared" si="0"/>
        <v>SL999</v>
      </c>
      <c r="L41" s="25">
        <v>13</v>
      </c>
      <c r="M41" s="25">
        <v>10</v>
      </c>
      <c r="N41" s="25">
        <v>17</v>
      </c>
      <c r="O41" s="25">
        <f t="shared" si="1"/>
        <v>3</v>
      </c>
      <c r="P41" s="25">
        <f t="shared" si="2"/>
        <v>4</v>
      </c>
      <c r="Q41" s="25">
        <v>14</v>
      </c>
      <c r="R41">
        <v>56.000000000000007</v>
      </c>
      <c r="S41">
        <v>39.749839999999999</v>
      </c>
      <c r="T41">
        <v>71.531289999999998</v>
      </c>
      <c r="U41">
        <f t="shared" si="3"/>
        <v>16.250160000000008</v>
      </c>
      <c r="V41">
        <f t="shared" si="4"/>
        <v>15.531289999999991</v>
      </c>
      <c r="W41">
        <v>80</v>
      </c>
      <c r="X41" s="91">
        <f>IF('CEA Summary'!$O$4=2, L41, IF('CEA Summary'!$O$4=1, R41))</f>
        <v>13</v>
      </c>
      <c r="Y41" s="91">
        <f>IF('CEA Summary'!$O$4=2, O41, IF('CEA Summary'!$O$4=1, U41))</f>
        <v>3</v>
      </c>
      <c r="Z41" s="91">
        <f>IF('CEA Summary'!$O$4=2, P41, IF('CEA Summary'!$O$4=1, V41))</f>
        <v>4</v>
      </c>
      <c r="AA41" s="91">
        <f>IF('CEA Summary'!$O$4=2, Q41, IF('CEA Summary'!$O$4=1, W41))</f>
        <v>14</v>
      </c>
    </row>
    <row r="42" spans="1:27" x14ac:dyDescent="0.25">
      <c r="A42" t="s">
        <v>172</v>
      </c>
      <c r="B42" t="s">
        <v>173</v>
      </c>
      <c r="C42" s="96">
        <v>48</v>
      </c>
      <c r="D42" s="96">
        <v>48</v>
      </c>
      <c r="E42" s="97">
        <v>0.81</v>
      </c>
      <c r="F42" s="97">
        <v>0.57999999999999996</v>
      </c>
      <c r="G42" s="97">
        <v>0.73</v>
      </c>
      <c r="H42" s="96" t="s">
        <v>363</v>
      </c>
      <c r="I42" s="98">
        <v>7.0000000000000001E-3</v>
      </c>
      <c r="J42" s="96" t="s">
        <v>321</v>
      </c>
      <c r="K42" s="4" t="str">
        <f t="shared" si="0"/>
        <v>SS999</v>
      </c>
      <c r="L42" s="25">
        <v>12</v>
      </c>
      <c r="M42" s="25">
        <v>8</v>
      </c>
      <c r="N42" s="25">
        <v>15</v>
      </c>
      <c r="O42" s="25">
        <f t="shared" si="1"/>
        <v>4</v>
      </c>
      <c r="P42" s="25">
        <f t="shared" si="2"/>
        <v>3</v>
      </c>
      <c r="Q42" s="25">
        <v>14</v>
      </c>
      <c r="R42">
        <v>73</v>
      </c>
      <c r="S42">
        <v>58.154360000000004</v>
      </c>
      <c r="T42">
        <v>84.721820000000008</v>
      </c>
      <c r="U42">
        <f t="shared" si="3"/>
        <v>14.845639999999996</v>
      </c>
      <c r="V42">
        <f t="shared" si="4"/>
        <v>11.721820000000008</v>
      </c>
      <c r="W42">
        <v>80</v>
      </c>
      <c r="X42" s="91">
        <f>IF('CEA Summary'!$O$4=2, L42, IF('CEA Summary'!$O$4=1, R42))</f>
        <v>12</v>
      </c>
      <c r="Y42" s="91">
        <f>IF('CEA Summary'!$O$4=2, O42, IF('CEA Summary'!$O$4=1, U42))</f>
        <v>4</v>
      </c>
      <c r="Z42" s="91">
        <f>IF('CEA Summary'!$O$4=2, P42, IF('CEA Summary'!$O$4=1, V42))</f>
        <v>3</v>
      </c>
      <c r="AA42" s="91">
        <f>IF('CEA Summary'!$O$4=2, Q42, IF('CEA Summary'!$O$4=1, W42))</f>
        <v>14</v>
      </c>
    </row>
    <row r="43" spans="1:27" x14ac:dyDescent="0.25">
      <c r="A43" t="s">
        <v>174</v>
      </c>
      <c r="B43" t="s">
        <v>175</v>
      </c>
      <c r="C43" s="96">
        <v>19</v>
      </c>
      <c r="D43" s="96">
        <v>18</v>
      </c>
      <c r="E43" s="97">
        <v>0.78</v>
      </c>
      <c r="F43" s="97">
        <v>0.16</v>
      </c>
      <c r="G43" s="97">
        <v>0.39</v>
      </c>
      <c r="H43" s="96" t="s">
        <v>888</v>
      </c>
      <c r="I43" s="98">
        <v>2.4E-2</v>
      </c>
      <c r="J43" s="96" t="s">
        <v>860</v>
      </c>
      <c r="K43" s="4" t="str">
        <f t="shared" si="0"/>
        <v>ST999</v>
      </c>
      <c r="L43" s="25">
        <v>17</v>
      </c>
      <c r="M43" s="25">
        <v>12</v>
      </c>
      <c r="N43" s="25">
        <v>25</v>
      </c>
      <c r="O43" s="25">
        <f t="shared" si="1"/>
        <v>5</v>
      </c>
      <c r="P43" s="25">
        <f t="shared" si="2"/>
        <v>8</v>
      </c>
      <c r="Q43" s="25">
        <v>14</v>
      </c>
      <c r="R43">
        <v>39</v>
      </c>
      <c r="S43">
        <v>17.298590000000001</v>
      </c>
      <c r="T43">
        <v>64.25488</v>
      </c>
      <c r="U43">
        <f t="shared" si="3"/>
        <v>21.701409999999999</v>
      </c>
      <c r="V43">
        <f t="shared" si="4"/>
        <v>25.25488</v>
      </c>
      <c r="W43">
        <v>80</v>
      </c>
      <c r="X43" s="91">
        <f>IF('CEA Summary'!$O$4=2, L43, IF('CEA Summary'!$O$4=1, R43))</f>
        <v>17</v>
      </c>
      <c r="Y43" s="91">
        <f>IF('CEA Summary'!$O$4=2, O43, IF('CEA Summary'!$O$4=1, U43))</f>
        <v>5</v>
      </c>
      <c r="Z43" s="91">
        <f>IF('CEA Summary'!$O$4=2, P43, IF('CEA Summary'!$O$4=1, V43))</f>
        <v>8</v>
      </c>
      <c r="AA43" s="91">
        <f>IF('CEA Summary'!$O$4=2, Q43, IF('CEA Summary'!$O$4=1, W43))</f>
        <v>14</v>
      </c>
    </row>
    <row r="44" spans="1:27" x14ac:dyDescent="0.25">
      <c r="A44" t="s">
        <v>83</v>
      </c>
      <c r="B44" t="s">
        <v>84</v>
      </c>
      <c r="C44" s="96">
        <v>67</v>
      </c>
      <c r="D44" s="96">
        <v>59</v>
      </c>
      <c r="E44" s="97">
        <v>0.76</v>
      </c>
      <c r="F44" s="97">
        <v>0.67</v>
      </c>
      <c r="G44" s="97">
        <v>0.8</v>
      </c>
      <c r="H44" s="96" t="s">
        <v>655</v>
      </c>
      <c r="I44" s="98">
        <v>2.4E-2</v>
      </c>
      <c r="J44" s="96" t="s">
        <v>243</v>
      </c>
      <c r="K44" s="4" t="str">
        <f t="shared" si="0"/>
        <v>RM1</v>
      </c>
      <c r="L44" s="25">
        <v>9</v>
      </c>
      <c r="M44" s="25">
        <v>5</v>
      </c>
      <c r="N44" s="25">
        <v>13</v>
      </c>
      <c r="O44" s="25">
        <f t="shared" si="1"/>
        <v>4</v>
      </c>
      <c r="P44" s="25">
        <f t="shared" si="2"/>
        <v>4</v>
      </c>
      <c r="Q44" s="25">
        <v>14</v>
      </c>
      <c r="R44">
        <v>80</v>
      </c>
      <c r="S44">
        <v>67.166979999999995</v>
      </c>
      <c r="T44">
        <v>89.024630000000002</v>
      </c>
      <c r="U44">
        <f t="shared" si="3"/>
        <v>12.833020000000005</v>
      </c>
      <c r="V44">
        <f t="shared" si="4"/>
        <v>9.0246300000000019</v>
      </c>
      <c r="W44">
        <v>80</v>
      </c>
      <c r="X44" s="91">
        <f>IF('CEA Summary'!$O$4=2, L44, IF('CEA Summary'!$O$4=1, R44))</f>
        <v>9</v>
      </c>
      <c r="Y44" s="91">
        <f>IF('CEA Summary'!$O$4=2, O44, IF('CEA Summary'!$O$4=1, U44))</f>
        <v>4</v>
      </c>
      <c r="Z44" s="91">
        <f>IF('CEA Summary'!$O$4=2, P44, IF('CEA Summary'!$O$4=1, V44))</f>
        <v>4</v>
      </c>
      <c r="AA44" s="91">
        <f>IF('CEA Summary'!$O$4=2, Q44, IF('CEA Summary'!$O$4=1, W44))</f>
        <v>14</v>
      </c>
    </row>
    <row r="45" spans="1:27" x14ac:dyDescent="0.25">
      <c r="A45" t="s">
        <v>124</v>
      </c>
      <c r="B45" t="s">
        <v>125</v>
      </c>
      <c r="C45" s="96">
        <v>88</v>
      </c>
      <c r="D45" s="96">
        <v>86</v>
      </c>
      <c r="E45" s="97">
        <v>0.82</v>
      </c>
      <c r="F45" s="97">
        <v>0.6</v>
      </c>
      <c r="G45" s="97">
        <v>0.75</v>
      </c>
      <c r="H45" s="96" t="s">
        <v>459</v>
      </c>
      <c r="I45" s="98">
        <v>3.2000000000000001E-2</v>
      </c>
      <c r="J45" s="96" t="s">
        <v>243</v>
      </c>
      <c r="K45" s="4" t="str">
        <f t="shared" si="0"/>
        <v>RVJ</v>
      </c>
      <c r="L45" s="25">
        <v>10</v>
      </c>
      <c r="M45" s="25">
        <v>7</v>
      </c>
      <c r="N45" s="25">
        <v>14</v>
      </c>
      <c r="O45" s="25">
        <f t="shared" si="1"/>
        <v>3</v>
      </c>
      <c r="P45" s="25">
        <f t="shared" si="2"/>
        <v>4</v>
      </c>
      <c r="Q45" s="25">
        <v>14</v>
      </c>
      <c r="R45">
        <v>75</v>
      </c>
      <c r="S45">
        <v>64.747100000000003</v>
      </c>
      <c r="T45">
        <v>84.010189999999994</v>
      </c>
      <c r="U45">
        <f t="shared" si="3"/>
        <v>10.252899999999997</v>
      </c>
      <c r="V45">
        <f t="shared" si="4"/>
        <v>9.0101899999999944</v>
      </c>
      <c r="W45">
        <v>80</v>
      </c>
      <c r="X45" s="91">
        <f>IF('CEA Summary'!$O$4=2, L45, IF('CEA Summary'!$O$4=1, R45))</f>
        <v>10</v>
      </c>
      <c r="Y45" s="91">
        <f>IF('CEA Summary'!$O$4=2, O45, IF('CEA Summary'!$O$4=1, U45))</f>
        <v>3</v>
      </c>
      <c r="Z45" s="91">
        <f>IF('CEA Summary'!$O$4=2, P45, IF('CEA Summary'!$O$4=1, V45))</f>
        <v>4</v>
      </c>
      <c r="AA45" s="91">
        <f>IF('CEA Summary'!$O$4=2, Q45, IF('CEA Summary'!$O$4=1, W45))</f>
        <v>14</v>
      </c>
    </row>
    <row r="46" spans="1:27" x14ac:dyDescent="0.25">
      <c r="A46" t="s">
        <v>89</v>
      </c>
      <c r="B46" t="s">
        <v>90</v>
      </c>
      <c r="C46" s="96">
        <v>44</v>
      </c>
      <c r="D46" s="96">
        <v>41</v>
      </c>
      <c r="E46" s="97">
        <v>0.66</v>
      </c>
      <c r="F46" s="97">
        <v>0.64</v>
      </c>
      <c r="G46" s="97">
        <v>0.68</v>
      </c>
      <c r="H46" s="96" t="s">
        <v>381</v>
      </c>
      <c r="I46" s="98">
        <v>8.9999999999999993E-3</v>
      </c>
      <c r="J46" s="96" t="s">
        <v>242</v>
      </c>
      <c r="K46" s="4" t="str">
        <f t="shared" si="0"/>
        <v>RNL</v>
      </c>
      <c r="L46" s="25">
        <v>11</v>
      </c>
      <c r="M46" s="25">
        <v>7</v>
      </c>
      <c r="N46" s="25">
        <v>17</v>
      </c>
      <c r="O46" s="25">
        <f t="shared" si="1"/>
        <v>4</v>
      </c>
      <c r="P46" s="25">
        <f t="shared" si="2"/>
        <v>6</v>
      </c>
      <c r="Q46" s="25">
        <v>14</v>
      </c>
      <c r="R46">
        <v>68</v>
      </c>
      <c r="S46">
        <v>51.913359999999997</v>
      </c>
      <c r="T46">
        <v>81.915059999999997</v>
      </c>
      <c r="U46">
        <f t="shared" si="3"/>
        <v>16.086640000000003</v>
      </c>
      <c r="V46">
        <f t="shared" si="4"/>
        <v>13.915059999999997</v>
      </c>
      <c r="W46">
        <v>80</v>
      </c>
      <c r="X46" s="91">
        <f>IF('CEA Summary'!$O$4=2, L46, IF('CEA Summary'!$O$4=1, R46))</f>
        <v>11</v>
      </c>
      <c r="Y46" s="91">
        <f>IF('CEA Summary'!$O$4=2, O46, IF('CEA Summary'!$O$4=1, U46))</f>
        <v>4</v>
      </c>
      <c r="Z46" s="91">
        <f>IF('CEA Summary'!$O$4=2, P46, IF('CEA Summary'!$O$4=1, V46))</f>
        <v>6</v>
      </c>
      <c r="AA46" s="91">
        <f>IF('CEA Summary'!$O$4=2, Q46, IF('CEA Summary'!$O$4=1, W46))</f>
        <v>14</v>
      </c>
    </row>
    <row r="47" spans="1:27" x14ac:dyDescent="0.25">
      <c r="A47" t="s">
        <v>91</v>
      </c>
      <c r="B47" t="s">
        <v>92</v>
      </c>
      <c r="C47" s="96">
        <v>43</v>
      </c>
      <c r="D47" s="96">
        <v>35</v>
      </c>
      <c r="E47" s="97">
        <v>0.71</v>
      </c>
      <c r="F47" s="97">
        <v>0.51</v>
      </c>
      <c r="G47" s="97">
        <v>0.56999999999999995</v>
      </c>
      <c r="H47" s="96" t="s">
        <v>861</v>
      </c>
      <c r="I47" s="98">
        <v>1.4999999999999999E-2</v>
      </c>
      <c r="J47" s="96" t="s">
        <v>330</v>
      </c>
      <c r="K47" s="4" t="str">
        <f t="shared" si="0"/>
        <v>RNS</v>
      </c>
      <c r="L47" s="25">
        <v>12</v>
      </c>
      <c r="M47" s="25">
        <v>7</v>
      </c>
      <c r="N47" s="25">
        <v>29</v>
      </c>
      <c r="O47" s="25">
        <f t="shared" si="1"/>
        <v>5</v>
      </c>
      <c r="P47" s="25">
        <f t="shared" si="2"/>
        <v>17</v>
      </c>
      <c r="Q47" s="25">
        <v>14</v>
      </c>
      <c r="R47">
        <v>56.999999999999993</v>
      </c>
      <c r="S47">
        <v>39.353090000000002</v>
      </c>
      <c r="T47">
        <v>73.677279999999996</v>
      </c>
      <c r="U47">
        <f t="shared" si="3"/>
        <v>17.646909999999991</v>
      </c>
      <c r="V47">
        <f t="shared" si="4"/>
        <v>16.677280000000003</v>
      </c>
      <c r="W47">
        <v>80</v>
      </c>
      <c r="X47" s="91">
        <f>IF('CEA Summary'!$O$4=2, L47, IF('CEA Summary'!$O$4=1, R47))</f>
        <v>12</v>
      </c>
      <c r="Y47" s="91">
        <f>IF('CEA Summary'!$O$4=2, O47, IF('CEA Summary'!$O$4=1, U47))</f>
        <v>5</v>
      </c>
      <c r="Z47" s="91">
        <f>IF('CEA Summary'!$O$4=2, P47, IF('CEA Summary'!$O$4=1, V47))</f>
        <v>17</v>
      </c>
      <c r="AA47" s="91">
        <f>IF('CEA Summary'!$O$4=2, Q47, IF('CEA Summary'!$O$4=1, W47))</f>
        <v>14</v>
      </c>
    </row>
    <row r="48" spans="1:27" x14ac:dyDescent="0.25">
      <c r="A48" t="s">
        <v>144</v>
      </c>
      <c r="B48" t="s">
        <v>145</v>
      </c>
      <c r="C48" s="96">
        <v>46</v>
      </c>
      <c r="D48" s="96">
        <v>44</v>
      </c>
      <c r="E48" s="97">
        <v>0.79</v>
      </c>
      <c r="F48" s="97">
        <v>0.72</v>
      </c>
      <c r="G48" s="97">
        <v>0.8</v>
      </c>
      <c r="H48" s="96" t="s">
        <v>333</v>
      </c>
      <c r="I48" s="98">
        <v>2.5000000000000001E-2</v>
      </c>
      <c r="J48" s="96" t="s">
        <v>322</v>
      </c>
      <c r="K48" s="4" t="str">
        <f t="shared" si="0"/>
        <v>RX1</v>
      </c>
      <c r="L48" s="25">
        <v>8</v>
      </c>
      <c r="M48" s="25">
        <v>6</v>
      </c>
      <c r="N48" s="25">
        <v>11</v>
      </c>
      <c r="O48" s="25">
        <f t="shared" si="1"/>
        <v>2</v>
      </c>
      <c r="P48" s="25">
        <f t="shared" si="2"/>
        <v>3</v>
      </c>
      <c r="Q48" s="25">
        <v>14</v>
      </c>
      <c r="R48">
        <v>80</v>
      </c>
      <c r="S48">
        <v>64.695499999999996</v>
      </c>
      <c r="T48">
        <v>90.195679999999996</v>
      </c>
      <c r="U48">
        <f t="shared" si="3"/>
        <v>15.304500000000004</v>
      </c>
      <c r="V48">
        <f t="shared" si="4"/>
        <v>10.195679999999996</v>
      </c>
      <c r="W48">
        <v>80</v>
      </c>
      <c r="X48" s="91">
        <f>IF('CEA Summary'!$O$4=2, L48, IF('CEA Summary'!$O$4=1, R48))</f>
        <v>8</v>
      </c>
      <c r="Y48" s="91">
        <f>IF('CEA Summary'!$O$4=2, O48, IF('CEA Summary'!$O$4=1, U48))</f>
        <v>2</v>
      </c>
      <c r="Z48" s="91">
        <f>IF('CEA Summary'!$O$4=2, P48, IF('CEA Summary'!$O$4=1, V48))</f>
        <v>3</v>
      </c>
      <c r="AA48" s="91">
        <f>IF('CEA Summary'!$O$4=2, Q48, IF('CEA Summary'!$O$4=1, W48))</f>
        <v>14</v>
      </c>
    </row>
    <row r="49" spans="1:27" x14ac:dyDescent="0.25">
      <c r="A49" t="s">
        <v>118</v>
      </c>
      <c r="B49" t="s">
        <v>622</v>
      </c>
      <c r="C49" s="96">
        <v>120</v>
      </c>
      <c r="D49" s="96">
        <v>102</v>
      </c>
      <c r="E49" s="97">
        <v>0.76</v>
      </c>
      <c r="F49" s="97">
        <v>0.51</v>
      </c>
      <c r="G49" s="97">
        <v>0.73</v>
      </c>
      <c r="H49" s="96" t="s">
        <v>862</v>
      </c>
      <c r="I49" s="98">
        <v>2.3E-2</v>
      </c>
      <c r="J49" s="96" t="s">
        <v>322</v>
      </c>
      <c r="K49" s="4" t="str">
        <f t="shared" si="0"/>
        <v>RTH</v>
      </c>
      <c r="L49" s="25">
        <v>11</v>
      </c>
      <c r="M49" s="25">
        <v>8</v>
      </c>
      <c r="N49" s="25">
        <v>17</v>
      </c>
      <c r="O49" s="25">
        <f t="shared" si="1"/>
        <v>3</v>
      </c>
      <c r="P49" s="25">
        <f t="shared" si="2"/>
        <v>6</v>
      </c>
      <c r="Q49" s="25">
        <v>14</v>
      </c>
      <c r="R49">
        <v>73</v>
      </c>
      <c r="S49">
        <v>62.82394</v>
      </c>
      <c r="T49">
        <v>80.921440000000004</v>
      </c>
      <c r="U49">
        <f t="shared" si="3"/>
        <v>10.17606</v>
      </c>
      <c r="V49">
        <f t="shared" si="4"/>
        <v>7.921440000000004</v>
      </c>
      <c r="W49">
        <v>80</v>
      </c>
      <c r="X49" s="91">
        <f>IF('CEA Summary'!$O$4=2, L49, IF('CEA Summary'!$O$4=1, R49))</f>
        <v>11</v>
      </c>
      <c r="Y49" s="91">
        <f>IF('CEA Summary'!$O$4=2, O49, IF('CEA Summary'!$O$4=1, U49))</f>
        <v>3</v>
      </c>
      <c r="Z49" s="91">
        <f>IF('CEA Summary'!$O$4=2, P49, IF('CEA Summary'!$O$4=1, V49))</f>
        <v>6</v>
      </c>
      <c r="AA49" s="91">
        <f>IF('CEA Summary'!$O$4=2, Q49, IF('CEA Summary'!$O$4=1, W49))</f>
        <v>14</v>
      </c>
    </row>
    <row r="50" spans="1:27" x14ac:dyDescent="0.25">
      <c r="A50" t="s">
        <v>128</v>
      </c>
      <c r="B50" t="s">
        <v>129</v>
      </c>
      <c r="C50" s="96">
        <v>104</v>
      </c>
      <c r="D50" s="96">
        <v>84</v>
      </c>
      <c r="E50" s="97">
        <v>0.63</v>
      </c>
      <c r="F50" s="97">
        <v>0.56999999999999995</v>
      </c>
      <c r="G50" s="97">
        <v>0.61</v>
      </c>
      <c r="H50" s="96" t="s">
        <v>863</v>
      </c>
      <c r="I50" s="98">
        <v>1.4999999999999999E-2</v>
      </c>
      <c r="J50" s="96" t="s">
        <v>248</v>
      </c>
      <c r="K50" s="4" t="str">
        <f t="shared" si="0"/>
        <v>RW6</v>
      </c>
      <c r="L50" s="25">
        <v>10</v>
      </c>
      <c r="M50" s="25">
        <v>6</v>
      </c>
      <c r="N50" s="25">
        <v>34</v>
      </c>
      <c r="O50" s="25">
        <f t="shared" si="1"/>
        <v>4</v>
      </c>
      <c r="P50" s="25">
        <f t="shared" si="2"/>
        <v>24</v>
      </c>
      <c r="Q50" s="25">
        <v>14</v>
      </c>
      <c r="R50">
        <v>61</v>
      </c>
      <c r="S50">
        <v>49.451180000000001</v>
      </c>
      <c r="T50">
        <v>71.198980000000006</v>
      </c>
      <c r="U50">
        <f t="shared" si="3"/>
        <v>11.548819999999999</v>
      </c>
      <c r="V50">
        <f t="shared" si="4"/>
        <v>10.198980000000006</v>
      </c>
      <c r="W50">
        <v>80</v>
      </c>
      <c r="X50" s="91">
        <f>IF('CEA Summary'!$O$4=2, L50, IF('CEA Summary'!$O$4=1, R50))</f>
        <v>10</v>
      </c>
      <c r="Y50" s="91">
        <f>IF('CEA Summary'!$O$4=2, O50, IF('CEA Summary'!$O$4=1, U50))</f>
        <v>4</v>
      </c>
      <c r="Z50" s="91">
        <f>IF('CEA Summary'!$O$4=2, P50, IF('CEA Summary'!$O$4=1, V50))</f>
        <v>24</v>
      </c>
      <c r="AA50" s="91">
        <f>IF('CEA Summary'!$O$4=2, Q50, IF('CEA Summary'!$O$4=1, W50))</f>
        <v>14</v>
      </c>
    </row>
    <row r="51" spans="1:27" x14ac:dyDescent="0.25">
      <c r="A51" t="s">
        <v>42</v>
      </c>
      <c r="B51" t="s">
        <v>43</v>
      </c>
      <c r="C51" s="96">
        <v>39</v>
      </c>
      <c r="D51" s="96">
        <v>39</v>
      </c>
      <c r="E51" s="97">
        <v>0.84</v>
      </c>
      <c r="F51" s="97">
        <v>0.74</v>
      </c>
      <c r="G51" s="97">
        <v>0.74</v>
      </c>
      <c r="H51" s="96" t="s">
        <v>220</v>
      </c>
      <c r="I51" s="98">
        <v>8.0000000000000002E-3</v>
      </c>
      <c r="J51" s="96" t="s">
        <v>295</v>
      </c>
      <c r="K51" s="4" t="str">
        <f t="shared" si="0"/>
        <v>RDZ</v>
      </c>
      <c r="L51" s="25">
        <v>8</v>
      </c>
      <c r="M51" s="25">
        <v>5</v>
      </c>
      <c r="N51" s="25">
        <v>15</v>
      </c>
      <c r="O51" s="25">
        <f t="shared" si="1"/>
        <v>3</v>
      </c>
      <c r="P51" s="25">
        <f t="shared" si="2"/>
        <v>7</v>
      </c>
      <c r="Q51" s="25">
        <v>14</v>
      </c>
      <c r="R51">
        <v>74</v>
      </c>
      <c r="S51">
        <v>57.872610000000002</v>
      </c>
      <c r="T51">
        <v>86.962320000000005</v>
      </c>
      <c r="U51">
        <f t="shared" si="3"/>
        <v>16.127389999999998</v>
      </c>
      <c r="V51">
        <f t="shared" si="4"/>
        <v>12.962320000000005</v>
      </c>
      <c r="W51">
        <v>80</v>
      </c>
      <c r="X51" s="91">
        <f>IF('CEA Summary'!$O$4=2, L51, IF('CEA Summary'!$O$4=1, R51))</f>
        <v>8</v>
      </c>
      <c r="Y51" s="91">
        <f>IF('CEA Summary'!$O$4=2, O51, IF('CEA Summary'!$O$4=1, U51))</f>
        <v>3</v>
      </c>
      <c r="Z51" s="91">
        <f>IF('CEA Summary'!$O$4=2, P51, IF('CEA Summary'!$O$4=1, V51))</f>
        <v>7</v>
      </c>
      <c r="AA51" s="91">
        <f>IF('CEA Summary'!$O$4=2, Q51, IF('CEA Summary'!$O$4=1, W51))</f>
        <v>14</v>
      </c>
    </row>
    <row r="52" spans="1:27" x14ac:dyDescent="0.25">
      <c r="A52" t="s">
        <v>111</v>
      </c>
      <c r="B52" t="s">
        <v>112</v>
      </c>
      <c r="C52" s="96" t="s">
        <v>398</v>
      </c>
      <c r="D52" s="96">
        <v>0</v>
      </c>
      <c r="E52" s="96" t="s">
        <v>399</v>
      </c>
      <c r="F52" s="96" t="s">
        <v>399</v>
      </c>
      <c r="G52" s="96" t="s">
        <v>399</v>
      </c>
      <c r="H52" s="96" t="s">
        <v>399</v>
      </c>
      <c r="I52" s="98">
        <v>0</v>
      </c>
      <c r="J52" s="96" t="s">
        <v>383</v>
      </c>
      <c r="K52" s="4" t="str">
        <f t="shared" si="0"/>
        <v>RT3</v>
      </c>
      <c r="L52" s="25" t="e">
        <v>#N/A</v>
      </c>
      <c r="M52" s="25" t="e">
        <v>#N/A</v>
      </c>
      <c r="N52" s="25" t="e">
        <v>#N/A</v>
      </c>
      <c r="O52" s="25" t="e">
        <f t="shared" si="1"/>
        <v>#N/A</v>
      </c>
      <c r="P52" s="25" t="e">
        <f t="shared" si="2"/>
        <v>#N/A</v>
      </c>
      <c r="Q52" s="25">
        <v>14</v>
      </c>
      <c r="R52" t="e">
        <v>#VALUE!</v>
      </c>
      <c r="S52" t="e">
        <v>#N/A</v>
      </c>
      <c r="T52" t="e">
        <v>#N/A</v>
      </c>
      <c r="U52" t="e">
        <f t="shared" si="3"/>
        <v>#VALUE!</v>
      </c>
      <c r="V52" t="e">
        <f t="shared" si="4"/>
        <v>#N/A</v>
      </c>
      <c r="W52">
        <v>80</v>
      </c>
      <c r="X52" s="91" t="e">
        <f>IF('CEA Summary'!$O$4=2, L52, IF('CEA Summary'!$O$4=1, R52))</f>
        <v>#N/A</v>
      </c>
      <c r="Y52" s="91" t="e">
        <f>IF('CEA Summary'!$O$4=2, O52, IF('CEA Summary'!$O$4=1, U52))</f>
        <v>#N/A</v>
      </c>
      <c r="Z52" s="91" t="e">
        <f>IF('CEA Summary'!$O$4=2, P52, IF('CEA Summary'!$O$4=1, V52))</f>
        <v>#N/A</v>
      </c>
      <c r="AA52" s="91">
        <f>IF('CEA Summary'!$O$4=2, Q52, IF('CEA Summary'!$O$4=1, W52))</f>
        <v>14</v>
      </c>
    </row>
    <row r="53" spans="1:27" x14ac:dyDescent="0.25">
      <c r="A53" t="s">
        <v>44</v>
      </c>
      <c r="B53" t="s">
        <v>45</v>
      </c>
      <c r="C53" s="96">
        <v>47</v>
      </c>
      <c r="D53" s="96">
        <v>41</v>
      </c>
      <c r="E53" s="97">
        <v>0.68</v>
      </c>
      <c r="F53" s="97">
        <v>0.5</v>
      </c>
      <c r="G53" s="97">
        <v>0.63</v>
      </c>
      <c r="H53" s="96" t="s">
        <v>864</v>
      </c>
      <c r="I53" s="98">
        <v>2.1000000000000001E-2</v>
      </c>
      <c r="J53" s="96" t="s">
        <v>309</v>
      </c>
      <c r="K53" s="4" t="str">
        <f t="shared" si="0"/>
        <v>REF</v>
      </c>
      <c r="L53" s="25">
        <v>9</v>
      </c>
      <c r="M53" s="25">
        <v>7</v>
      </c>
      <c r="N53" s="25">
        <v>27</v>
      </c>
      <c r="O53" s="25">
        <f t="shared" si="1"/>
        <v>2</v>
      </c>
      <c r="P53" s="25">
        <f t="shared" si="2"/>
        <v>18</v>
      </c>
      <c r="Q53" s="25">
        <v>14</v>
      </c>
      <c r="R53">
        <v>63</v>
      </c>
      <c r="S53">
        <v>46.936260000000004</v>
      </c>
      <c r="T53">
        <v>77.877209999999991</v>
      </c>
      <c r="U53">
        <f t="shared" si="3"/>
        <v>16.063739999999996</v>
      </c>
      <c r="V53">
        <f t="shared" si="4"/>
        <v>14.877209999999991</v>
      </c>
      <c r="W53">
        <v>80</v>
      </c>
      <c r="X53" s="91">
        <f>IF('CEA Summary'!$O$4=2, L53, IF('CEA Summary'!$O$4=1, R53))</f>
        <v>9</v>
      </c>
      <c r="Y53" s="91">
        <f>IF('CEA Summary'!$O$4=2, O53, IF('CEA Summary'!$O$4=1, U53))</f>
        <v>2</v>
      </c>
      <c r="Z53" s="91">
        <f>IF('CEA Summary'!$O$4=2, P53, IF('CEA Summary'!$O$4=1, V53))</f>
        <v>18</v>
      </c>
      <c r="AA53" s="91">
        <f>IF('CEA Summary'!$O$4=2, Q53, IF('CEA Summary'!$O$4=1, W53))</f>
        <v>14</v>
      </c>
    </row>
    <row r="54" spans="1:27" x14ac:dyDescent="0.25">
      <c r="A54" t="s">
        <v>56</v>
      </c>
      <c r="B54" t="s">
        <v>57</v>
      </c>
      <c r="C54" s="96">
        <v>44</v>
      </c>
      <c r="D54" s="96">
        <v>44</v>
      </c>
      <c r="E54" s="97">
        <v>0.75</v>
      </c>
      <c r="F54" s="97">
        <v>0.64</v>
      </c>
      <c r="G54" s="97">
        <v>0.61</v>
      </c>
      <c r="H54" s="96" t="s">
        <v>316</v>
      </c>
      <c r="I54" s="98">
        <v>1.2E-2</v>
      </c>
      <c r="J54" s="96" t="s">
        <v>237</v>
      </c>
      <c r="K54" s="4" t="str">
        <f t="shared" si="0"/>
        <v>RH8</v>
      </c>
      <c r="L54" s="25">
        <v>11</v>
      </c>
      <c r="M54" s="25">
        <v>7</v>
      </c>
      <c r="N54" s="25">
        <v>21</v>
      </c>
      <c r="O54" s="25">
        <f t="shared" si="1"/>
        <v>4</v>
      </c>
      <c r="P54" s="25">
        <f t="shared" si="2"/>
        <v>10</v>
      </c>
      <c r="Q54" s="25">
        <v>14</v>
      </c>
      <c r="R54">
        <v>61</v>
      </c>
      <c r="S54">
        <v>45.495530000000002</v>
      </c>
      <c r="T54">
        <v>75.642840000000007</v>
      </c>
      <c r="U54">
        <f t="shared" si="3"/>
        <v>15.504469999999998</v>
      </c>
      <c r="V54">
        <f t="shared" si="4"/>
        <v>14.642840000000007</v>
      </c>
      <c r="W54">
        <v>80</v>
      </c>
      <c r="X54" s="91">
        <f>IF('CEA Summary'!$O$4=2, L54, IF('CEA Summary'!$O$4=1, R54))</f>
        <v>11</v>
      </c>
      <c r="Y54" s="91">
        <f>IF('CEA Summary'!$O$4=2, O54, IF('CEA Summary'!$O$4=1, U54))</f>
        <v>4</v>
      </c>
      <c r="Z54" s="91">
        <f>IF('CEA Summary'!$O$4=2, P54, IF('CEA Summary'!$O$4=1, V54))</f>
        <v>10</v>
      </c>
      <c r="AA54" s="91">
        <f>IF('CEA Summary'!$O$4=2, Q54, IF('CEA Summary'!$O$4=1, W54))</f>
        <v>14</v>
      </c>
    </row>
    <row r="55" spans="1:27" x14ac:dyDescent="0.25">
      <c r="A55" t="s">
        <v>23</v>
      </c>
      <c r="B55" t="s">
        <v>24</v>
      </c>
      <c r="C55" s="96">
        <v>30</v>
      </c>
      <c r="D55" s="96">
        <v>30</v>
      </c>
      <c r="E55" s="97">
        <v>0.52</v>
      </c>
      <c r="F55" s="97">
        <v>0.67</v>
      </c>
      <c r="G55" s="97">
        <v>0.56999999999999995</v>
      </c>
      <c r="H55" s="96" t="s">
        <v>889</v>
      </c>
      <c r="I55" s="98">
        <v>2.5999999999999999E-2</v>
      </c>
      <c r="J55" s="96" t="s">
        <v>320</v>
      </c>
      <c r="K55" s="4" t="str">
        <f t="shared" si="0"/>
        <v>RAL</v>
      </c>
      <c r="L55" s="25">
        <v>14</v>
      </c>
      <c r="M55" s="25">
        <v>10</v>
      </c>
      <c r="N55" s="25">
        <v>19</v>
      </c>
      <c r="O55" s="25">
        <f t="shared" si="1"/>
        <v>4</v>
      </c>
      <c r="P55" s="25">
        <f t="shared" si="2"/>
        <v>5</v>
      </c>
      <c r="Q55" s="25">
        <v>14</v>
      </c>
      <c r="R55">
        <v>56.999999999999993</v>
      </c>
      <c r="S55">
        <v>37.427340000000001</v>
      </c>
      <c r="T55">
        <v>74.539239999999992</v>
      </c>
      <c r="U55">
        <f t="shared" si="3"/>
        <v>19.572659999999992</v>
      </c>
      <c r="V55">
        <f t="shared" si="4"/>
        <v>17.539239999999999</v>
      </c>
      <c r="W55">
        <v>80</v>
      </c>
      <c r="X55" s="91">
        <f>IF('CEA Summary'!$O$4=2, L55, IF('CEA Summary'!$O$4=1, R55))</f>
        <v>14</v>
      </c>
      <c r="Y55" s="91">
        <f>IF('CEA Summary'!$O$4=2, O55, IF('CEA Summary'!$O$4=1, U55))</f>
        <v>4</v>
      </c>
      <c r="Z55" s="91">
        <f>IF('CEA Summary'!$O$4=2, P55, IF('CEA Summary'!$O$4=1, V55))</f>
        <v>5</v>
      </c>
      <c r="AA55" s="91">
        <f>IF('CEA Summary'!$O$4=2, Q55, IF('CEA Summary'!$O$4=1, W55))</f>
        <v>14</v>
      </c>
    </row>
    <row r="56" spans="1:27" x14ac:dyDescent="0.25">
      <c r="A56" t="s">
        <v>60</v>
      </c>
      <c r="B56" t="s">
        <v>61</v>
      </c>
      <c r="C56" s="96">
        <v>33</v>
      </c>
      <c r="D56" s="96">
        <v>30</v>
      </c>
      <c r="E56" s="97">
        <v>0.6</v>
      </c>
      <c r="F56" s="97">
        <v>0.12</v>
      </c>
      <c r="G56" s="97">
        <v>0.17</v>
      </c>
      <c r="H56" s="96" t="s">
        <v>890</v>
      </c>
      <c r="I56" s="98">
        <v>2.8000000000000001E-2</v>
      </c>
      <c r="J56" s="96" t="s">
        <v>330</v>
      </c>
      <c r="K56" s="4" t="str">
        <f t="shared" si="0"/>
        <v>RHQ</v>
      </c>
      <c r="L56" s="25">
        <v>30</v>
      </c>
      <c r="M56" s="25">
        <v>20</v>
      </c>
      <c r="N56" s="25">
        <v>47</v>
      </c>
      <c r="O56" s="25">
        <f t="shared" si="1"/>
        <v>10</v>
      </c>
      <c r="P56" s="25">
        <f t="shared" si="2"/>
        <v>17</v>
      </c>
      <c r="Q56" s="25">
        <v>14</v>
      </c>
      <c r="R56">
        <v>17</v>
      </c>
      <c r="S56">
        <v>5.6421700000000001</v>
      </c>
      <c r="T56">
        <v>34.721170000000001</v>
      </c>
      <c r="U56">
        <f t="shared" si="3"/>
        <v>11.35783</v>
      </c>
      <c r="V56">
        <f t="shared" si="4"/>
        <v>17.721170000000001</v>
      </c>
      <c r="W56">
        <v>80</v>
      </c>
      <c r="X56" s="91">
        <f>IF('CEA Summary'!$O$4=2, L56, IF('CEA Summary'!$O$4=1, R56))</f>
        <v>30</v>
      </c>
      <c r="Y56" s="91">
        <f>IF('CEA Summary'!$O$4=2, O56, IF('CEA Summary'!$O$4=1, U56))</f>
        <v>10</v>
      </c>
      <c r="Z56" s="91">
        <f>IF('CEA Summary'!$O$4=2, P56, IF('CEA Summary'!$O$4=1, V56))</f>
        <v>17</v>
      </c>
      <c r="AA56" s="91">
        <f>IF('CEA Summary'!$O$4=2, Q56, IF('CEA Summary'!$O$4=1, W56))</f>
        <v>14</v>
      </c>
    </row>
    <row r="57" spans="1:27" x14ac:dyDescent="0.25">
      <c r="A57" t="s">
        <v>156</v>
      </c>
      <c r="B57" t="s">
        <v>157</v>
      </c>
      <c r="C57" s="96">
        <v>33</v>
      </c>
      <c r="D57" s="96">
        <v>32</v>
      </c>
      <c r="E57" s="97">
        <v>0.81</v>
      </c>
      <c r="F57" s="97">
        <v>0.52</v>
      </c>
      <c r="G57" s="97">
        <v>0.69</v>
      </c>
      <c r="H57" s="96" t="s">
        <v>891</v>
      </c>
      <c r="I57" s="98">
        <v>2.1999999999999999E-2</v>
      </c>
      <c r="J57" s="96" t="s">
        <v>322</v>
      </c>
      <c r="K57" s="4" t="str">
        <f t="shared" si="0"/>
        <v>RXW</v>
      </c>
      <c r="L57" s="25">
        <v>13</v>
      </c>
      <c r="M57" s="25">
        <v>11</v>
      </c>
      <c r="N57" s="25">
        <v>17</v>
      </c>
      <c r="O57" s="25">
        <f t="shared" si="1"/>
        <v>2</v>
      </c>
      <c r="P57" s="25">
        <f t="shared" si="2"/>
        <v>4</v>
      </c>
      <c r="Q57" s="25">
        <v>14</v>
      </c>
      <c r="R57">
        <v>69</v>
      </c>
      <c r="S57">
        <v>49.992239999999995</v>
      </c>
      <c r="T57">
        <v>83.881529999999998</v>
      </c>
      <c r="U57">
        <f t="shared" si="3"/>
        <v>19.007760000000005</v>
      </c>
      <c r="V57">
        <f t="shared" si="4"/>
        <v>14.881529999999998</v>
      </c>
      <c r="W57">
        <v>80</v>
      </c>
      <c r="X57" s="91">
        <f>IF('CEA Summary'!$O$4=2, L57, IF('CEA Summary'!$O$4=1, R57))</f>
        <v>13</v>
      </c>
      <c r="Y57" s="91">
        <f>IF('CEA Summary'!$O$4=2, O57, IF('CEA Summary'!$O$4=1, U57))</f>
        <v>2</v>
      </c>
      <c r="Z57" s="91">
        <f>IF('CEA Summary'!$O$4=2, P57, IF('CEA Summary'!$O$4=1, V57))</f>
        <v>4</v>
      </c>
      <c r="AA57" s="91">
        <f>IF('CEA Summary'!$O$4=2, Q57, IF('CEA Summary'!$O$4=1, W57))</f>
        <v>14</v>
      </c>
    </row>
    <row r="58" spans="1:27" x14ac:dyDescent="0.25">
      <c r="A58" t="s">
        <v>122</v>
      </c>
      <c r="B58" t="s">
        <v>123</v>
      </c>
      <c r="C58" s="96">
        <v>61</v>
      </c>
      <c r="D58" s="96">
        <v>61</v>
      </c>
      <c r="E58" s="97">
        <v>0.83</v>
      </c>
      <c r="F58" s="97">
        <v>0.34</v>
      </c>
      <c r="G58" s="97">
        <v>0.51</v>
      </c>
      <c r="H58" s="96" t="s">
        <v>865</v>
      </c>
      <c r="I58" s="98">
        <v>1.2E-2</v>
      </c>
      <c r="J58" s="96" t="s">
        <v>295</v>
      </c>
      <c r="K58" s="4" t="str">
        <f t="shared" si="0"/>
        <v>RTR</v>
      </c>
      <c r="L58" s="25">
        <v>14</v>
      </c>
      <c r="M58" s="25">
        <v>11</v>
      </c>
      <c r="N58" s="25">
        <v>23</v>
      </c>
      <c r="O58" s="25">
        <f t="shared" si="1"/>
        <v>3</v>
      </c>
      <c r="P58" s="25">
        <f t="shared" si="2"/>
        <v>9</v>
      </c>
      <c r="Q58" s="25">
        <v>14</v>
      </c>
      <c r="R58">
        <v>51</v>
      </c>
      <c r="S58">
        <v>37.696800000000003</v>
      </c>
      <c r="T58">
        <v>63.860320000000002</v>
      </c>
      <c r="U58">
        <f t="shared" si="3"/>
        <v>13.303199999999997</v>
      </c>
      <c r="V58">
        <f t="shared" si="4"/>
        <v>12.860320000000002</v>
      </c>
      <c r="W58">
        <v>80</v>
      </c>
      <c r="X58" s="91">
        <f>IF('CEA Summary'!$O$4=2, L58, IF('CEA Summary'!$O$4=1, R58))</f>
        <v>14</v>
      </c>
      <c r="Y58" s="91">
        <f>IF('CEA Summary'!$O$4=2, O58, IF('CEA Summary'!$O$4=1, U58))</f>
        <v>3</v>
      </c>
      <c r="Z58" s="91">
        <f>IF('CEA Summary'!$O$4=2, P58, IF('CEA Summary'!$O$4=1, V58))</f>
        <v>9</v>
      </c>
      <c r="AA58" s="91">
        <f>IF('CEA Summary'!$O$4=2, Q58, IF('CEA Summary'!$O$4=1, W58))</f>
        <v>14</v>
      </c>
    </row>
    <row r="59" spans="1:27" x14ac:dyDescent="0.25">
      <c r="A59" t="s">
        <v>21</v>
      </c>
      <c r="B59" t="s">
        <v>22</v>
      </c>
      <c r="C59" s="96">
        <v>38</v>
      </c>
      <c r="D59" s="96">
        <v>34</v>
      </c>
      <c r="E59" s="97">
        <v>0.79</v>
      </c>
      <c r="F59" s="97">
        <v>0.66</v>
      </c>
      <c r="G59" s="97">
        <v>0.82</v>
      </c>
      <c r="H59" s="96" t="s">
        <v>866</v>
      </c>
      <c r="I59" s="98">
        <v>0.01</v>
      </c>
      <c r="J59" s="96" t="s">
        <v>877</v>
      </c>
      <c r="K59" s="4" t="str">
        <f t="shared" si="0"/>
        <v>RAJ</v>
      </c>
      <c r="L59" s="25">
        <v>9</v>
      </c>
      <c r="M59" s="25">
        <v>6</v>
      </c>
      <c r="N59" s="25">
        <v>12</v>
      </c>
      <c r="O59" s="25">
        <f t="shared" si="1"/>
        <v>3</v>
      </c>
      <c r="P59" s="25">
        <f t="shared" si="2"/>
        <v>3</v>
      </c>
      <c r="Q59" s="25">
        <v>14</v>
      </c>
      <c r="R59">
        <v>82</v>
      </c>
      <c r="S59">
        <v>65.46848</v>
      </c>
      <c r="T59">
        <v>93.235929999999996</v>
      </c>
      <c r="U59">
        <f t="shared" si="3"/>
        <v>16.53152</v>
      </c>
      <c r="V59">
        <f t="shared" si="4"/>
        <v>11.235929999999996</v>
      </c>
      <c r="W59">
        <v>80</v>
      </c>
      <c r="X59" s="91">
        <f>IF('CEA Summary'!$O$4=2, L59, IF('CEA Summary'!$O$4=1, R59))</f>
        <v>9</v>
      </c>
      <c r="Y59" s="91">
        <f>IF('CEA Summary'!$O$4=2, O59, IF('CEA Summary'!$O$4=1, U59))</f>
        <v>3</v>
      </c>
      <c r="Z59" s="91">
        <f>IF('CEA Summary'!$O$4=2, P59, IF('CEA Summary'!$O$4=1, V59))</f>
        <v>3</v>
      </c>
      <c r="AA59" s="91">
        <f>IF('CEA Summary'!$O$4=2, Q59, IF('CEA Summary'!$O$4=1, W59))</f>
        <v>14</v>
      </c>
    </row>
    <row r="60" spans="1:27" x14ac:dyDescent="0.25">
      <c r="A60" t="s">
        <v>68</v>
      </c>
      <c r="B60" t="s">
        <v>69</v>
      </c>
      <c r="C60" s="96">
        <v>47</v>
      </c>
      <c r="D60" s="96">
        <v>47</v>
      </c>
      <c r="E60" s="97">
        <v>0.74</v>
      </c>
      <c r="F60" s="97">
        <v>0.74</v>
      </c>
      <c r="G60" s="97">
        <v>0.91</v>
      </c>
      <c r="H60" s="96" t="s">
        <v>866</v>
      </c>
      <c r="I60" s="98">
        <v>1.2E-2</v>
      </c>
      <c r="J60" s="96" t="s">
        <v>233</v>
      </c>
      <c r="K60" s="4" t="str">
        <f t="shared" si="0"/>
        <v>RJ7</v>
      </c>
      <c r="L60" s="25">
        <v>9</v>
      </c>
      <c r="M60" s="25">
        <v>6</v>
      </c>
      <c r="N60" s="25">
        <v>12</v>
      </c>
      <c r="O60" s="25">
        <f t="shared" si="1"/>
        <v>3</v>
      </c>
      <c r="P60" s="25">
        <f t="shared" si="2"/>
        <v>3</v>
      </c>
      <c r="Q60" s="25">
        <v>14</v>
      </c>
      <c r="R60">
        <v>91</v>
      </c>
      <c r="S60">
        <v>79.620729999999995</v>
      </c>
      <c r="T60">
        <v>97.632289999999998</v>
      </c>
      <c r="U60">
        <f t="shared" si="3"/>
        <v>11.379270000000005</v>
      </c>
      <c r="V60">
        <f t="shared" si="4"/>
        <v>6.6322899999999976</v>
      </c>
      <c r="W60">
        <v>80</v>
      </c>
      <c r="X60" s="91">
        <f>IF('CEA Summary'!$O$4=2, L60, IF('CEA Summary'!$O$4=1, R60))</f>
        <v>9</v>
      </c>
      <c r="Y60" s="91">
        <f>IF('CEA Summary'!$O$4=2, O60, IF('CEA Summary'!$O$4=1, U60))</f>
        <v>3</v>
      </c>
      <c r="Z60" s="91">
        <f>IF('CEA Summary'!$O$4=2, P60, IF('CEA Summary'!$O$4=1, V60))</f>
        <v>3</v>
      </c>
      <c r="AA60" s="91">
        <f>IF('CEA Summary'!$O$4=2, Q60, IF('CEA Summary'!$O$4=1, W60))</f>
        <v>14</v>
      </c>
    </row>
    <row r="61" spans="1:27" x14ac:dyDescent="0.25">
      <c r="A61" t="s">
        <v>4</v>
      </c>
      <c r="B61" t="s">
        <v>213</v>
      </c>
      <c r="C61" s="96">
        <v>99</v>
      </c>
      <c r="D61" s="96">
        <v>95</v>
      </c>
      <c r="E61" s="97">
        <v>0.59</v>
      </c>
      <c r="F61" s="97">
        <v>0.6</v>
      </c>
      <c r="G61" s="97">
        <v>0.53</v>
      </c>
      <c r="H61" s="96" t="s">
        <v>867</v>
      </c>
      <c r="I61" s="98">
        <v>2.5999999999999999E-2</v>
      </c>
      <c r="J61" s="96" t="s">
        <v>248</v>
      </c>
      <c r="K61" s="4" t="str">
        <f t="shared" si="0"/>
        <v>7A3</v>
      </c>
      <c r="L61" s="25">
        <v>14</v>
      </c>
      <c r="M61" s="25">
        <v>8</v>
      </c>
      <c r="N61" s="25">
        <v>26</v>
      </c>
      <c r="O61" s="25">
        <f t="shared" si="1"/>
        <v>6</v>
      </c>
      <c r="P61" s="25">
        <f t="shared" si="2"/>
        <v>12</v>
      </c>
      <c r="Q61" s="25">
        <v>14</v>
      </c>
      <c r="R61">
        <v>53</v>
      </c>
      <c r="S61">
        <v>42.122999999999998</v>
      </c>
      <c r="T61">
        <v>62.971650000000004</v>
      </c>
      <c r="U61">
        <f t="shared" si="3"/>
        <v>10.877000000000002</v>
      </c>
      <c r="V61">
        <f t="shared" si="4"/>
        <v>9.9716500000000039</v>
      </c>
      <c r="W61">
        <v>80</v>
      </c>
      <c r="X61" s="91">
        <f>IF('CEA Summary'!$O$4=2, L61, IF('CEA Summary'!$O$4=1, R61))</f>
        <v>14</v>
      </c>
      <c r="Y61" s="91">
        <f>IF('CEA Summary'!$O$4=2, O61, IF('CEA Summary'!$O$4=1, U61))</f>
        <v>6</v>
      </c>
      <c r="Z61" s="91">
        <f>IF('CEA Summary'!$O$4=2, P61, IF('CEA Summary'!$O$4=1, V61))</f>
        <v>12</v>
      </c>
      <c r="AA61" s="91">
        <f>IF('CEA Summary'!$O$4=2, Q61, IF('CEA Summary'!$O$4=1, W61))</f>
        <v>14</v>
      </c>
    </row>
    <row r="62" spans="1:27" x14ac:dyDescent="0.25">
      <c r="A62" t="s">
        <v>25</v>
      </c>
      <c r="B62" t="s">
        <v>26</v>
      </c>
      <c r="C62" s="96">
        <v>84</v>
      </c>
      <c r="D62" s="96">
        <v>81</v>
      </c>
      <c r="E62" s="97">
        <v>0.65</v>
      </c>
      <c r="F62" s="97">
        <v>0.5</v>
      </c>
      <c r="G62" s="97">
        <v>0.62</v>
      </c>
      <c r="H62" s="96" t="s">
        <v>868</v>
      </c>
      <c r="I62" s="98">
        <v>1.2999999999999999E-2</v>
      </c>
      <c r="J62" s="96" t="s">
        <v>320</v>
      </c>
      <c r="K62" s="4" t="str">
        <f t="shared" si="0"/>
        <v>RBA</v>
      </c>
      <c r="L62" s="25">
        <v>13</v>
      </c>
      <c r="M62" s="25">
        <v>10</v>
      </c>
      <c r="N62" s="25">
        <v>21</v>
      </c>
      <c r="O62" s="25">
        <f t="shared" si="1"/>
        <v>3</v>
      </c>
      <c r="P62" s="25">
        <f t="shared" si="2"/>
        <v>8</v>
      </c>
      <c r="Q62" s="25">
        <v>14</v>
      </c>
      <c r="R62">
        <v>62</v>
      </c>
      <c r="S62">
        <v>50.2575</v>
      </c>
      <c r="T62">
        <v>72.314889999999991</v>
      </c>
      <c r="U62">
        <f t="shared" si="3"/>
        <v>11.7425</v>
      </c>
      <c r="V62">
        <f t="shared" si="4"/>
        <v>10.314889999999991</v>
      </c>
      <c r="W62">
        <v>80</v>
      </c>
      <c r="X62" s="91">
        <f>IF('CEA Summary'!$O$4=2, L62, IF('CEA Summary'!$O$4=1, R62))</f>
        <v>13</v>
      </c>
      <c r="Y62" s="91">
        <f>IF('CEA Summary'!$O$4=2, O62, IF('CEA Summary'!$O$4=1, U62))</f>
        <v>3</v>
      </c>
      <c r="Z62" s="91">
        <f>IF('CEA Summary'!$O$4=2, P62, IF('CEA Summary'!$O$4=1, V62))</f>
        <v>8</v>
      </c>
      <c r="AA62" s="91">
        <f>IF('CEA Summary'!$O$4=2, Q62, IF('CEA Summary'!$O$4=1, W62))</f>
        <v>14</v>
      </c>
    </row>
    <row r="63" spans="1:27" x14ac:dyDescent="0.25">
      <c r="A63" t="s">
        <v>87</v>
      </c>
      <c r="B63" t="s">
        <v>88</v>
      </c>
      <c r="C63" s="96">
        <v>62</v>
      </c>
      <c r="D63" s="96">
        <v>60</v>
      </c>
      <c r="E63" s="97">
        <v>0.71</v>
      </c>
      <c r="F63" s="97">
        <v>0.71</v>
      </c>
      <c r="G63" s="97">
        <v>0.7</v>
      </c>
      <c r="H63" s="96" t="s">
        <v>892</v>
      </c>
      <c r="I63" s="98">
        <v>1.9E-2</v>
      </c>
      <c r="J63" s="96" t="s">
        <v>327</v>
      </c>
      <c r="K63" s="4" t="str">
        <f t="shared" si="0"/>
        <v>RNA</v>
      </c>
      <c r="L63" s="25">
        <v>11</v>
      </c>
      <c r="M63" s="25">
        <v>6</v>
      </c>
      <c r="N63" s="25">
        <v>16</v>
      </c>
      <c r="O63" s="25">
        <f t="shared" si="1"/>
        <v>5</v>
      </c>
      <c r="P63" s="25">
        <f t="shared" si="2"/>
        <v>5</v>
      </c>
      <c r="Q63" s="25">
        <v>14</v>
      </c>
      <c r="R63">
        <v>70</v>
      </c>
      <c r="S63">
        <v>56.791689999999996</v>
      </c>
      <c r="T63">
        <v>81.154849999999996</v>
      </c>
      <c r="U63">
        <f t="shared" si="3"/>
        <v>13.208310000000004</v>
      </c>
      <c r="V63">
        <f t="shared" si="4"/>
        <v>11.154849999999996</v>
      </c>
      <c r="W63">
        <v>80</v>
      </c>
      <c r="X63" s="91">
        <f>IF('CEA Summary'!$O$4=2, L63, IF('CEA Summary'!$O$4=1, R63))</f>
        <v>11</v>
      </c>
      <c r="Y63" s="91">
        <f>IF('CEA Summary'!$O$4=2, O63, IF('CEA Summary'!$O$4=1, U63))</f>
        <v>5</v>
      </c>
      <c r="Z63" s="91">
        <f>IF('CEA Summary'!$O$4=2, P63, IF('CEA Summary'!$O$4=1, V63))</f>
        <v>5</v>
      </c>
      <c r="AA63" s="91">
        <f>IF('CEA Summary'!$O$4=2, Q63, IF('CEA Summary'!$O$4=1, W63))</f>
        <v>14</v>
      </c>
    </row>
    <row r="64" spans="1:27" x14ac:dyDescent="0.25">
      <c r="A64" t="s">
        <v>17</v>
      </c>
      <c r="B64" t="s">
        <v>18</v>
      </c>
      <c r="C64" s="96">
        <v>12</v>
      </c>
      <c r="D64" s="96">
        <v>12</v>
      </c>
      <c r="E64" s="97">
        <v>0.75</v>
      </c>
      <c r="F64" s="97">
        <v>0.25</v>
      </c>
      <c r="G64" s="97">
        <v>0.5</v>
      </c>
      <c r="H64" s="96" t="s">
        <v>889</v>
      </c>
      <c r="I64" s="98">
        <v>0</v>
      </c>
      <c r="J64" s="96" t="s">
        <v>302</v>
      </c>
      <c r="K64" s="4" t="str">
        <f t="shared" si="0"/>
        <v>RA9</v>
      </c>
      <c r="L64" s="25">
        <v>14</v>
      </c>
      <c r="M64" s="25">
        <v>10</v>
      </c>
      <c r="N64" s="25">
        <v>19</v>
      </c>
      <c r="O64" s="25">
        <f t="shared" si="1"/>
        <v>4</v>
      </c>
      <c r="P64" s="25">
        <f t="shared" si="2"/>
        <v>5</v>
      </c>
      <c r="Q64" s="25">
        <v>14</v>
      </c>
      <c r="R64">
        <v>50</v>
      </c>
      <c r="S64">
        <v>21.094460000000002</v>
      </c>
      <c r="T64">
        <v>78.905529999999999</v>
      </c>
      <c r="U64">
        <f t="shared" si="3"/>
        <v>28.905539999999998</v>
      </c>
      <c r="V64">
        <f t="shared" si="4"/>
        <v>28.905529999999999</v>
      </c>
      <c r="W64">
        <v>80</v>
      </c>
      <c r="X64" s="91">
        <f>IF('CEA Summary'!$O$4=2, L64, IF('CEA Summary'!$O$4=1, R64))</f>
        <v>14</v>
      </c>
      <c r="Y64" s="91">
        <f>IF('CEA Summary'!$O$4=2, O64, IF('CEA Summary'!$O$4=1, U64))</f>
        <v>4</v>
      </c>
      <c r="Z64" s="91">
        <f>IF('CEA Summary'!$O$4=2, P64, IF('CEA Summary'!$O$4=1, V64))</f>
        <v>5</v>
      </c>
      <c r="AA64" s="91">
        <f>IF('CEA Summary'!$O$4=2, Q64, IF('CEA Summary'!$O$4=1, W64))</f>
        <v>14</v>
      </c>
    </row>
    <row r="65" spans="1:27" x14ac:dyDescent="0.25">
      <c r="A65" t="s">
        <v>132</v>
      </c>
      <c r="B65" t="s">
        <v>133</v>
      </c>
      <c r="C65" s="96">
        <v>52</v>
      </c>
      <c r="D65" s="96">
        <v>51</v>
      </c>
      <c r="E65" s="97">
        <v>0.53</v>
      </c>
      <c r="F65" s="97">
        <v>0.69</v>
      </c>
      <c r="G65" s="97">
        <v>0.59</v>
      </c>
      <c r="H65" s="96" t="s">
        <v>869</v>
      </c>
      <c r="I65" s="98">
        <v>7.0000000000000001E-3</v>
      </c>
      <c r="J65" s="96" t="s">
        <v>243</v>
      </c>
      <c r="K65" s="4" t="str">
        <f t="shared" si="0"/>
        <v>RWD</v>
      </c>
      <c r="L65" s="25">
        <v>12</v>
      </c>
      <c r="M65" s="25">
        <v>8</v>
      </c>
      <c r="N65" s="25">
        <v>21</v>
      </c>
      <c r="O65" s="25">
        <f t="shared" si="1"/>
        <v>4</v>
      </c>
      <c r="P65" s="25">
        <f t="shared" si="2"/>
        <v>9</v>
      </c>
      <c r="Q65" s="25">
        <v>14</v>
      </c>
      <c r="R65">
        <v>59</v>
      </c>
      <c r="S65">
        <v>44.169280000000001</v>
      </c>
      <c r="T65">
        <v>72.415700000000001</v>
      </c>
      <c r="U65">
        <f t="shared" si="3"/>
        <v>14.830719999999999</v>
      </c>
      <c r="V65">
        <f t="shared" si="4"/>
        <v>13.415700000000001</v>
      </c>
      <c r="W65">
        <v>80</v>
      </c>
      <c r="X65" s="91">
        <f>IF('CEA Summary'!$O$4=2, L65, IF('CEA Summary'!$O$4=1, R65))</f>
        <v>12</v>
      </c>
      <c r="Y65" s="91">
        <f>IF('CEA Summary'!$O$4=2, O65, IF('CEA Summary'!$O$4=1, U65))</f>
        <v>4</v>
      </c>
      <c r="Z65" s="91">
        <f>IF('CEA Summary'!$O$4=2, P65, IF('CEA Summary'!$O$4=1, V65))</f>
        <v>9</v>
      </c>
      <c r="AA65" s="91">
        <f>IF('CEA Summary'!$O$4=2, Q65, IF('CEA Summary'!$O$4=1, W65))</f>
        <v>14</v>
      </c>
    </row>
    <row r="66" spans="1:27" x14ac:dyDescent="0.25">
      <c r="A66" t="s">
        <v>109</v>
      </c>
      <c r="B66" t="s">
        <v>110</v>
      </c>
      <c r="C66" s="96">
        <v>64</v>
      </c>
      <c r="D66" s="96">
        <v>57</v>
      </c>
      <c r="E66" s="97">
        <v>0.84</v>
      </c>
      <c r="F66" s="97">
        <v>0.38</v>
      </c>
      <c r="G66" s="97">
        <v>0.63</v>
      </c>
      <c r="H66" s="96" t="s">
        <v>870</v>
      </c>
      <c r="I66" s="98">
        <v>0.04</v>
      </c>
      <c r="J66" s="96" t="s">
        <v>242</v>
      </c>
      <c r="K66" s="4" t="str">
        <f t="shared" si="0"/>
        <v>RRV</v>
      </c>
      <c r="L66" s="25">
        <v>12</v>
      </c>
      <c r="M66" s="25">
        <v>9</v>
      </c>
      <c r="N66" s="25">
        <v>17</v>
      </c>
      <c r="O66" s="25">
        <f t="shared" si="1"/>
        <v>3</v>
      </c>
      <c r="P66" s="25">
        <f t="shared" si="2"/>
        <v>5</v>
      </c>
      <c r="Q66" s="25">
        <v>14</v>
      </c>
      <c r="R66">
        <v>63</v>
      </c>
      <c r="S66">
        <v>49.344700000000003</v>
      </c>
      <c r="T66">
        <v>75.553600000000003</v>
      </c>
      <c r="U66">
        <f t="shared" si="3"/>
        <v>13.655299999999997</v>
      </c>
      <c r="V66">
        <f t="shared" si="4"/>
        <v>12.553600000000003</v>
      </c>
      <c r="W66">
        <v>80</v>
      </c>
      <c r="X66" s="91">
        <f>IF('CEA Summary'!$O$4=2, L66, IF('CEA Summary'!$O$4=1, R66))</f>
        <v>12</v>
      </c>
      <c r="Y66" s="91">
        <f>IF('CEA Summary'!$O$4=2, O66, IF('CEA Summary'!$O$4=1, U66))</f>
        <v>3</v>
      </c>
      <c r="Z66" s="91">
        <f>IF('CEA Summary'!$O$4=2, P66, IF('CEA Summary'!$O$4=1, V66))</f>
        <v>5</v>
      </c>
      <c r="AA66" s="91">
        <f>IF('CEA Summary'!$O$4=2, Q66, IF('CEA Summary'!$O$4=1, W66))</f>
        <v>14</v>
      </c>
    </row>
    <row r="67" spans="1:27" x14ac:dyDescent="0.25">
      <c r="A67" t="s">
        <v>70</v>
      </c>
      <c r="B67" t="s">
        <v>71</v>
      </c>
      <c r="C67" s="96">
        <v>55</v>
      </c>
      <c r="D67" s="96">
        <v>55</v>
      </c>
      <c r="E67" s="97">
        <v>0.76</v>
      </c>
      <c r="F67" s="97">
        <v>0.5</v>
      </c>
      <c r="G67" s="97">
        <v>0.56000000000000005</v>
      </c>
      <c r="H67" s="96" t="s">
        <v>871</v>
      </c>
      <c r="I67" s="98">
        <v>2.5000000000000001E-2</v>
      </c>
      <c r="J67" s="96" t="s">
        <v>320</v>
      </c>
      <c r="K67" s="4" t="str">
        <f t="shared" ref="K67:K76" si="5">A67</f>
        <v>RJE</v>
      </c>
      <c r="L67" s="25">
        <v>12</v>
      </c>
      <c r="M67" s="25">
        <v>8</v>
      </c>
      <c r="N67" s="25">
        <v>32</v>
      </c>
      <c r="O67" s="25">
        <f t="shared" ref="O67:O76" si="6">L67-M67</f>
        <v>4</v>
      </c>
      <c r="P67" s="25">
        <f t="shared" ref="P67:P76" si="7">N67-L67</f>
        <v>20</v>
      </c>
      <c r="Q67" s="25">
        <v>14</v>
      </c>
      <c r="R67">
        <v>56.000000000000007</v>
      </c>
      <c r="S67">
        <v>42.321660000000001</v>
      </c>
      <c r="T67">
        <v>69.696309999999997</v>
      </c>
      <c r="U67">
        <f t="shared" ref="U67:U76" si="8">R67-S67</f>
        <v>13.678340000000006</v>
      </c>
      <c r="V67">
        <f t="shared" ref="V67:V76" si="9">T67-R67</f>
        <v>13.69630999999999</v>
      </c>
      <c r="W67">
        <v>80</v>
      </c>
      <c r="X67" s="91">
        <f>IF('CEA Summary'!$O$4=2, L67, IF('CEA Summary'!$O$4=1, R67))</f>
        <v>12</v>
      </c>
      <c r="Y67" s="91">
        <f>IF('CEA Summary'!$O$4=2, O67, IF('CEA Summary'!$O$4=1, U67))</f>
        <v>4</v>
      </c>
      <c r="Z67" s="91">
        <f>IF('CEA Summary'!$O$4=2, P67, IF('CEA Summary'!$O$4=1, V67))</f>
        <v>20</v>
      </c>
      <c r="AA67" s="91">
        <f>IF('CEA Summary'!$O$4=2, Q67, IF('CEA Summary'!$O$4=1, W67))</f>
        <v>14</v>
      </c>
    </row>
    <row r="68" spans="1:27" x14ac:dyDescent="0.25">
      <c r="A68" t="s">
        <v>58</v>
      </c>
      <c r="B68" t="s">
        <v>59</v>
      </c>
      <c r="C68" s="96">
        <v>92</v>
      </c>
      <c r="D68" s="96">
        <v>89</v>
      </c>
      <c r="E68" s="97">
        <v>0.69</v>
      </c>
      <c r="F68" s="97">
        <v>0.42</v>
      </c>
      <c r="G68" s="97">
        <v>0.56999999999999995</v>
      </c>
      <c r="H68" s="96" t="s">
        <v>494</v>
      </c>
      <c r="I68" s="98">
        <v>1.2999999999999999E-2</v>
      </c>
      <c r="J68" s="96" t="s">
        <v>322</v>
      </c>
      <c r="K68" s="4" t="str">
        <f t="shared" si="5"/>
        <v>RHM</v>
      </c>
      <c r="L68" s="25">
        <v>13</v>
      </c>
      <c r="M68" s="25">
        <v>10</v>
      </c>
      <c r="N68" s="25">
        <v>20</v>
      </c>
      <c r="O68" s="25">
        <f t="shared" si="6"/>
        <v>3</v>
      </c>
      <c r="P68" s="25">
        <f t="shared" si="7"/>
        <v>7</v>
      </c>
      <c r="Q68" s="25">
        <v>14</v>
      </c>
      <c r="R68">
        <v>56.999999999999993</v>
      </c>
      <c r="S68">
        <v>46.370100000000001</v>
      </c>
      <c r="T68">
        <v>67.736670000000004</v>
      </c>
      <c r="U68">
        <f t="shared" si="8"/>
        <v>10.629899999999992</v>
      </c>
      <c r="V68">
        <f t="shared" si="9"/>
        <v>10.736670000000011</v>
      </c>
      <c r="W68">
        <v>80</v>
      </c>
      <c r="X68" s="91">
        <f>IF('CEA Summary'!$O$4=2, L68, IF('CEA Summary'!$O$4=1, R68))</f>
        <v>13</v>
      </c>
      <c r="Y68" s="91">
        <f>IF('CEA Summary'!$O$4=2, O68, IF('CEA Summary'!$O$4=1, U68))</f>
        <v>3</v>
      </c>
      <c r="Z68" s="91">
        <f>IF('CEA Summary'!$O$4=2, P68, IF('CEA Summary'!$O$4=1, V68))</f>
        <v>7</v>
      </c>
      <c r="AA68" s="91">
        <f>IF('CEA Summary'!$O$4=2, Q68, IF('CEA Summary'!$O$4=1, W68))</f>
        <v>14</v>
      </c>
    </row>
    <row r="69" spans="1:27" x14ac:dyDescent="0.25">
      <c r="A69" t="s">
        <v>107</v>
      </c>
      <c r="B69" t="s">
        <v>108</v>
      </c>
      <c r="C69" s="96">
        <v>80</v>
      </c>
      <c r="D69" s="96">
        <v>71</v>
      </c>
      <c r="E69" s="97">
        <v>0.75</v>
      </c>
      <c r="F69" s="97">
        <v>0.33</v>
      </c>
      <c r="G69" s="97">
        <v>0.49</v>
      </c>
      <c r="H69" s="96" t="s">
        <v>872</v>
      </c>
      <c r="I69" s="98">
        <v>4.0000000000000001E-3</v>
      </c>
      <c r="J69" s="96" t="s">
        <v>309</v>
      </c>
      <c r="K69" s="4" t="str">
        <f t="shared" si="5"/>
        <v>RRK</v>
      </c>
      <c r="L69" s="25">
        <v>15</v>
      </c>
      <c r="M69" s="25">
        <v>10</v>
      </c>
      <c r="N69" s="25">
        <v>30</v>
      </c>
      <c r="O69" s="25">
        <f t="shared" si="6"/>
        <v>5</v>
      </c>
      <c r="P69" s="25">
        <f t="shared" si="7"/>
        <v>15</v>
      </c>
      <c r="Q69" s="25">
        <v>14</v>
      </c>
      <c r="R69">
        <v>49</v>
      </c>
      <c r="S69">
        <v>37.21687</v>
      </c>
      <c r="T69">
        <v>61.43526</v>
      </c>
      <c r="U69">
        <f t="shared" si="8"/>
        <v>11.78313</v>
      </c>
      <c r="V69">
        <f t="shared" si="9"/>
        <v>12.43526</v>
      </c>
      <c r="W69">
        <v>80</v>
      </c>
      <c r="X69" s="91">
        <f>IF('CEA Summary'!$O$4=2, L69, IF('CEA Summary'!$O$4=1, R69))</f>
        <v>15</v>
      </c>
      <c r="Y69" s="91">
        <f>IF('CEA Summary'!$O$4=2, O69, IF('CEA Summary'!$O$4=1, U69))</f>
        <v>5</v>
      </c>
      <c r="Z69" s="91">
        <f>IF('CEA Summary'!$O$4=2, P69, IF('CEA Summary'!$O$4=1, V69))</f>
        <v>15</v>
      </c>
      <c r="AA69" s="91">
        <f>IF('CEA Summary'!$O$4=2, Q69, IF('CEA Summary'!$O$4=1, W69))</f>
        <v>14</v>
      </c>
    </row>
    <row r="70" spans="1:27" x14ac:dyDescent="0.25">
      <c r="A70" t="s">
        <v>77</v>
      </c>
      <c r="B70" t="s">
        <v>78</v>
      </c>
      <c r="C70" s="96">
        <v>48</v>
      </c>
      <c r="D70" s="96">
        <v>45</v>
      </c>
      <c r="E70" s="97">
        <v>0.69</v>
      </c>
      <c r="F70" s="97">
        <v>0.4</v>
      </c>
      <c r="G70" s="97">
        <v>0.51</v>
      </c>
      <c r="H70" s="96" t="s">
        <v>873</v>
      </c>
      <c r="I70" s="98">
        <v>7.0000000000000001E-3</v>
      </c>
      <c r="J70" s="96" t="s">
        <v>330</v>
      </c>
      <c r="K70" s="4" t="str">
        <f t="shared" si="5"/>
        <v>RKB</v>
      </c>
      <c r="L70" s="25">
        <v>14</v>
      </c>
      <c r="M70" s="25">
        <v>10</v>
      </c>
      <c r="N70" s="25">
        <v>36</v>
      </c>
      <c r="O70" s="25">
        <f t="shared" si="6"/>
        <v>4</v>
      </c>
      <c r="P70" s="25">
        <f t="shared" si="7"/>
        <v>22</v>
      </c>
      <c r="Q70" s="25">
        <v>14</v>
      </c>
      <c r="R70">
        <v>51</v>
      </c>
      <c r="S70">
        <v>35.774039999999999</v>
      </c>
      <c r="T70">
        <v>66.296630000000007</v>
      </c>
      <c r="U70">
        <f t="shared" si="8"/>
        <v>15.225960000000001</v>
      </c>
      <c r="V70">
        <f t="shared" si="9"/>
        <v>15.296630000000007</v>
      </c>
      <c r="W70">
        <v>80</v>
      </c>
      <c r="X70" s="91">
        <f>IF('CEA Summary'!$O$4=2, L70, IF('CEA Summary'!$O$4=1, R70))</f>
        <v>14</v>
      </c>
      <c r="Y70" s="91">
        <f>IF('CEA Summary'!$O$4=2, O70, IF('CEA Summary'!$O$4=1, U70))</f>
        <v>4</v>
      </c>
      <c r="Z70" s="91">
        <f>IF('CEA Summary'!$O$4=2, P70, IF('CEA Summary'!$O$4=1, V70))</f>
        <v>22</v>
      </c>
      <c r="AA70" s="91">
        <f>IF('CEA Summary'!$O$4=2, Q70, IF('CEA Summary'!$O$4=1, W70))</f>
        <v>14</v>
      </c>
    </row>
    <row r="71" spans="1:27" x14ac:dyDescent="0.25">
      <c r="A71" t="s">
        <v>117</v>
      </c>
      <c r="B71" t="s">
        <v>400</v>
      </c>
      <c r="C71" s="96">
        <v>28</v>
      </c>
      <c r="D71" s="96">
        <v>28</v>
      </c>
      <c r="E71" s="97">
        <v>0.71</v>
      </c>
      <c r="F71" s="97">
        <v>0.89</v>
      </c>
      <c r="G71" s="97">
        <v>0.79</v>
      </c>
      <c r="H71" s="96" t="s">
        <v>279</v>
      </c>
      <c r="I71" s="98">
        <v>2.9000000000000001E-2</v>
      </c>
      <c r="J71" s="96" t="s">
        <v>361</v>
      </c>
      <c r="K71" s="4" t="str">
        <f t="shared" si="5"/>
        <v>RTG</v>
      </c>
      <c r="L71" s="25">
        <v>8</v>
      </c>
      <c r="M71" s="25">
        <v>5</v>
      </c>
      <c r="N71" s="25">
        <v>14</v>
      </c>
      <c r="O71" s="25">
        <f t="shared" si="6"/>
        <v>3</v>
      </c>
      <c r="P71" s="25">
        <f t="shared" si="7"/>
        <v>6</v>
      </c>
      <c r="Q71" s="25">
        <v>14</v>
      </c>
      <c r="R71">
        <v>79</v>
      </c>
      <c r="S71">
        <v>59.046900000000001</v>
      </c>
      <c r="T71">
        <v>91.703939999999989</v>
      </c>
      <c r="U71">
        <f t="shared" si="8"/>
        <v>19.953099999999999</v>
      </c>
      <c r="V71">
        <f t="shared" si="9"/>
        <v>12.703939999999989</v>
      </c>
      <c r="W71">
        <v>80</v>
      </c>
      <c r="X71" s="91">
        <f>IF('CEA Summary'!$O$4=2, L71, IF('CEA Summary'!$O$4=1, R71))</f>
        <v>8</v>
      </c>
      <c r="Y71" s="91">
        <f>IF('CEA Summary'!$O$4=2, O71, IF('CEA Summary'!$O$4=1, U71))</f>
        <v>3</v>
      </c>
      <c r="Z71" s="91">
        <f>IF('CEA Summary'!$O$4=2, P71, IF('CEA Summary'!$O$4=1, V71))</f>
        <v>6</v>
      </c>
      <c r="AA71" s="91">
        <f>IF('CEA Summary'!$O$4=2, Q71, IF('CEA Summary'!$O$4=1, W71))</f>
        <v>14</v>
      </c>
    </row>
    <row r="72" spans="1:27" x14ac:dyDescent="0.25">
      <c r="A72" t="s">
        <v>134</v>
      </c>
      <c r="B72" t="s">
        <v>135</v>
      </c>
      <c r="C72" s="96">
        <v>64</v>
      </c>
      <c r="D72" s="96">
        <v>60</v>
      </c>
      <c r="E72" s="97">
        <v>0.81</v>
      </c>
      <c r="F72" s="97">
        <v>0.81</v>
      </c>
      <c r="G72" s="97">
        <v>0.82</v>
      </c>
      <c r="H72" s="96" t="s">
        <v>244</v>
      </c>
      <c r="I72" s="98">
        <v>5.0000000000000001E-3</v>
      </c>
      <c r="J72" s="96" t="s">
        <v>345</v>
      </c>
      <c r="K72" s="4" t="str">
        <f t="shared" si="5"/>
        <v>RWE</v>
      </c>
      <c r="L72" s="25">
        <v>8</v>
      </c>
      <c r="M72" s="25">
        <v>5</v>
      </c>
      <c r="N72" s="25">
        <v>12</v>
      </c>
      <c r="O72" s="25">
        <f t="shared" si="6"/>
        <v>3</v>
      </c>
      <c r="P72" s="25">
        <f t="shared" si="7"/>
        <v>4</v>
      </c>
      <c r="Q72" s="25">
        <v>14</v>
      </c>
      <c r="R72">
        <v>82</v>
      </c>
      <c r="S72">
        <v>69.560400000000001</v>
      </c>
      <c r="T72">
        <v>90.476420000000005</v>
      </c>
      <c r="U72">
        <f t="shared" si="8"/>
        <v>12.439599999999999</v>
      </c>
      <c r="V72">
        <f t="shared" si="9"/>
        <v>8.4764200000000045</v>
      </c>
      <c r="W72">
        <v>80</v>
      </c>
      <c r="X72" s="91">
        <f>IF('CEA Summary'!$O$4=2, L72, IF('CEA Summary'!$O$4=1, R72))</f>
        <v>8</v>
      </c>
      <c r="Y72" s="91">
        <f>IF('CEA Summary'!$O$4=2, O72, IF('CEA Summary'!$O$4=1, U72))</f>
        <v>3</v>
      </c>
      <c r="Z72" s="91">
        <f>IF('CEA Summary'!$O$4=2, P72, IF('CEA Summary'!$O$4=1, V72))</f>
        <v>4</v>
      </c>
      <c r="AA72" s="91">
        <f>IF('CEA Summary'!$O$4=2, Q72, IF('CEA Summary'!$O$4=1, W72))</f>
        <v>14</v>
      </c>
    </row>
    <row r="73" spans="1:27" x14ac:dyDescent="0.25">
      <c r="A73" t="s">
        <v>76</v>
      </c>
      <c r="B73" t="s">
        <v>214</v>
      </c>
      <c r="C73" s="96">
        <v>48</v>
      </c>
      <c r="D73" s="96">
        <v>42</v>
      </c>
      <c r="E73" s="97">
        <v>0.67</v>
      </c>
      <c r="F73" s="97">
        <v>0.38</v>
      </c>
      <c r="G73" s="97">
        <v>0.48</v>
      </c>
      <c r="H73" s="96" t="s">
        <v>893</v>
      </c>
      <c r="I73" s="98">
        <v>1.2E-2</v>
      </c>
      <c r="J73" s="96" t="s">
        <v>322</v>
      </c>
      <c r="K73" s="4" t="str">
        <f t="shared" si="5"/>
        <v>RK9</v>
      </c>
      <c r="L73" s="25">
        <v>16</v>
      </c>
      <c r="M73" s="25">
        <v>9</v>
      </c>
      <c r="N73" s="25">
        <v>41</v>
      </c>
      <c r="O73" s="25">
        <f t="shared" si="6"/>
        <v>7</v>
      </c>
      <c r="P73" s="25">
        <f t="shared" si="7"/>
        <v>25</v>
      </c>
      <c r="Q73" s="25">
        <v>14</v>
      </c>
      <c r="R73">
        <v>48</v>
      </c>
      <c r="S73">
        <v>32.004049999999999</v>
      </c>
      <c r="T73">
        <v>63.582209999999996</v>
      </c>
      <c r="U73">
        <f t="shared" si="8"/>
        <v>15.995950000000001</v>
      </c>
      <c r="V73">
        <f t="shared" si="9"/>
        <v>15.582209999999996</v>
      </c>
      <c r="W73">
        <v>80</v>
      </c>
      <c r="X73" s="91">
        <f>IF('CEA Summary'!$O$4=2, L73, IF('CEA Summary'!$O$4=1, R73))</f>
        <v>16</v>
      </c>
      <c r="Y73" s="91">
        <f>IF('CEA Summary'!$O$4=2, O73, IF('CEA Summary'!$O$4=1, U73))</f>
        <v>7</v>
      </c>
      <c r="Z73" s="91">
        <f>IF('CEA Summary'!$O$4=2, P73, IF('CEA Summary'!$O$4=1, V73))</f>
        <v>25</v>
      </c>
      <c r="AA73" s="91">
        <f>IF('CEA Summary'!$O$4=2, Q73, IF('CEA Summary'!$O$4=1, W73))</f>
        <v>14</v>
      </c>
    </row>
    <row r="74" spans="1:27" x14ac:dyDescent="0.25">
      <c r="A74" t="s">
        <v>136</v>
      </c>
      <c r="B74" t="s">
        <v>137</v>
      </c>
      <c r="C74" s="96">
        <v>35</v>
      </c>
      <c r="D74" s="96">
        <v>35</v>
      </c>
      <c r="E74" s="97">
        <v>0.69</v>
      </c>
      <c r="F74" s="97">
        <v>0.54</v>
      </c>
      <c r="G74" s="97">
        <v>0.66</v>
      </c>
      <c r="H74" s="96" t="s">
        <v>874</v>
      </c>
      <c r="I74" s="98">
        <v>2.8000000000000001E-2</v>
      </c>
      <c r="J74" s="96" t="s">
        <v>875</v>
      </c>
      <c r="K74" s="4" t="str">
        <f t="shared" si="5"/>
        <v>RWG</v>
      </c>
      <c r="L74" s="25">
        <v>11</v>
      </c>
      <c r="M74" s="25">
        <v>8</v>
      </c>
      <c r="N74" s="25">
        <v>18</v>
      </c>
      <c r="O74" s="25">
        <f t="shared" si="6"/>
        <v>3</v>
      </c>
      <c r="P74" s="25">
        <f t="shared" si="7"/>
        <v>7</v>
      </c>
      <c r="Q74" s="25">
        <v>14</v>
      </c>
      <c r="R74">
        <v>66</v>
      </c>
      <c r="S74">
        <v>47.789000000000001</v>
      </c>
      <c r="T74">
        <v>80.867590000000007</v>
      </c>
      <c r="U74">
        <f t="shared" si="8"/>
        <v>18.210999999999999</v>
      </c>
      <c r="V74">
        <f t="shared" si="9"/>
        <v>14.867590000000007</v>
      </c>
      <c r="W74">
        <v>80</v>
      </c>
      <c r="X74" s="91">
        <f>IF('CEA Summary'!$O$4=2, L74, IF('CEA Summary'!$O$4=1, R74))</f>
        <v>11</v>
      </c>
      <c r="Y74" s="91">
        <f>IF('CEA Summary'!$O$4=2, O74, IF('CEA Summary'!$O$4=1, U74))</f>
        <v>3</v>
      </c>
      <c r="Z74" s="91">
        <f>IF('CEA Summary'!$O$4=2, P74, IF('CEA Summary'!$O$4=1, V74))</f>
        <v>7</v>
      </c>
      <c r="AA74" s="91">
        <f>IF('CEA Summary'!$O$4=2, Q74, IF('CEA Summary'!$O$4=1, W74))</f>
        <v>14</v>
      </c>
    </row>
    <row r="75" spans="1:27" x14ac:dyDescent="0.25">
      <c r="A75" t="s">
        <v>140</v>
      </c>
      <c r="B75" t="s">
        <v>141</v>
      </c>
      <c r="C75" s="96">
        <v>60</v>
      </c>
      <c r="D75" s="96">
        <v>58</v>
      </c>
      <c r="E75" s="97">
        <v>0.76</v>
      </c>
      <c r="F75" s="97">
        <v>0.57999999999999996</v>
      </c>
      <c r="G75" s="97">
        <v>0.69</v>
      </c>
      <c r="H75" s="96" t="s">
        <v>876</v>
      </c>
      <c r="I75" s="98">
        <v>1.9E-2</v>
      </c>
      <c r="J75" s="96" t="s">
        <v>245</v>
      </c>
      <c r="K75" s="4" t="str">
        <f t="shared" si="5"/>
        <v>RWP</v>
      </c>
      <c r="L75" s="25">
        <v>11</v>
      </c>
      <c r="M75" s="25">
        <v>7</v>
      </c>
      <c r="N75" s="25">
        <v>16</v>
      </c>
      <c r="O75" s="25">
        <f t="shared" si="6"/>
        <v>4</v>
      </c>
      <c r="P75" s="25">
        <f t="shared" si="7"/>
        <v>5</v>
      </c>
      <c r="Q75" s="25">
        <v>14</v>
      </c>
      <c r="R75">
        <v>69</v>
      </c>
      <c r="S75">
        <v>55.455820000000003</v>
      </c>
      <c r="T75">
        <v>80.461349999999996</v>
      </c>
      <c r="U75">
        <f t="shared" si="8"/>
        <v>13.544179999999997</v>
      </c>
      <c r="V75">
        <f t="shared" si="9"/>
        <v>11.461349999999996</v>
      </c>
      <c r="W75">
        <v>80</v>
      </c>
      <c r="X75" s="91">
        <f>IF('CEA Summary'!$O$4=2, L75, IF('CEA Summary'!$O$4=1, R75))</f>
        <v>11</v>
      </c>
      <c r="Y75" s="91">
        <f>IF('CEA Summary'!$O$4=2, O75, IF('CEA Summary'!$O$4=1, U75))</f>
        <v>4</v>
      </c>
      <c r="Z75" s="91">
        <f>IF('CEA Summary'!$O$4=2, P75, IF('CEA Summary'!$O$4=1, V75))</f>
        <v>5</v>
      </c>
      <c r="AA75" s="91">
        <f>IF('CEA Summary'!$O$4=2, Q75, IF('CEA Summary'!$O$4=1, W75))</f>
        <v>14</v>
      </c>
    </row>
    <row r="76" spans="1:27" x14ac:dyDescent="0.25">
      <c r="A76" t="s">
        <v>35</v>
      </c>
      <c r="B76" t="s">
        <v>36</v>
      </c>
      <c r="C76" s="96">
        <v>109</v>
      </c>
      <c r="D76" s="96">
        <v>103</v>
      </c>
      <c r="E76" s="97">
        <v>0.84</v>
      </c>
      <c r="F76" s="97">
        <v>0.9</v>
      </c>
      <c r="G76" s="97">
        <v>0.86</v>
      </c>
      <c r="H76" s="96" t="s">
        <v>227</v>
      </c>
      <c r="I76" s="98">
        <v>2.5000000000000001E-2</v>
      </c>
      <c r="J76" s="96" t="s">
        <v>242</v>
      </c>
      <c r="K76" s="4" t="str">
        <f t="shared" si="5"/>
        <v>RCB</v>
      </c>
      <c r="L76" s="25">
        <v>5</v>
      </c>
      <c r="M76" s="25">
        <v>3</v>
      </c>
      <c r="N76" s="25">
        <v>8</v>
      </c>
      <c r="O76" s="25">
        <f t="shared" si="6"/>
        <v>2</v>
      </c>
      <c r="P76" s="25">
        <f t="shared" si="7"/>
        <v>3</v>
      </c>
      <c r="Q76" s="25">
        <v>14</v>
      </c>
      <c r="R76">
        <v>86</v>
      </c>
      <c r="S76">
        <v>78.247150000000005</v>
      </c>
      <c r="T76">
        <v>92.365180000000009</v>
      </c>
      <c r="U76">
        <f t="shared" si="8"/>
        <v>7.7528499999999951</v>
      </c>
      <c r="V76">
        <f t="shared" si="9"/>
        <v>6.3651800000000094</v>
      </c>
      <c r="W76">
        <v>80</v>
      </c>
      <c r="X76" s="91">
        <f>IF('CEA Summary'!$O$4=2, L76, IF('CEA Summary'!$O$4=1, R76))</f>
        <v>5</v>
      </c>
      <c r="Y76" s="91">
        <f>IF('CEA Summary'!$O$4=2, O76, IF('CEA Summary'!$O$4=1, U76))</f>
        <v>2</v>
      </c>
      <c r="Z76" s="91">
        <f>IF('CEA Summary'!$O$4=2, P76, IF('CEA Summary'!$O$4=1, V76))</f>
        <v>3</v>
      </c>
      <c r="AA76" s="91">
        <f>IF('CEA Summary'!$O$4=2, Q76, IF('CEA Summary'!$O$4=1, W76))</f>
        <v>14</v>
      </c>
    </row>
  </sheetData>
  <sortState ref="A2:J79">
    <sortCondition ref="B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showGridLines="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55.140625" bestFit="1" customWidth="1"/>
    <col min="5" max="5" width="12.5703125" customWidth="1"/>
    <col min="6" max="6" width="12.7109375" customWidth="1"/>
    <col min="7" max="7" width="13.140625" customWidth="1"/>
    <col min="8" max="8" width="13.5703125" customWidth="1"/>
    <col min="9" max="10" width="13.140625" customWidth="1"/>
    <col min="11" max="11" width="12.5703125" customWidth="1"/>
    <col min="15" max="15" width="36.7109375" customWidth="1"/>
    <col min="27" max="39" width="9.140625" style="43"/>
  </cols>
  <sheetData>
    <row r="1" spans="1:39" ht="30.75" customHeight="1" x14ac:dyDescent="0.25">
      <c r="A1" s="28" t="s">
        <v>404</v>
      </c>
      <c r="B1" s="29" t="s">
        <v>10</v>
      </c>
      <c r="AA1" s="113" t="s">
        <v>408</v>
      </c>
      <c r="AB1" s="114" t="s">
        <v>409</v>
      </c>
      <c r="AC1" s="114" t="s">
        <v>410</v>
      </c>
      <c r="AD1" s="115" t="s">
        <v>406</v>
      </c>
      <c r="AE1" s="116" t="s">
        <v>189</v>
      </c>
      <c r="AF1" s="116" t="s">
        <v>183</v>
      </c>
      <c r="AG1" s="114" t="s">
        <v>406</v>
      </c>
      <c r="AH1" s="117" t="s">
        <v>1097</v>
      </c>
      <c r="AI1" s="117" t="s">
        <v>590</v>
      </c>
      <c r="AJ1" s="117" t="s">
        <v>591</v>
      </c>
      <c r="AK1" s="114" t="s">
        <v>566</v>
      </c>
      <c r="AL1" s="127" t="s">
        <v>568</v>
      </c>
      <c r="AM1" s="127" t="s">
        <v>412</v>
      </c>
    </row>
    <row r="2" spans="1:39" ht="15.75" x14ac:dyDescent="0.25">
      <c r="O2" s="44" t="s">
        <v>436</v>
      </c>
      <c r="AA2" s="43">
        <f>VLOOKUP($B$1,$AF:$AK,3,FALSE)</f>
        <v>12</v>
      </c>
      <c r="AB2" s="43">
        <f>VLOOKUP($B$1,$AF:$AK,4,FALSE)</f>
        <v>9</v>
      </c>
      <c r="AC2" s="43">
        <f>VLOOKUP($B$1,$AF:$AK,5,FALSE)</f>
        <v>11</v>
      </c>
      <c r="AD2" s="43">
        <f>VLOOKUP($B$1,$AF:$AK,2,FALSE)</f>
        <v>38</v>
      </c>
      <c r="AE2" s="43" t="s">
        <v>35</v>
      </c>
      <c r="AF2" s="43" t="s">
        <v>36</v>
      </c>
      <c r="AG2" s="43">
        <v>1</v>
      </c>
      <c r="AH2" s="134">
        <f>VLOOKUP($AE2,'Carotid Endarterectomy'!$A:$AA,24,FALSE)</f>
        <v>5</v>
      </c>
      <c r="AI2" s="134">
        <f>VLOOKUP($AE2,'Carotid Endarterectomy'!$A:$AA,25,FALSE)</f>
        <v>2</v>
      </c>
      <c r="AJ2" s="134">
        <f>VLOOKUP($AE2,'Carotid Endarterectomy'!$A:$AA,26,FALSE)</f>
        <v>3</v>
      </c>
      <c r="AK2" s="134">
        <f>VLOOKUP($AE2,'Carotid Endarterectomy'!$A:$AA,27,FALSE)</f>
        <v>14</v>
      </c>
      <c r="AL2" s="43">
        <f>VLOOKUP($C29,'CEA Funnel'!$A:$C,2,FALSE)</f>
        <v>139</v>
      </c>
      <c r="AM2" s="43">
        <f>VLOOKUP($C29,'CEA Funnel'!$A:$C,3,FALSE)</f>
        <v>3.4</v>
      </c>
    </row>
    <row r="3" spans="1:39" ht="31.5" x14ac:dyDescent="0.25">
      <c r="O3" s="53" t="s">
        <v>1096</v>
      </c>
      <c r="AE3" s="43" t="s">
        <v>15</v>
      </c>
      <c r="AF3" s="43" t="s">
        <v>620</v>
      </c>
      <c r="AG3" s="43">
        <v>2</v>
      </c>
      <c r="AH3" s="134">
        <f>VLOOKUP($AE3,'Carotid Endarterectomy'!$A:$AA,24,FALSE)</f>
        <v>6</v>
      </c>
      <c r="AI3" s="134">
        <f>VLOOKUP($AE3,'Carotid Endarterectomy'!$A:$AA,25,FALSE)</f>
        <v>3</v>
      </c>
      <c r="AJ3" s="134">
        <f>VLOOKUP($AE3,'Carotid Endarterectomy'!$A:$AA,26,FALSE)</f>
        <v>2</v>
      </c>
      <c r="AK3" s="134">
        <f>VLOOKUP($AE3,'Carotid Endarterectomy'!$A:$AA,27,FALSE)</f>
        <v>14</v>
      </c>
    </row>
    <row r="4" spans="1:39" x14ac:dyDescent="0.25">
      <c r="O4" s="43">
        <f>MATCH(O3,'Carotid Endarterectomy'!$G$1:$H$1,0)</f>
        <v>2</v>
      </c>
      <c r="AE4" s="43" t="s">
        <v>138</v>
      </c>
      <c r="AF4" s="43" t="s">
        <v>139</v>
      </c>
      <c r="AG4" s="43">
        <v>3</v>
      </c>
      <c r="AH4" s="134">
        <f>VLOOKUP($AE4,'Carotid Endarterectomy'!$A:$AA,24,FALSE)</f>
        <v>7</v>
      </c>
      <c r="AI4" s="134">
        <f>VLOOKUP($AE4,'Carotid Endarterectomy'!$A:$AA,25,FALSE)</f>
        <v>2</v>
      </c>
      <c r="AJ4" s="134">
        <f>VLOOKUP($AE4,'Carotid Endarterectomy'!$A:$AA,26,FALSE)</f>
        <v>4</v>
      </c>
      <c r="AK4" s="134">
        <f>VLOOKUP($AE4,'Carotid Endarterectomy'!$A:$AA,27,FALSE)</f>
        <v>14</v>
      </c>
    </row>
    <row r="5" spans="1:39" x14ac:dyDescent="0.25">
      <c r="AE5" s="43" t="s">
        <v>134</v>
      </c>
      <c r="AF5" s="43" t="s">
        <v>135</v>
      </c>
      <c r="AG5" s="43">
        <v>4</v>
      </c>
      <c r="AH5" s="134">
        <f>VLOOKUP($AE5,'Carotid Endarterectomy'!$A:$AA,24,FALSE)</f>
        <v>8</v>
      </c>
      <c r="AI5" s="134">
        <f>VLOOKUP($AE5,'Carotid Endarterectomy'!$A:$AA,25,FALSE)</f>
        <v>3</v>
      </c>
      <c r="AJ5" s="134">
        <f>VLOOKUP($AE5,'Carotid Endarterectomy'!$A:$AA,26,FALSE)</f>
        <v>4</v>
      </c>
      <c r="AK5" s="134">
        <f>VLOOKUP($AE5,'Carotid Endarterectomy'!$A:$AA,27,FALSE)</f>
        <v>14</v>
      </c>
    </row>
    <row r="6" spans="1:39" x14ac:dyDescent="0.25">
      <c r="AE6" s="43" t="s">
        <v>117</v>
      </c>
      <c r="AF6" s="43" t="s">
        <v>400</v>
      </c>
      <c r="AG6" s="43">
        <v>5</v>
      </c>
      <c r="AH6" s="134">
        <f>VLOOKUP($AE6,'Carotid Endarterectomy'!$A:$AA,24,FALSE)</f>
        <v>8</v>
      </c>
      <c r="AI6" s="134">
        <f>VLOOKUP($AE6,'Carotid Endarterectomy'!$A:$AA,25,FALSE)</f>
        <v>3</v>
      </c>
      <c r="AJ6" s="134">
        <f>VLOOKUP($AE6,'Carotid Endarterectomy'!$A:$AA,26,FALSE)</f>
        <v>6</v>
      </c>
      <c r="AK6" s="134">
        <f>VLOOKUP($AE6,'Carotid Endarterectomy'!$A:$AA,27,FALSE)</f>
        <v>14</v>
      </c>
    </row>
    <row r="7" spans="1:39" x14ac:dyDescent="0.25">
      <c r="AE7" s="43" t="s">
        <v>42</v>
      </c>
      <c r="AF7" s="43" t="s">
        <v>43</v>
      </c>
      <c r="AG7" s="43">
        <v>6</v>
      </c>
      <c r="AH7" s="134">
        <f>VLOOKUP($AE7,'Carotid Endarterectomy'!$A:$AA,24,FALSE)</f>
        <v>8</v>
      </c>
      <c r="AI7" s="134">
        <f>VLOOKUP($AE7,'Carotid Endarterectomy'!$A:$AA,25,FALSE)</f>
        <v>3</v>
      </c>
      <c r="AJ7" s="134">
        <f>VLOOKUP($AE7,'Carotid Endarterectomy'!$A:$AA,26,FALSE)</f>
        <v>7</v>
      </c>
      <c r="AK7" s="134">
        <f>VLOOKUP($AE7,'Carotid Endarterectomy'!$A:$AA,27,FALSE)</f>
        <v>14</v>
      </c>
    </row>
    <row r="8" spans="1:39" x14ac:dyDescent="0.25">
      <c r="AE8" s="43" t="s">
        <v>40</v>
      </c>
      <c r="AF8" s="43" t="s">
        <v>41</v>
      </c>
      <c r="AG8" s="43">
        <v>7</v>
      </c>
      <c r="AH8" s="134">
        <f>VLOOKUP($AE8,'Carotid Endarterectomy'!$A:$AA,24,FALSE)</f>
        <v>8</v>
      </c>
      <c r="AI8" s="134">
        <f>VLOOKUP($AE8,'Carotid Endarterectomy'!$A:$AA,25,FALSE)</f>
        <v>3</v>
      </c>
      <c r="AJ8" s="134">
        <f>VLOOKUP($AE8,'Carotid Endarterectomy'!$A:$AA,26,FALSE)</f>
        <v>9</v>
      </c>
      <c r="AK8" s="134">
        <f>VLOOKUP($AE8,'Carotid Endarterectomy'!$A:$AA,27,FALSE)</f>
        <v>14</v>
      </c>
    </row>
    <row r="9" spans="1:39" x14ac:dyDescent="0.25">
      <c r="AE9" s="43" t="s">
        <v>144</v>
      </c>
      <c r="AF9" s="43" t="s">
        <v>145</v>
      </c>
      <c r="AG9" s="43">
        <v>8</v>
      </c>
      <c r="AH9" s="134">
        <f>VLOOKUP($AE9,'Carotid Endarterectomy'!$A:$AA,24,FALSE)</f>
        <v>8</v>
      </c>
      <c r="AI9" s="134">
        <f>VLOOKUP($AE9,'Carotid Endarterectomy'!$A:$AA,25,FALSE)</f>
        <v>2</v>
      </c>
      <c r="AJ9" s="134">
        <f>VLOOKUP($AE9,'Carotid Endarterectomy'!$A:$AA,26,FALSE)</f>
        <v>3</v>
      </c>
      <c r="AK9" s="134">
        <f>VLOOKUP($AE9,'Carotid Endarterectomy'!$A:$AA,27,FALSE)</f>
        <v>14</v>
      </c>
    </row>
    <row r="10" spans="1:39" x14ac:dyDescent="0.25">
      <c r="AE10" s="43" t="s">
        <v>7</v>
      </c>
      <c r="AF10" s="43" t="s">
        <v>616</v>
      </c>
      <c r="AG10" s="43">
        <v>9</v>
      </c>
      <c r="AH10" s="134">
        <f>VLOOKUP($AE10,'Carotid Endarterectomy'!$A:$AA,24,FALSE)</f>
        <v>8</v>
      </c>
      <c r="AI10" s="134">
        <f>VLOOKUP($AE10,'Carotid Endarterectomy'!$A:$AA,25,FALSE)</f>
        <v>1</v>
      </c>
      <c r="AJ10" s="134">
        <f>VLOOKUP($AE10,'Carotid Endarterectomy'!$A:$AA,26,FALSE)</f>
        <v>4</v>
      </c>
      <c r="AK10" s="134">
        <f>VLOOKUP($AE10,'Carotid Endarterectomy'!$A:$AA,27,FALSE)</f>
        <v>14</v>
      </c>
    </row>
    <row r="11" spans="1:39" x14ac:dyDescent="0.25">
      <c r="AE11" s="43" t="s">
        <v>170</v>
      </c>
      <c r="AF11" s="43" t="s">
        <v>171</v>
      </c>
      <c r="AG11" s="43">
        <v>10</v>
      </c>
      <c r="AH11" s="134">
        <f>VLOOKUP($AE11,'Carotid Endarterectomy'!$A:$AA,24,FALSE)</f>
        <v>9</v>
      </c>
      <c r="AI11" s="134">
        <f>VLOOKUP($AE11,'Carotid Endarterectomy'!$A:$AA,25,FALSE)</f>
        <v>4</v>
      </c>
      <c r="AJ11" s="134">
        <f>VLOOKUP($AE11,'Carotid Endarterectomy'!$A:$AA,26,FALSE)</f>
        <v>4</v>
      </c>
      <c r="AK11" s="134">
        <f>VLOOKUP($AE11,'Carotid Endarterectomy'!$A:$AA,27,FALSE)</f>
        <v>14</v>
      </c>
    </row>
    <row r="12" spans="1:39" x14ac:dyDescent="0.25">
      <c r="AE12" s="43" t="s">
        <v>83</v>
      </c>
      <c r="AF12" s="43" t="s">
        <v>84</v>
      </c>
      <c r="AG12" s="43">
        <v>11</v>
      </c>
      <c r="AH12" s="134">
        <f>VLOOKUP($AE12,'Carotid Endarterectomy'!$A:$AA,24,FALSE)</f>
        <v>9</v>
      </c>
      <c r="AI12" s="134">
        <f>VLOOKUP($AE12,'Carotid Endarterectomy'!$A:$AA,25,FALSE)</f>
        <v>4</v>
      </c>
      <c r="AJ12" s="134">
        <f>VLOOKUP($AE12,'Carotid Endarterectomy'!$A:$AA,26,FALSE)</f>
        <v>4</v>
      </c>
      <c r="AK12" s="134">
        <f>VLOOKUP($AE12,'Carotid Endarterectomy'!$A:$AA,27,FALSE)</f>
        <v>14</v>
      </c>
    </row>
    <row r="13" spans="1:39" x14ac:dyDescent="0.25">
      <c r="AE13" s="43" t="s">
        <v>21</v>
      </c>
      <c r="AF13" s="43" t="s">
        <v>22</v>
      </c>
      <c r="AG13" s="43">
        <v>12</v>
      </c>
      <c r="AH13" s="134">
        <f>VLOOKUP($AE13,'Carotid Endarterectomy'!$A:$AA,24,FALSE)</f>
        <v>9</v>
      </c>
      <c r="AI13" s="134">
        <f>VLOOKUP($AE13,'Carotid Endarterectomy'!$A:$AA,25,FALSE)</f>
        <v>3</v>
      </c>
      <c r="AJ13" s="134">
        <f>VLOOKUP($AE13,'Carotid Endarterectomy'!$A:$AA,26,FALSE)</f>
        <v>3</v>
      </c>
      <c r="AK13" s="134">
        <f>VLOOKUP($AE13,'Carotid Endarterectomy'!$A:$AA,27,FALSE)</f>
        <v>14</v>
      </c>
    </row>
    <row r="14" spans="1:39" x14ac:dyDescent="0.25">
      <c r="AE14" s="43" t="s">
        <v>68</v>
      </c>
      <c r="AF14" s="43" t="s">
        <v>69</v>
      </c>
      <c r="AG14" s="43">
        <v>13</v>
      </c>
      <c r="AH14" s="134">
        <f>VLOOKUP($AE14,'Carotid Endarterectomy'!$A:$AA,24,FALSE)</f>
        <v>9</v>
      </c>
      <c r="AI14" s="134">
        <f>VLOOKUP($AE14,'Carotid Endarterectomy'!$A:$AA,25,FALSE)</f>
        <v>3</v>
      </c>
      <c r="AJ14" s="134">
        <f>VLOOKUP($AE14,'Carotid Endarterectomy'!$A:$AA,26,FALSE)</f>
        <v>3</v>
      </c>
      <c r="AK14" s="134">
        <f>VLOOKUP($AE14,'Carotid Endarterectomy'!$A:$AA,27,FALSE)</f>
        <v>14</v>
      </c>
    </row>
    <row r="15" spans="1:39" x14ac:dyDescent="0.25">
      <c r="AE15" s="43" t="s">
        <v>148</v>
      </c>
      <c r="AF15" s="43" t="s">
        <v>149</v>
      </c>
      <c r="AG15" s="43">
        <v>14</v>
      </c>
      <c r="AH15" s="134">
        <f>VLOOKUP($AE15,'Carotid Endarterectomy'!$A:$AA,24,FALSE)</f>
        <v>9</v>
      </c>
      <c r="AI15" s="134">
        <f>VLOOKUP($AE15,'Carotid Endarterectomy'!$A:$AA,25,FALSE)</f>
        <v>2</v>
      </c>
      <c r="AJ15" s="134">
        <f>VLOOKUP($AE15,'Carotid Endarterectomy'!$A:$AA,26,FALSE)</f>
        <v>2</v>
      </c>
      <c r="AK15" s="134">
        <f>VLOOKUP($AE15,'Carotid Endarterectomy'!$A:$AA,27,FALSE)</f>
        <v>14</v>
      </c>
    </row>
    <row r="16" spans="1:39" x14ac:dyDescent="0.25">
      <c r="AE16" s="43" t="s">
        <v>44</v>
      </c>
      <c r="AF16" s="43" t="s">
        <v>45</v>
      </c>
      <c r="AG16" s="43">
        <v>15</v>
      </c>
      <c r="AH16" s="134">
        <f>VLOOKUP($AE16,'Carotid Endarterectomy'!$A:$AA,24,FALSE)</f>
        <v>9</v>
      </c>
      <c r="AI16" s="134">
        <f>VLOOKUP($AE16,'Carotid Endarterectomy'!$A:$AA,25,FALSE)</f>
        <v>2</v>
      </c>
      <c r="AJ16" s="134">
        <f>VLOOKUP($AE16,'Carotid Endarterectomy'!$A:$AA,26,FALSE)</f>
        <v>18</v>
      </c>
      <c r="AK16" s="134">
        <f>VLOOKUP($AE16,'Carotid Endarterectomy'!$A:$AA,27,FALSE)</f>
        <v>14</v>
      </c>
    </row>
    <row r="17" spans="2:37" x14ac:dyDescent="0.25">
      <c r="AE17" s="43" t="s">
        <v>105</v>
      </c>
      <c r="AF17" s="43" t="s">
        <v>106</v>
      </c>
      <c r="AG17" s="43">
        <v>16</v>
      </c>
      <c r="AH17" s="134">
        <f>VLOOKUP($AE17,'Carotid Endarterectomy'!$A:$AA,24,FALSE)</f>
        <v>10</v>
      </c>
      <c r="AI17" s="134">
        <f>VLOOKUP($AE17,'Carotid Endarterectomy'!$A:$AA,25,FALSE)</f>
        <v>4</v>
      </c>
      <c r="AJ17" s="134">
        <f>VLOOKUP($AE17,'Carotid Endarterectomy'!$A:$AA,26,FALSE)</f>
        <v>2</v>
      </c>
      <c r="AK17" s="134">
        <f>VLOOKUP($AE17,'Carotid Endarterectomy'!$A:$AA,27,FALSE)</f>
        <v>14</v>
      </c>
    </row>
    <row r="18" spans="2:37" x14ac:dyDescent="0.25">
      <c r="AE18" s="43" t="s">
        <v>128</v>
      </c>
      <c r="AF18" s="43" t="s">
        <v>129</v>
      </c>
      <c r="AG18" s="43">
        <v>17</v>
      </c>
      <c r="AH18" s="134">
        <f>VLOOKUP($AE18,'Carotid Endarterectomy'!$A:$AA,24,FALSE)</f>
        <v>10</v>
      </c>
      <c r="AI18" s="134">
        <f>VLOOKUP($AE18,'Carotid Endarterectomy'!$A:$AA,25,FALSE)</f>
        <v>4</v>
      </c>
      <c r="AJ18" s="134">
        <f>VLOOKUP($AE18,'Carotid Endarterectomy'!$A:$AA,26,FALSE)</f>
        <v>24</v>
      </c>
      <c r="AK18" s="134">
        <f>VLOOKUP($AE18,'Carotid Endarterectomy'!$A:$AA,27,FALSE)</f>
        <v>14</v>
      </c>
    </row>
    <row r="19" spans="2:37" x14ac:dyDescent="0.25">
      <c r="AE19" s="43" t="s">
        <v>124</v>
      </c>
      <c r="AF19" s="43" t="s">
        <v>125</v>
      </c>
      <c r="AG19" s="43">
        <v>18</v>
      </c>
      <c r="AH19" s="134">
        <f>VLOOKUP($AE19,'Carotid Endarterectomy'!$A:$AA,24,FALSE)</f>
        <v>10</v>
      </c>
      <c r="AI19" s="134">
        <f>VLOOKUP($AE19,'Carotid Endarterectomy'!$A:$AA,25,FALSE)</f>
        <v>3</v>
      </c>
      <c r="AJ19" s="134">
        <f>VLOOKUP($AE19,'Carotid Endarterectomy'!$A:$AA,26,FALSE)</f>
        <v>4</v>
      </c>
      <c r="AK19" s="134">
        <f>VLOOKUP($AE19,'Carotid Endarterectomy'!$A:$AA,27,FALSE)</f>
        <v>14</v>
      </c>
    </row>
    <row r="20" spans="2:37" x14ac:dyDescent="0.25">
      <c r="AE20" s="43" t="s">
        <v>66</v>
      </c>
      <c r="AF20" s="43" t="s">
        <v>67</v>
      </c>
      <c r="AG20" s="43">
        <v>19</v>
      </c>
      <c r="AH20" s="134">
        <f>VLOOKUP($AE20,'Carotid Endarterectomy'!$A:$AA,24,FALSE)</f>
        <v>10</v>
      </c>
      <c r="AI20" s="134">
        <f>VLOOKUP($AE20,'Carotid Endarterectomy'!$A:$AA,25,FALSE)</f>
        <v>3</v>
      </c>
      <c r="AJ20" s="134">
        <f>VLOOKUP($AE20,'Carotid Endarterectomy'!$A:$AA,26,FALSE)</f>
        <v>13</v>
      </c>
      <c r="AK20" s="134">
        <f>VLOOKUP($AE20,'Carotid Endarterectomy'!$A:$AA,27,FALSE)</f>
        <v>14</v>
      </c>
    </row>
    <row r="21" spans="2:37" x14ac:dyDescent="0.25">
      <c r="AE21" s="43" t="s">
        <v>87</v>
      </c>
      <c r="AF21" s="43" t="s">
        <v>88</v>
      </c>
      <c r="AG21" s="43">
        <v>20</v>
      </c>
      <c r="AH21" s="134">
        <f>VLOOKUP($AE21,'Carotid Endarterectomy'!$A:$AA,24,FALSE)</f>
        <v>11</v>
      </c>
      <c r="AI21" s="134">
        <f>VLOOKUP($AE21,'Carotid Endarterectomy'!$A:$AA,25,FALSE)</f>
        <v>5</v>
      </c>
      <c r="AJ21" s="134">
        <f>VLOOKUP($AE21,'Carotid Endarterectomy'!$A:$AA,26,FALSE)</f>
        <v>5</v>
      </c>
      <c r="AK21" s="134">
        <f>VLOOKUP($AE21,'Carotid Endarterectomy'!$A:$AA,27,FALSE)</f>
        <v>14</v>
      </c>
    </row>
    <row r="22" spans="2:37" x14ac:dyDescent="0.25">
      <c r="AE22" s="43" t="s">
        <v>11</v>
      </c>
      <c r="AF22" s="43" t="s">
        <v>12</v>
      </c>
      <c r="AG22" s="43">
        <v>21</v>
      </c>
      <c r="AH22" s="134">
        <f>VLOOKUP($AE22,'Carotid Endarterectomy'!$A:$AA,24,FALSE)</f>
        <v>11</v>
      </c>
      <c r="AI22" s="134">
        <f>VLOOKUP($AE22,'Carotid Endarterectomy'!$A:$AA,25,FALSE)</f>
        <v>5</v>
      </c>
      <c r="AJ22" s="134">
        <f>VLOOKUP($AE22,'Carotid Endarterectomy'!$A:$AA,26,FALSE)</f>
        <v>10</v>
      </c>
      <c r="AK22" s="134">
        <f>VLOOKUP($AE22,'Carotid Endarterectomy'!$A:$AA,27,FALSE)</f>
        <v>14</v>
      </c>
    </row>
    <row r="23" spans="2:37" x14ac:dyDescent="0.25">
      <c r="AE23" s="43" t="s">
        <v>13</v>
      </c>
      <c r="AF23" s="43" t="s">
        <v>14</v>
      </c>
      <c r="AG23" s="43">
        <v>22</v>
      </c>
      <c r="AH23" s="134">
        <f>VLOOKUP($AE23,'Carotid Endarterectomy'!$A:$AA,24,FALSE)</f>
        <v>11</v>
      </c>
      <c r="AI23" s="134">
        <f>VLOOKUP($AE23,'Carotid Endarterectomy'!$A:$AA,25,FALSE)</f>
        <v>4</v>
      </c>
      <c r="AJ23" s="134">
        <f>VLOOKUP($AE23,'Carotid Endarterectomy'!$A:$AA,26,FALSE)</f>
        <v>2</v>
      </c>
      <c r="AK23" s="134">
        <f>VLOOKUP($AE23,'Carotid Endarterectomy'!$A:$AA,27,FALSE)</f>
        <v>14</v>
      </c>
    </row>
    <row r="24" spans="2:37" x14ac:dyDescent="0.25">
      <c r="AE24" s="43" t="s">
        <v>140</v>
      </c>
      <c r="AF24" s="43" t="s">
        <v>141</v>
      </c>
      <c r="AG24" s="43">
        <v>23</v>
      </c>
      <c r="AH24" s="134">
        <f>VLOOKUP($AE24,'Carotid Endarterectomy'!$A:$AA,24,FALSE)</f>
        <v>11</v>
      </c>
      <c r="AI24" s="134">
        <f>VLOOKUP($AE24,'Carotid Endarterectomy'!$A:$AA,25,FALSE)</f>
        <v>4</v>
      </c>
      <c r="AJ24" s="134">
        <f>VLOOKUP($AE24,'Carotid Endarterectomy'!$A:$AA,26,FALSE)</f>
        <v>5</v>
      </c>
      <c r="AK24" s="134">
        <f>VLOOKUP($AE24,'Carotid Endarterectomy'!$A:$AA,27,FALSE)</f>
        <v>14</v>
      </c>
    </row>
    <row r="25" spans="2:37" x14ac:dyDescent="0.25">
      <c r="AE25" s="43" t="s">
        <v>89</v>
      </c>
      <c r="AF25" s="43" t="s">
        <v>90</v>
      </c>
      <c r="AG25" s="43">
        <v>24</v>
      </c>
      <c r="AH25" s="134">
        <f>VLOOKUP($AE25,'Carotid Endarterectomy'!$A:$AA,24,FALSE)</f>
        <v>11</v>
      </c>
      <c r="AI25" s="134">
        <f>VLOOKUP($AE25,'Carotid Endarterectomy'!$A:$AA,25,FALSE)</f>
        <v>4</v>
      </c>
      <c r="AJ25" s="134">
        <f>VLOOKUP($AE25,'Carotid Endarterectomy'!$A:$AA,26,FALSE)</f>
        <v>6</v>
      </c>
      <c r="AK25" s="134">
        <f>VLOOKUP($AE25,'Carotid Endarterectomy'!$A:$AA,27,FALSE)</f>
        <v>14</v>
      </c>
    </row>
    <row r="26" spans="2:37" x14ac:dyDescent="0.25">
      <c r="AE26" s="43" t="s">
        <v>56</v>
      </c>
      <c r="AF26" s="43" t="s">
        <v>57</v>
      </c>
      <c r="AG26" s="43">
        <v>25</v>
      </c>
      <c r="AH26" s="134">
        <f>VLOOKUP($AE26,'Carotid Endarterectomy'!$A:$AA,24,FALSE)</f>
        <v>11</v>
      </c>
      <c r="AI26" s="134">
        <f>VLOOKUP($AE26,'Carotid Endarterectomy'!$A:$AA,25,FALSE)</f>
        <v>4</v>
      </c>
      <c r="AJ26" s="134">
        <f>VLOOKUP($AE26,'Carotid Endarterectomy'!$A:$AA,26,FALSE)</f>
        <v>10</v>
      </c>
      <c r="AK26" s="134">
        <f>VLOOKUP($AE26,'Carotid Endarterectomy'!$A:$AA,27,FALSE)</f>
        <v>14</v>
      </c>
    </row>
    <row r="27" spans="2:37" ht="15.75" thickBot="1" x14ac:dyDescent="0.3">
      <c r="AE27" s="43" t="s">
        <v>37</v>
      </c>
      <c r="AF27" s="43" t="s">
        <v>38</v>
      </c>
      <c r="AG27" s="43">
        <v>26</v>
      </c>
      <c r="AH27" s="134">
        <f>VLOOKUP($AE27,'Carotid Endarterectomy'!$A:$AA,24,FALSE)</f>
        <v>11</v>
      </c>
      <c r="AI27" s="134">
        <f>VLOOKUP($AE27,'Carotid Endarterectomy'!$A:$AA,25,FALSE)</f>
        <v>3</v>
      </c>
      <c r="AJ27" s="134">
        <f>VLOOKUP($AE27,'Carotid Endarterectomy'!$A:$AA,26,FALSE)</f>
        <v>1</v>
      </c>
      <c r="AK27" s="134">
        <f>VLOOKUP($AE27,'Carotid Endarterectomy'!$A:$AA,27,FALSE)</f>
        <v>14</v>
      </c>
    </row>
    <row r="28" spans="2:37" ht="105.75" thickBot="1" x14ac:dyDescent="0.3">
      <c r="B28" s="30" t="s">
        <v>183</v>
      </c>
      <c r="C28" s="30" t="s">
        <v>189</v>
      </c>
      <c r="D28" s="31" t="s">
        <v>190</v>
      </c>
      <c r="E28" s="30" t="s">
        <v>195</v>
      </c>
      <c r="F28" s="31" t="s">
        <v>191</v>
      </c>
      <c r="G28" s="31" t="s">
        <v>192</v>
      </c>
      <c r="H28" s="31" t="s">
        <v>193</v>
      </c>
      <c r="I28" s="30" t="s">
        <v>1143</v>
      </c>
      <c r="J28" s="30" t="s">
        <v>196</v>
      </c>
      <c r="K28" s="30" t="s">
        <v>194</v>
      </c>
      <c r="AE28" s="43" t="s">
        <v>118</v>
      </c>
      <c r="AF28" s="43" t="s">
        <v>622</v>
      </c>
      <c r="AG28" s="43">
        <v>27</v>
      </c>
      <c r="AH28" s="134">
        <f>VLOOKUP($AE28,'Carotid Endarterectomy'!$A:$AA,24,FALSE)</f>
        <v>11</v>
      </c>
      <c r="AI28" s="134">
        <f>VLOOKUP($AE28,'Carotid Endarterectomy'!$A:$AA,25,FALSE)</f>
        <v>3</v>
      </c>
      <c r="AJ28" s="134">
        <f>VLOOKUP($AE28,'Carotid Endarterectomy'!$A:$AA,26,FALSE)</f>
        <v>6</v>
      </c>
      <c r="AK28" s="134">
        <f>VLOOKUP($AE28,'Carotid Endarterectomy'!$A:$AA,27,FALSE)</f>
        <v>14</v>
      </c>
    </row>
    <row r="29" spans="2:37" ht="15.75" thickBot="1" x14ac:dyDescent="0.3">
      <c r="B29" s="32" t="str">
        <f>B1</f>
        <v>Aneurin Bevan University Health Board</v>
      </c>
      <c r="C29" s="33" t="str">
        <f>VLOOKUP($B29,'Carotid Endarterectomy'!$B:$K,10,FALSE)</f>
        <v>7A6</v>
      </c>
      <c r="D29" s="34">
        <f>VLOOKUP($B29,'Carotid Endarterectomy'!$B:$J,2,FALSE)</f>
        <v>49</v>
      </c>
      <c r="E29" s="34">
        <f>VLOOKUP($B29,'Carotid Endarterectomy'!$B:$K,3,FALSE)</f>
        <v>49</v>
      </c>
      <c r="F29" s="35">
        <f>VLOOKUP($B29,'Carotid Endarterectomy'!$B:$K,4,FALSE)</f>
        <v>0.67</v>
      </c>
      <c r="G29" s="35">
        <f>VLOOKUP($B29,'Carotid Endarterectomy'!$B:$K,5,FALSE)</f>
        <v>0.57999999999999996</v>
      </c>
      <c r="H29" s="35">
        <f>VLOOKUP($B29,'Carotid Endarterectomy'!$B:$K,6,FALSE)</f>
        <v>0.56000000000000005</v>
      </c>
      <c r="I29" s="36">
        <f>VLOOKUP($B29,'Carotid Endarterectomy'!$B:$K,8,FALSE)</f>
        <v>3.4000000000000002E-2</v>
      </c>
      <c r="J29" s="33" t="str">
        <f>VLOOKUP($B29,'Carotid Endarterectomy'!$B:$K,7,FALSE)</f>
        <v>12 (9 - 23)</v>
      </c>
      <c r="K29" s="33" t="str">
        <f>VLOOKUP($B29,'Carotid Endarterectomy'!$B:$K,9,FALSE)</f>
        <v>1 (1 - 4)</v>
      </c>
      <c r="AE29" s="43" t="s">
        <v>136</v>
      </c>
      <c r="AF29" s="43" t="s">
        <v>137</v>
      </c>
      <c r="AG29" s="43">
        <v>28</v>
      </c>
      <c r="AH29" s="134">
        <f>VLOOKUP($AE29,'Carotid Endarterectomy'!$A:$AA,24,FALSE)</f>
        <v>11</v>
      </c>
      <c r="AI29" s="134">
        <f>VLOOKUP($AE29,'Carotid Endarterectomy'!$A:$AA,25,FALSE)</f>
        <v>3</v>
      </c>
      <c r="AJ29" s="134">
        <f>VLOOKUP($AE29,'Carotid Endarterectomy'!$A:$AA,26,FALSE)</f>
        <v>7</v>
      </c>
      <c r="AK29" s="134">
        <f>VLOOKUP($AE29,'Carotid Endarterectomy'!$A:$AA,27,FALSE)</f>
        <v>14</v>
      </c>
    </row>
    <row r="30" spans="2:37" ht="15.75" thickBot="1" x14ac:dyDescent="0.3">
      <c r="B30" s="135" t="s">
        <v>405</v>
      </c>
      <c r="C30" s="135"/>
      <c r="D30" s="100">
        <v>4141</v>
      </c>
      <c r="E30" s="100">
        <v>3859</v>
      </c>
      <c r="F30" s="103">
        <v>0.72</v>
      </c>
      <c r="G30" s="103">
        <v>0.51</v>
      </c>
      <c r="H30" s="103">
        <v>0.6</v>
      </c>
      <c r="I30" s="102">
        <v>1.9E-2</v>
      </c>
      <c r="J30" s="101" t="s">
        <v>894</v>
      </c>
      <c r="K30" s="101" t="s">
        <v>232</v>
      </c>
      <c r="AE30" s="43" t="s">
        <v>160</v>
      </c>
      <c r="AF30" s="43" t="s">
        <v>161</v>
      </c>
      <c r="AG30" s="43">
        <v>29</v>
      </c>
      <c r="AH30" s="134">
        <f>VLOOKUP($AE30,'Carotid Endarterectomy'!$A:$AA,24,FALSE)</f>
        <v>11</v>
      </c>
      <c r="AI30" s="134">
        <f>VLOOKUP($AE30,'Carotid Endarterectomy'!$A:$AA,25,FALSE)</f>
        <v>3</v>
      </c>
      <c r="AJ30" s="134">
        <f>VLOOKUP($AE30,'Carotid Endarterectomy'!$A:$AA,26,FALSE)</f>
        <v>8</v>
      </c>
      <c r="AK30" s="134">
        <f>VLOOKUP($AE30,'Carotid Endarterectomy'!$A:$AA,27,FALSE)</f>
        <v>14</v>
      </c>
    </row>
    <row r="31" spans="2:37" x14ac:dyDescent="0.25">
      <c r="AE31" s="43" t="s">
        <v>120</v>
      </c>
      <c r="AF31" s="43" t="s">
        <v>612</v>
      </c>
      <c r="AG31" s="43">
        <v>30</v>
      </c>
      <c r="AH31" s="134">
        <f>VLOOKUP($AE31,'Carotid Endarterectomy'!$A:$AA,24,FALSE)</f>
        <v>12</v>
      </c>
      <c r="AI31" s="134">
        <f>VLOOKUP($AE31,'Carotid Endarterectomy'!$A:$AA,25,FALSE)</f>
        <v>7</v>
      </c>
      <c r="AJ31" s="134">
        <f>VLOOKUP($AE31,'Carotid Endarterectomy'!$A:$AA,26,FALSE)</f>
        <v>44</v>
      </c>
      <c r="AK31" s="134">
        <f>VLOOKUP($AE31,'Carotid Endarterectomy'!$A:$AA,27,FALSE)</f>
        <v>14</v>
      </c>
    </row>
    <row r="32" spans="2:37" x14ac:dyDescent="0.25">
      <c r="AE32" s="43" t="s">
        <v>126</v>
      </c>
      <c r="AF32" s="43" t="s">
        <v>127</v>
      </c>
      <c r="AG32" s="43">
        <v>31</v>
      </c>
      <c r="AH32" s="134">
        <f>VLOOKUP($AE32,'Carotid Endarterectomy'!$A:$AA,24,FALSE)</f>
        <v>12</v>
      </c>
      <c r="AI32" s="134">
        <f>VLOOKUP($AE32,'Carotid Endarterectomy'!$A:$AA,25,FALSE)</f>
        <v>5</v>
      </c>
      <c r="AJ32" s="134">
        <f>VLOOKUP($AE32,'Carotid Endarterectomy'!$A:$AA,26,FALSE)</f>
        <v>7</v>
      </c>
      <c r="AK32" s="134">
        <f>VLOOKUP($AE32,'Carotid Endarterectomy'!$A:$AA,27,FALSE)</f>
        <v>14</v>
      </c>
    </row>
    <row r="33" spans="8:37" x14ac:dyDescent="0.25">
      <c r="H33" s="95"/>
      <c r="AE33" s="43" t="s">
        <v>164</v>
      </c>
      <c r="AF33" s="43" t="s">
        <v>165</v>
      </c>
      <c r="AG33" s="43">
        <v>32</v>
      </c>
      <c r="AH33" s="134">
        <f>VLOOKUP($AE33,'Carotid Endarterectomy'!$A:$AA,24,FALSE)</f>
        <v>12</v>
      </c>
      <c r="AI33" s="134">
        <f>VLOOKUP($AE33,'Carotid Endarterectomy'!$A:$AA,25,FALSE)</f>
        <v>5</v>
      </c>
      <c r="AJ33" s="134">
        <f>VLOOKUP($AE33,'Carotid Endarterectomy'!$A:$AA,26,FALSE)</f>
        <v>9</v>
      </c>
      <c r="AK33" s="134">
        <f>VLOOKUP($AE33,'Carotid Endarterectomy'!$A:$AA,27,FALSE)</f>
        <v>14</v>
      </c>
    </row>
    <row r="34" spans="8:37" x14ac:dyDescent="0.25">
      <c r="H34" s="95"/>
      <c r="AE34" s="43" t="s">
        <v>91</v>
      </c>
      <c r="AF34" s="43" t="s">
        <v>92</v>
      </c>
      <c r="AG34" s="43">
        <v>33</v>
      </c>
      <c r="AH34" s="134">
        <f>VLOOKUP($AE34,'Carotid Endarterectomy'!$A:$AA,24,FALSE)</f>
        <v>12</v>
      </c>
      <c r="AI34" s="134">
        <f>VLOOKUP($AE34,'Carotid Endarterectomy'!$A:$AA,25,FALSE)</f>
        <v>5</v>
      </c>
      <c r="AJ34" s="134">
        <f>VLOOKUP($AE34,'Carotid Endarterectomy'!$A:$AA,26,FALSE)</f>
        <v>17</v>
      </c>
      <c r="AK34" s="134">
        <f>VLOOKUP($AE34,'Carotid Endarterectomy'!$A:$AA,27,FALSE)</f>
        <v>14</v>
      </c>
    </row>
    <row r="35" spans="8:37" x14ac:dyDescent="0.25">
      <c r="AE35" s="43" t="s">
        <v>172</v>
      </c>
      <c r="AF35" s="43" t="s">
        <v>173</v>
      </c>
      <c r="AG35" s="43">
        <v>34</v>
      </c>
      <c r="AH35" s="134">
        <f>VLOOKUP($AE35,'Carotid Endarterectomy'!$A:$AA,24,FALSE)</f>
        <v>12</v>
      </c>
      <c r="AI35" s="134">
        <f>VLOOKUP($AE35,'Carotid Endarterectomy'!$A:$AA,25,FALSE)</f>
        <v>4</v>
      </c>
      <c r="AJ35" s="134">
        <f>VLOOKUP($AE35,'Carotid Endarterectomy'!$A:$AA,26,FALSE)</f>
        <v>3</v>
      </c>
      <c r="AK35" s="134">
        <f>VLOOKUP($AE35,'Carotid Endarterectomy'!$A:$AA,27,FALSE)</f>
        <v>14</v>
      </c>
    </row>
    <row r="36" spans="8:37" x14ac:dyDescent="0.25">
      <c r="AE36" s="43" t="s">
        <v>132</v>
      </c>
      <c r="AF36" s="43" t="s">
        <v>133</v>
      </c>
      <c r="AG36" s="43">
        <v>35</v>
      </c>
      <c r="AH36" s="134">
        <f>VLOOKUP($AE36,'Carotid Endarterectomy'!$A:$AA,24,FALSE)</f>
        <v>12</v>
      </c>
      <c r="AI36" s="134">
        <f>VLOOKUP($AE36,'Carotid Endarterectomy'!$A:$AA,25,FALSE)</f>
        <v>4</v>
      </c>
      <c r="AJ36" s="134">
        <f>VLOOKUP($AE36,'Carotid Endarterectomy'!$A:$AA,26,FALSE)</f>
        <v>9</v>
      </c>
      <c r="AK36" s="134">
        <f>VLOOKUP($AE36,'Carotid Endarterectomy'!$A:$AA,27,FALSE)</f>
        <v>14</v>
      </c>
    </row>
    <row r="37" spans="8:37" x14ac:dyDescent="0.25">
      <c r="AE37" s="43" t="s">
        <v>70</v>
      </c>
      <c r="AF37" s="43" t="s">
        <v>71</v>
      </c>
      <c r="AG37" s="43">
        <v>36</v>
      </c>
      <c r="AH37" s="134">
        <f>VLOOKUP($AE37,'Carotid Endarterectomy'!$A:$AA,24,FALSE)</f>
        <v>12</v>
      </c>
      <c r="AI37" s="134">
        <f>VLOOKUP($AE37,'Carotid Endarterectomy'!$A:$AA,25,FALSE)</f>
        <v>4</v>
      </c>
      <c r="AJ37" s="134">
        <f>VLOOKUP($AE37,'Carotid Endarterectomy'!$A:$AA,26,FALSE)</f>
        <v>20</v>
      </c>
      <c r="AK37" s="134">
        <f>VLOOKUP($AE37,'Carotid Endarterectomy'!$A:$AA,27,FALSE)</f>
        <v>14</v>
      </c>
    </row>
    <row r="38" spans="8:37" x14ac:dyDescent="0.25">
      <c r="AE38" s="43" t="s">
        <v>109</v>
      </c>
      <c r="AF38" s="43" t="s">
        <v>110</v>
      </c>
      <c r="AG38" s="43">
        <v>37</v>
      </c>
      <c r="AH38" s="134">
        <f>VLOOKUP($AE38,'Carotid Endarterectomy'!$A:$AA,24,FALSE)</f>
        <v>12</v>
      </c>
      <c r="AI38" s="134">
        <f>VLOOKUP($AE38,'Carotid Endarterectomy'!$A:$AA,25,FALSE)</f>
        <v>3</v>
      </c>
      <c r="AJ38" s="134">
        <f>VLOOKUP($AE38,'Carotid Endarterectomy'!$A:$AA,26,FALSE)</f>
        <v>5</v>
      </c>
      <c r="AK38" s="134">
        <f>VLOOKUP($AE38,'Carotid Endarterectomy'!$A:$AA,27,FALSE)</f>
        <v>14</v>
      </c>
    </row>
    <row r="39" spans="8:37" x14ac:dyDescent="0.25">
      <c r="AE39" s="43" t="s">
        <v>9</v>
      </c>
      <c r="AF39" s="43" t="s">
        <v>10</v>
      </c>
      <c r="AG39" s="43">
        <v>38</v>
      </c>
      <c r="AH39" s="134">
        <f>VLOOKUP($AE39,'Carotid Endarterectomy'!$A:$AA,24,FALSE)</f>
        <v>12</v>
      </c>
      <c r="AI39" s="134">
        <f>VLOOKUP($AE39,'Carotid Endarterectomy'!$A:$AA,25,FALSE)</f>
        <v>9</v>
      </c>
      <c r="AJ39" s="134">
        <f>VLOOKUP($AE39,'Carotid Endarterectomy'!$A:$AA,26,FALSE)</f>
        <v>11</v>
      </c>
      <c r="AK39" s="134">
        <f>VLOOKUP($AE39,'Carotid Endarterectomy'!$A:$AA,27,FALSE)</f>
        <v>14</v>
      </c>
    </row>
    <row r="40" spans="8:37" x14ac:dyDescent="0.25">
      <c r="AE40" s="43" t="s">
        <v>142</v>
      </c>
      <c r="AF40" s="43" t="s">
        <v>143</v>
      </c>
      <c r="AG40" s="43">
        <v>39</v>
      </c>
      <c r="AH40" s="134">
        <f>VLOOKUP($AE40,'Carotid Endarterectomy'!$A:$AA,24,FALSE)</f>
        <v>12</v>
      </c>
      <c r="AI40" s="134">
        <f>VLOOKUP($AE40,'Carotid Endarterectomy'!$A:$AA,25,FALSE)</f>
        <v>2</v>
      </c>
      <c r="AJ40" s="134">
        <f>VLOOKUP($AE40,'Carotid Endarterectomy'!$A:$AA,26,FALSE)</f>
        <v>5</v>
      </c>
      <c r="AK40" s="134">
        <f>VLOOKUP($AE40,'Carotid Endarterectomy'!$A:$AA,27,FALSE)</f>
        <v>14</v>
      </c>
    </row>
    <row r="41" spans="8:37" x14ac:dyDescent="0.25">
      <c r="AE41" s="43" t="s">
        <v>74</v>
      </c>
      <c r="AF41" s="43" t="s">
        <v>75</v>
      </c>
      <c r="AG41" s="43">
        <v>40</v>
      </c>
      <c r="AH41" s="134">
        <f>VLOOKUP($AE41,'Carotid Endarterectomy'!$A:$AA,24,FALSE)</f>
        <v>13</v>
      </c>
      <c r="AI41" s="134">
        <f>VLOOKUP($AE41,'Carotid Endarterectomy'!$A:$AA,25,FALSE)</f>
        <v>6</v>
      </c>
      <c r="AJ41" s="134">
        <f>VLOOKUP($AE41,'Carotid Endarterectomy'!$A:$AA,26,FALSE)</f>
        <v>17</v>
      </c>
      <c r="AK41" s="134">
        <f>VLOOKUP($AE41,'Carotid Endarterectomy'!$A:$AA,27,FALSE)</f>
        <v>14</v>
      </c>
    </row>
    <row r="42" spans="8:37" x14ac:dyDescent="0.25">
      <c r="AE42" s="43" t="s">
        <v>154</v>
      </c>
      <c r="AF42" s="43" t="s">
        <v>155</v>
      </c>
      <c r="AG42" s="43">
        <v>41</v>
      </c>
      <c r="AH42" s="134">
        <f>VLOOKUP($AE42,'Carotid Endarterectomy'!$A:$AA,24,FALSE)</f>
        <v>13</v>
      </c>
      <c r="AI42" s="134">
        <f>VLOOKUP($AE42,'Carotid Endarterectomy'!$A:$AA,25,FALSE)</f>
        <v>5</v>
      </c>
      <c r="AJ42" s="134">
        <f>VLOOKUP($AE42,'Carotid Endarterectomy'!$A:$AA,26,FALSE)</f>
        <v>8</v>
      </c>
      <c r="AK42" s="134">
        <f>VLOOKUP($AE42,'Carotid Endarterectomy'!$A:$AA,27,FALSE)</f>
        <v>14</v>
      </c>
    </row>
    <row r="43" spans="8:37" x14ac:dyDescent="0.25">
      <c r="AE43" s="43" t="s">
        <v>115</v>
      </c>
      <c r="AF43" s="43" t="s">
        <v>116</v>
      </c>
      <c r="AG43" s="43">
        <v>42</v>
      </c>
      <c r="AH43" s="134">
        <f>VLOOKUP($AE43,'Carotid Endarterectomy'!$A:$AA,24,FALSE)</f>
        <v>13</v>
      </c>
      <c r="AI43" s="134">
        <f>VLOOKUP($AE43,'Carotid Endarterectomy'!$A:$AA,25,FALSE)</f>
        <v>5</v>
      </c>
      <c r="AJ43" s="134">
        <f>VLOOKUP($AE43,'Carotid Endarterectomy'!$A:$AA,26,FALSE)</f>
        <v>9</v>
      </c>
      <c r="AK43" s="134">
        <f>VLOOKUP($AE43,'Carotid Endarterectomy'!$A:$AA,27,FALSE)</f>
        <v>14</v>
      </c>
    </row>
    <row r="44" spans="8:37" x14ac:dyDescent="0.25">
      <c r="AE44" s="43" t="s">
        <v>93</v>
      </c>
      <c r="AF44" s="43" t="s">
        <v>617</v>
      </c>
      <c r="AG44" s="43">
        <v>43</v>
      </c>
      <c r="AH44" s="134">
        <f>VLOOKUP($AE44,'Carotid Endarterectomy'!$A:$AA,24,FALSE)</f>
        <v>13</v>
      </c>
      <c r="AI44" s="134">
        <f>VLOOKUP($AE44,'Carotid Endarterectomy'!$A:$AA,25,FALSE)</f>
        <v>5</v>
      </c>
      <c r="AJ44" s="134">
        <f>VLOOKUP($AE44,'Carotid Endarterectomy'!$A:$AA,26,FALSE)</f>
        <v>25</v>
      </c>
      <c r="AK44" s="134">
        <f>VLOOKUP($AE44,'Carotid Endarterectomy'!$A:$AA,27,FALSE)</f>
        <v>14</v>
      </c>
    </row>
    <row r="45" spans="8:37" x14ac:dyDescent="0.25">
      <c r="AE45" s="43" t="s">
        <v>168</v>
      </c>
      <c r="AF45" s="43" t="s">
        <v>169</v>
      </c>
      <c r="AG45" s="43">
        <v>44</v>
      </c>
      <c r="AH45" s="134">
        <f>VLOOKUP($AE45,'Carotid Endarterectomy'!$A:$AA,24,FALSE)</f>
        <v>13</v>
      </c>
      <c r="AI45" s="134">
        <f>VLOOKUP($AE45,'Carotid Endarterectomy'!$A:$AA,25,FALSE)</f>
        <v>3</v>
      </c>
      <c r="AJ45" s="134">
        <f>VLOOKUP($AE45,'Carotid Endarterectomy'!$A:$AA,26,FALSE)</f>
        <v>4</v>
      </c>
      <c r="AK45" s="134">
        <f>VLOOKUP($AE45,'Carotid Endarterectomy'!$A:$AA,27,FALSE)</f>
        <v>14</v>
      </c>
    </row>
    <row r="46" spans="8:37" x14ac:dyDescent="0.25">
      <c r="AE46" s="43" t="s">
        <v>58</v>
      </c>
      <c r="AF46" s="43" t="s">
        <v>59</v>
      </c>
      <c r="AG46" s="43">
        <v>45</v>
      </c>
      <c r="AH46" s="134">
        <f>VLOOKUP($AE46,'Carotid Endarterectomy'!$A:$AA,24,FALSE)</f>
        <v>13</v>
      </c>
      <c r="AI46" s="134">
        <f>VLOOKUP($AE46,'Carotid Endarterectomy'!$A:$AA,25,FALSE)</f>
        <v>3</v>
      </c>
      <c r="AJ46" s="134">
        <f>VLOOKUP($AE46,'Carotid Endarterectomy'!$A:$AA,26,FALSE)</f>
        <v>7</v>
      </c>
      <c r="AK46" s="134">
        <f>VLOOKUP($AE46,'Carotid Endarterectomy'!$A:$AA,27,FALSE)</f>
        <v>14</v>
      </c>
    </row>
    <row r="47" spans="8:37" x14ac:dyDescent="0.25">
      <c r="AE47" s="43" t="s">
        <v>25</v>
      </c>
      <c r="AF47" s="43" t="s">
        <v>26</v>
      </c>
      <c r="AG47" s="43">
        <v>46</v>
      </c>
      <c r="AH47" s="134">
        <f>VLOOKUP($AE47,'Carotid Endarterectomy'!$A:$AA,24,FALSE)</f>
        <v>13</v>
      </c>
      <c r="AI47" s="134">
        <f>VLOOKUP($AE47,'Carotid Endarterectomy'!$A:$AA,25,FALSE)</f>
        <v>3</v>
      </c>
      <c r="AJ47" s="134">
        <f>VLOOKUP($AE47,'Carotid Endarterectomy'!$A:$AA,26,FALSE)</f>
        <v>8</v>
      </c>
      <c r="AK47" s="134">
        <f>VLOOKUP($AE47,'Carotid Endarterectomy'!$A:$AA,27,FALSE)</f>
        <v>14</v>
      </c>
    </row>
    <row r="48" spans="8:37" x14ac:dyDescent="0.25">
      <c r="AE48" s="43" t="s">
        <v>81</v>
      </c>
      <c r="AF48" s="43" t="s">
        <v>82</v>
      </c>
      <c r="AG48" s="43">
        <v>47</v>
      </c>
      <c r="AH48" s="134">
        <f>VLOOKUP($AE48,'Carotid Endarterectomy'!$A:$AA,24,FALSE)</f>
        <v>13</v>
      </c>
      <c r="AI48" s="134">
        <f>VLOOKUP($AE48,'Carotid Endarterectomy'!$A:$AA,25,FALSE)</f>
        <v>2</v>
      </c>
      <c r="AJ48" s="134">
        <f>VLOOKUP($AE48,'Carotid Endarterectomy'!$A:$AA,26,FALSE)</f>
        <v>3</v>
      </c>
      <c r="AK48" s="134">
        <f>VLOOKUP($AE48,'Carotid Endarterectomy'!$A:$AA,27,FALSE)</f>
        <v>14</v>
      </c>
    </row>
    <row r="49" spans="31:37" x14ac:dyDescent="0.25">
      <c r="AE49" s="43" t="s">
        <v>156</v>
      </c>
      <c r="AF49" s="43" t="s">
        <v>157</v>
      </c>
      <c r="AG49" s="43">
        <v>48</v>
      </c>
      <c r="AH49" s="134">
        <f>VLOOKUP($AE49,'Carotid Endarterectomy'!$A:$AA,24,FALSE)</f>
        <v>13</v>
      </c>
      <c r="AI49" s="134">
        <f>VLOOKUP($AE49,'Carotid Endarterectomy'!$A:$AA,25,FALSE)</f>
        <v>2</v>
      </c>
      <c r="AJ49" s="134">
        <f>VLOOKUP($AE49,'Carotid Endarterectomy'!$A:$AA,26,FALSE)</f>
        <v>4</v>
      </c>
      <c r="AK49" s="134">
        <f>VLOOKUP($AE49,'Carotid Endarterectomy'!$A:$AA,27,FALSE)</f>
        <v>14</v>
      </c>
    </row>
    <row r="50" spans="31:37" x14ac:dyDescent="0.25">
      <c r="AE50" s="43" t="s">
        <v>33</v>
      </c>
      <c r="AF50" s="43" t="s">
        <v>34</v>
      </c>
      <c r="AG50" s="43">
        <v>49</v>
      </c>
      <c r="AH50" s="134">
        <f>VLOOKUP($AE50,'Carotid Endarterectomy'!$A:$AA,24,FALSE)</f>
        <v>13</v>
      </c>
      <c r="AI50" s="134">
        <f>VLOOKUP($AE50,'Carotid Endarterectomy'!$A:$AA,25,FALSE)</f>
        <v>2</v>
      </c>
      <c r="AJ50" s="134">
        <f>VLOOKUP($AE50,'Carotid Endarterectomy'!$A:$AA,26,FALSE)</f>
        <v>23</v>
      </c>
      <c r="AK50" s="134">
        <f>VLOOKUP($AE50,'Carotid Endarterectomy'!$A:$AA,27,FALSE)</f>
        <v>14</v>
      </c>
    </row>
    <row r="51" spans="31:37" x14ac:dyDescent="0.25">
      <c r="AE51" s="43" t="s">
        <v>4</v>
      </c>
      <c r="AF51" s="43" t="s">
        <v>213</v>
      </c>
      <c r="AG51" s="43">
        <v>50</v>
      </c>
      <c r="AH51" s="134">
        <f>VLOOKUP($AE51,'Carotid Endarterectomy'!$A:$AA,24,FALSE)</f>
        <v>14</v>
      </c>
      <c r="AI51" s="134">
        <f>VLOOKUP($AE51,'Carotid Endarterectomy'!$A:$AA,25,FALSE)</f>
        <v>6</v>
      </c>
      <c r="AJ51" s="134">
        <f>VLOOKUP($AE51,'Carotid Endarterectomy'!$A:$AA,26,FALSE)</f>
        <v>12</v>
      </c>
      <c r="AK51" s="134">
        <f>VLOOKUP($AE51,'Carotid Endarterectomy'!$A:$AA,27,FALSE)</f>
        <v>14</v>
      </c>
    </row>
    <row r="52" spans="31:37" x14ac:dyDescent="0.25">
      <c r="AE52" s="43" t="s">
        <v>19</v>
      </c>
      <c r="AF52" s="43" t="s">
        <v>20</v>
      </c>
      <c r="AG52" s="43">
        <v>51</v>
      </c>
      <c r="AH52" s="134">
        <f>VLOOKUP($AE52,'Carotid Endarterectomy'!$A:$AA,24,FALSE)</f>
        <v>14</v>
      </c>
      <c r="AI52" s="134">
        <f>VLOOKUP($AE52,'Carotid Endarterectomy'!$A:$AA,25,FALSE)</f>
        <v>6</v>
      </c>
      <c r="AJ52" s="134">
        <f>VLOOKUP($AE52,'Carotid Endarterectomy'!$A:$AA,26,FALSE)</f>
        <v>20</v>
      </c>
      <c r="AK52" s="134">
        <f>VLOOKUP($AE52,'Carotid Endarterectomy'!$A:$AA,27,FALSE)</f>
        <v>14</v>
      </c>
    </row>
    <row r="53" spans="31:37" x14ac:dyDescent="0.25">
      <c r="AE53" s="43" t="s">
        <v>23</v>
      </c>
      <c r="AF53" s="43" t="s">
        <v>24</v>
      </c>
      <c r="AG53" s="43">
        <v>52</v>
      </c>
      <c r="AH53" s="134">
        <f>VLOOKUP($AE53,'Carotid Endarterectomy'!$A:$AA,24,FALSE)</f>
        <v>14</v>
      </c>
      <c r="AI53" s="134">
        <f>VLOOKUP($AE53,'Carotid Endarterectomy'!$A:$AA,25,FALSE)</f>
        <v>4</v>
      </c>
      <c r="AJ53" s="134">
        <f>VLOOKUP($AE53,'Carotid Endarterectomy'!$A:$AA,26,FALSE)</f>
        <v>5</v>
      </c>
      <c r="AK53" s="134">
        <f>VLOOKUP($AE53,'Carotid Endarterectomy'!$A:$AA,27,FALSE)</f>
        <v>14</v>
      </c>
    </row>
    <row r="54" spans="31:37" x14ac:dyDescent="0.25">
      <c r="AE54" s="43" t="s">
        <v>17</v>
      </c>
      <c r="AF54" s="43" t="s">
        <v>18</v>
      </c>
      <c r="AG54" s="43">
        <v>53</v>
      </c>
      <c r="AH54" s="134">
        <f>VLOOKUP($AE54,'Carotid Endarterectomy'!$A:$AA,24,FALSE)</f>
        <v>14</v>
      </c>
      <c r="AI54" s="134">
        <f>VLOOKUP($AE54,'Carotid Endarterectomy'!$A:$AA,25,FALSE)</f>
        <v>4</v>
      </c>
      <c r="AJ54" s="134">
        <f>VLOOKUP($AE54,'Carotid Endarterectomy'!$A:$AA,26,FALSE)</f>
        <v>5</v>
      </c>
      <c r="AK54" s="134">
        <f>VLOOKUP($AE54,'Carotid Endarterectomy'!$A:$AA,27,FALSE)</f>
        <v>14</v>
      </c>
    </row>
    <row r="55" spans="31:37" x14ac:dyDescent="0.25">
      <c r="AE55" s="43" t="s">
        <v>54</v>
      </c>
      <c r="AF55" s="43" t="s">
        <v>55</v>
      </c>
      <c r="AG55" s="43">
        <v>54</v>
      </c>
      <c r="AH55" s="134">
        <f>VLOOKUP($AE55,'Carotid Endarterectomy'!$A:$AA,24,FALSE)</f>
        <v>14</v>
      </c>
      <c r="AI55" s="134">
        <f>VLOOKUP($AE55,'Carotid Endarterectomy'!$A:$AA,25,FALSE)</f>
        <v>4</v>
      </c>
      <c r="AJ55" s="134">
        <f>VLOOKUP($AE55,'Carotid Endarterectomy'!$A:$AA,26,FALSE)</f>
        <v>12</v>
      </c>
      <c r="AK55" s="134">
        <f>VLOOKUP($AE55,'Carotid Endarterectomy'!$A:$AA,27,FALSE)</f>
        <v>14</v>
      </c>
    </row>
    <row r="56" spans="31:37" x14ac:dyDescent="0.25">
      <c r="AE56" s="43" t="s">
        <v>0</v>
      </c>
      <c r="AF56" s="43" t="s">
        <v>1</v>
      </c>
      <c r="AG56" s="43">
        <v>55</v>
      </c>
      <c r="AH56" s="134">
        <f>VLOOKUP($AE56,'Carotid Endarterectomy'!$A:$AA,24,FALSE)</f>
        <v>14</v>
      </c>
      <c r="AI56" s="134">
        <f>VLOOKUP($AE56,'Carotid Endarterectomy'!$A:$AA,25,FALSE)</f>
        <v>4</v>
      </c>
      <c r="AJ56" s="134">
        <f>VLOOKUP($AE56,'Carotid Endarterectomy'!$A:$AA,26,FALSE)</f>
        <v>14</v>
      </c>
      <c r="AK56" s="134">
        <f>VLOOKUP($AE56,'Carotid Endarterectomy'!$A:$AA,27,FALSE)</f>
        <v>14</v>
      </c>
    </row>
    <row r="57" spans="31:37" x14ac:dyDescent="0.25">
      <c r="AE57" s="43" t="s">
        <v>77</v>
      </c>
      <c r="AF57" s="43" t="s">
        <v>78</v>
      </c>
      <c r="AG57" s="43">
        <v>56</v>
      </c>
      <c r="AH57" s="134">
        <f>VLOOKUP($AE57,'Carotid Endarterectomy'!$A:$AA,24,FALSE)</f>
        <v>14</v>
      </c>
      <c r="AI57" s="134">
        <f>VLOOKUP($AE57,'Carotid Endarterectomy'!$A:$AA,25,FALSE)</f>
        <v>4</v>
      </c>
      <c r="AJ57" s="134">
        <f>VLOOKUP($AE57,'Carotid Endarterectomy'!$A:$AA,26,FALSE)</f>
        <v>22</v>
      </c>
      <c r="AK57" s="134">
        <f>VLOOKUP($AE57,'Carotid Endarterectomy'!$A:$AA,27,FALSE)</f>
        <v>14</v>
      </c>
    </row>
    <row r="58" spans="31:37" x14ac:dyDescent="0.25">
      <c r="AE58" s="43" t="s">
        <v>122</v>
      </c>
      <c r="AF58" s="43" t="s">
        <v>123</v>
      </c>
      <c r="AG58" s="43">
        <v>57</v>
      </c>
      <c r="AH58" s="134">
        <f>VLOOKUP($AE58,'Carotid Endarterectomy'!$A:$AA,24,FALSE)</f>
        <v>14</v>
      </c>
      <c r="AI58" s="134">
        <f>VLOOKUP($AE58,'Carotid Endarterectomy'!$A:$AA,25,FALSE)</f>
        <v>3</v>
      </c>
      <c r="AJ58" s="134">
        <f>VLOOKUP($AE58,'Carotid Endarterectomy'!$A:$AA,26,FALSE)</f>
        <v>9</v>
      </c>
      <c r="AK58" s="134">
        <f>VLOOKUP($AE58,'Carotid Endarterectomy'!$A:$AA,27,FALSE)</f>
        <v>14</v>
      </c>
    </row>
    <row r="59" spans="31:37" x14ac:dyDescent="0.25">
      <c r="AE59" s="43" t="s">
        <v>158</v>
      </c>
      <c r="AF59" s="43" t="s">
        <v>159</v>
      </c>
      <c r="AG59" s="43">
        <v>58</v>
      </c>
      <c r="AH59" s="134">
        <f>VLOOKUP($AE59,'Carotid Endarterectomy'!$A:$AA,24,FALSE)</f>
        <v>15</v>
      </c>
      <c r="AI59" s="134">
        <f>VLOOKUP($AE59,'Carotid Endarterectomy'!$A:$AA,25,FALSE)</f>
        <v>9</v>
      </c>
      <c r="AJ59" s="134">
        <f>VLOOKUP($AE59,'Carotid Endarterectomy'!$A:$AA,26,FALSE)</f>
        <v>23</v>
      </c>
      <c r="AK59" s="134">
        <f>VLOOKUP($AE59,'Carotid Endarterectomy'!$A:$AA,27,FALSE)</f>
        <v>14</v>
      </c>
    </row>
    <row r="60" spans="31:37" x14ac:dyDescent="0.25">
      <c r="AE60" s="43" t="s">
        <v>180</v>
      </c>
      <c r="AF60" s="43" t="s">
        <v>181</v>
      </c>
      <c r="AG60" s="43">
        <v>59</v>
      </c>
      <c r="AH60" s="134">
        <f>VLOOKUP($AE60,'Carotid Endarterectomy'!$A:$AA,24,FALSE)</f>
        <v>15</v>
      </c>
      <c r="AI60" s="134">
        <f>VLOOKUP($AE60,'Carotid Endarterectomy'!$A:$AA,25,FALSE)</f>
        <v>6</v>
      </c>
      <c r="AJ60" s="134">
        <f>VLOOKUP($AE60,'Carotid Endarterectomy'!$A:$AA,26,FALSE)</f>
        <v>14</v>
      </c>
      <c r="AK60" s="134">
        <f>VLOOKUP($AE60,'Carotid Endarterectomy'!$A:$AA,27,FALSE)</f>
        <v>14</v>
      </c>
    </row>
    <row r="61" spans="31:37" x14ac:dyDescent="0.25">
      <c r="AE61" s="43" t="s">
        <v>107</v>
      </c>
      <c r="AF61" s="43" t="s">
        <v>108</v>
      </c>
      <c r="AG61" s="43">
        <v>60</v>
      </c>
      <c r="AH61" s="134">
        <f>VLOOKUP($AE61,'Carotid Endarterectomy'!$A:$AA,24,FALSE)</f>
        <v>15</v>
      </c>
      <c r="AI61" s="134">
        <f>VLOOKUP($AE61,'Carotid Endarterectomy'!$A:$AA,25,FALSE)</f>
        <v>5</v>
      </c>
      <c r="AJ61" s="134">
        <f>VLOOKUP($AE61,'Carotid Endarterectomy'!$A:$AA,26,FALSE)</f>
        <v>15</v>
      </c>
      <c r="AK61" s="134">
        <f>VLOOKUP($AE61,'Carotid Endarterectomy'!$A:$AA,27,FALSE)</f>
        <v>14</v>
      </c>
    </row>
    <row r="62" spans="31:37" x14ac:dyDescent="0.25">
      <c r="AE62" s="43" t="s">
        <v>113</v>
      </c>
      <c r="AF62" s="43" t="s">
        <v>114</v>
      </c>
      <c r="AG62" s="43">
        <v>61</v>
      </c>
      <c r="AH62" s="134">
        <f>VLOOKUP($AE62,'Carotid Endarterectomy'!$A:$AA,24,FALSE)</f>
        <v>16</v>
      </c>
      <c r="AI62" s="134">
        <f>VLOOKUP($AE62,'Carotid Endarterectomy'!$A:$AA,25,FALSE)</f>
        <v>7</v>
      </c>
      <c r="AJ62" s="134">
        <f>VLOOKUP($AE62,'Carotid Endarterectomy'!$A:$AA,26,FALSE)</f>
        <v>9</v>
      </c>
      <c r="AK62" s="134">
        <f>VLOOKUP($AE62,'Carotid Endarterectomy'!$A:$AA,27,FALSE)</f>
        <v>14</v>
      </c>
    </row>
    <row r="63" spans="31:37" x14ac:dyDescent="0.25">
      <c r="AE63" s="43" t="s">
        <v>76</v>
      </c>
      <c r="AF63" s="43" t="s">
        <v>214</v>
      </c>
      <c r="AG63" s="43">
        <v>62</v>
      </c>
      <c r="AH63" s="134">
        <f>VLOOKUP($AE63,'Carotid Endarterectomy'!$A:$AA,24,FALSE)</f>
        <v>16</v>
      </c>
      <c r="AI63" s="134">
        <f>VLOOKUP($AE63,'Carotid Endarterectomy'!$A:$AA,25,FALSE)</f>
        <v>7</v>
      </c>
      <c r="AJ63" s="134">
        <f>VLOOKUP($AE63,'Carotid Endarterectomy'!$A:$AA,26,FALSE)</f>
        <v>25</v>
      </c>
      <c r="AK63" s="134">
        <f>VLOOKUP($AE63,'Carotid Endarterectomy'!$A:$AA,27,FALSE)</f>
        <v>14</v>
      </c>
    </row>
    <row r="64" spans="31:37" x14ac:dyDescent="0.25">
      <c r="AE64" s="43" t="s">
        <v>72</v>
      </c>
      <c r="AF64" s="43" t="s">
        <v>73</v>
      </c>
      <c r="AG64" s="43">
        <v>63</v>
      </c>
      <c r="AH64" s="134">
        <f>VLOOKUP($AE64,'Carotid Endarterectomy'!$A:$AA,24,FALSE)</f>
        <v>16</v>
      </c>
      <c r="AI64" s="134">
        <f>VLOOKUP($AE64,'Carotid Endarterectomy'!$A:$AA,25,FALSE)</f>
        <v>5</v>
      </c>
      <c r="AJ64" s="134">
        <f>VLOOKUP($AE64,'Carotid Endarterectomy'!$A:$AA,26,FALSE)</f>
        <v>16</v>
      </c>
      <c r="AK64" s="134">
        <f>VLOOKUP($AE64,'Carotid Endarterectomy'!$A:$AA,27,FALSE)</f>
        <v>14</v>
      </c>
    </row>
    <row r="65" spans="31:37" x14ac:dyDescent="0.25">
      <c r="AE65" s="43" t="s">
        <v>174</v>
      </c>
      <c r="AF65" s="43" t="s">
        <v>175</v>
      </c>
      <c r="AG65" s="43">
        <v>64</v>
      </c>
      <c r="AH65" s="134">
        <f>VLOOKUP($AE65,'Carotid Endarterectomy'!$A:$AA,24,FALSE)</f>
        <v>17</v>
      </c>
      <c r="AI65" s="134">
        <f>VLOOKUP($AE65,'Carotid Endarterectomy'!$A:$AA,25,FALSE)</f>
        <v>5</v>
      </c>
      <c r="AJ65" s="134">
        <f>VLOOKUP($AE65,'Carotid Endarterectomy'!$A:$AA,26,FALSE)</f>
        <v>8</v>
      </c>
      <c r="AK65" s="134">
        <f>VLOOKUP($AE65,'Carotid Endarterectomy'!$A:$AA,27,FALSE)</f>
        <v>14</v>
      </c>
    </row>
    <row r="66" spans="31:37" x14ac:dyDescent="0.25">
      <c r="AE66" s="43" t="s">
        <v>99</v>
      </c>
      <c r="AF66" s="43" t="s">
        <v>100</v>
      </c>
      <c r="AG66" s="43">
        <v>65</v>
      </c>
      <c r="AH66" s="134">
        <f>VLOOKUP($AE66,'Carotid Endarterectomy'!$A:$AA,24,FALSE)</f>
        <v>17</v>
      </c>
      <c r="AI66" s="134">
        <f>VLOOKUP($AE66,'Carotid Endarterectomy'!$A:$AA,25,FALSE)</f>
        <v>5</v>
      </c>
      <c r="AJ66" s="134">
        <f>VLOOKUP($AE66,'Carotid Endarterectomy'!$A:$AA,26,FALSE)</f>
        <v>18</v>
      </c>
      <c r="AK66" s="134">
        <f>VLOOKUP($AE66,'Carotid Endarterectomy'!$A:$AA,27,FALSE)</f>
        <v>14</v>
      </c>
    </row>
    <row r="67" spans="31:37" x14ac:dyDescent="0.25">
      <c r="AE67" s="43" t="s">
        <v>39</v>
      </c>
      <c r="AF67" s="43" t="s">
        <v>215</v>
      </c>
      <c r="AG67" s="43">
        <v>66</v>
      </c>
      <c r="AH67" s="134">
        <f>VLOOKUP($AE67,'Carotid Endarterectomy'!$A:$AA,24,FALSE)</f>
        <v>18</v>
      </c>
      <c r="AI67" s="134">
        <f>VLOOKUP($AE67,'Carotid Endarterectomy'!$A:$AA,25,FALSE)</f>
        <v>9</v>
      </c>
      <c r="AJ67" s="134">
        <f>VLOOKUP($AE67,'Carotid Endarterectomy'!$A:$AA,26,FALSE)</f>
        <v>15</v>
      </c>
      <c r="AK67" s="134">
        <f>VLOOKUP($AE67,'Carotid Endarterectomy'!$A:$AA,27,FALSE)</f>
        <v>14</v>
      </c>
    </row>
    <row r="68" spans="31:37" x14ac:dyDescent="0.25">
      <c r="AE68" s="43" t="s">
        <v>46</v>
      </c>
      <c r="AF68" s="43" t="s">
        <v>619</v>
      </c>
      <c r="AG68" s="43">
        <v>67</v>
      </c>
      <c r="AH68" s="134">
        <f>VLOOKUP($AE68,'Carotid Endarterectomy'!$A:$AA,24,FALSE)</f>
        <v>19</v>
      </c>
      <c r="AI68" s="134">
        <f>VLOOKUP($AE68,'Carotid Endarterectomy'!$A:$AA,25,FALSE)</f>
        <v>7</v>
      </c>
      <c r="AJ68" s="134">
        <f>VLOOKUP($AE68,'Carotid Endarterectomy'!$A:$AA,26,FALSE)</f>
        <v>10</v>
      </c>
      <c r="AK68" s="134">
        <f>VLOOKUP($AE68,'Carotid Endarterectomy'!$A:$AA,27,FALSE)</f>
        <v>14</v>
      </c>
    </row>
    <row r="69" spans="31:37" x14ac:dyDescent="0.25">
      <c r="AE69" s="43" t="s">
        <v>48</v>
      </c>
      <c r="AF69" s="43" t="s">
        <v>613</v>
      </c>
      <c r="AG69" s="43">
        <v>68</v>
      </c>
      <c r="AH69" s="134">
        <f>VLOOKUP($AE69,'Carotid Endarterectomy'!$A:$AA,24,FALSE)</f>
        <v>19</v>
      </c>
      <c r="AI69" s="134">
        <f>VLOOKUP($AE69,'Carotid Endarterectomy'!$A:$AA,25,FALSE)</f>
        <v>5</v>
      </c>
      <c r="AJ69" s="134">
        <f>VLOOKUP($AE69,'Carotid Endarterectomy'!$A:$AA,26,FALSE)</f>
        <v>5</v>
      </c>
      <c r="AK69" s="134">
        <f>VLOOKUP($AE69,'Carotid Endarterectomy'!$A:$AA,27,FALSE)</f>
        <v>14</v>
      </c>
    </row>
    <row r="70" spans="31:37" x14ac:dyDescent="0.25">
      <c r="AE70" s="43" t="s">
        <v>130</v>
      </c>
      <c r="AF70" s="43" t="s">
        <v>618</v>
      </c>
      <c r="AG70" s="43">
        <v>69</v>
      </c>
      <c r="AH70" s="134">
        <f>VLOOKUP($AE70,'Carotid Endarterectomy'!$A:$AA,24,FALSE)</f>
        <v>21</v>
      </c>
      <c r="AI70" s="134">
        <f>VLOOKUP($AE70,'Carotid Endarterectomy'!$A:$AA,25,FALSE)</f>
        <v>11</v>
      </c>
      <c r="AJ70" s="134">
        <f>VLOOKUP($AE70,'Carotid Endarterectomy'!$A:$AA,26,FALSE)</f>
        <v>22</v>
      </c>
      <c r="AK70" s="134">
        <f>VLOOKUP($AE70,'Carotid Endarterectomy'!$A:$AA,27,FALSE)</f>
        <v>14</v>
      </c>
    </row>
    <row r="71" spans="31:37" x14ac:dyDescent="0.25">
      <c r="AE71" s="43" t="s">
        <v>95</v>
      </c>
      <c r="AF71" s="43" t="s">
        <v>96</v>
      </c>
      <c r="AG71" s="43">
        <v>70</v>
      </c>
      <c r="AH71" s="134">
        <f>VLOOKUP($AE71,'Carotid Endarterectomy'!$A:$AA,24,FALSE)</f>
        <v>22</v>
      </c>
      <c r="AI71" s="134">
        <f>VLOOKUP($AE71,'Carotid Endarterectomy'!$A:$AA,25,FALSE)</f>
        <v>11</v>
      </c>
      <c r="AJ71" s="134">
        <f>VLOOKUP($AE71,'Carotid Endarterectomy'!$A:$AA,26,FALSE)</f>
        <v>5</v>
      </c>
      <c r="AK71" s="134">
        <f>VLOOKUP($AE71,'Carotid Endarterectomy'!$A:$AA,27,FALSE)</f>
        <v>14</v>
      </c>
    </row>
    <row r="72" spans="31:37" x14ac:dyDescent="0.25">
      <c r="AE72" s="43" t="s">
        <v>150</v>
      </c>
      <c r="AF72" s="43" t="s">
        <v>151</v>
      </c>
      <c r="AG72" s="43">
        <v>71</v>
      </c>
      <c r="AH72" s="134">
        <f>VLOOKUP($AE72,'Carotid Endarterectomy'!$A:$AA,24,FALSE)</f>
        <v>23</v>
      </c>
      <c r="AI72" s="134">
        <f>VLOOKUP($AE72,'Carotid Endarterectomy'!$A:$AA,25,FALSE)</f>
        <v>10</v>
      </c>
      <c r="AJ72" s="134">
        <f>VLOOKUP($AE72,'Carotid Endarterectomy'!$A:$AA,26,FALSE)</f>
        <v>14</v>
      </c>
      <c r="AK72" s="134">
        <f>VLOOKUP($AE72,'Carotid Endarterectomy'!$A:$AA,27,FALSE)</f>
        <v>14</v>
      </c>
    </row>
    <row r="73" spans="31:37" x14ac:dyDescent="0.25">
      <c r="AE73" s="43" t="s">
        <v>166</v>
      </c>
      <c r="AF73" s="43" t="s">
        <v>167</v>
      </c>
      <c r="AG73" s="43">
        <v>72</v>
      </c>
      <c r="AH73" s="134">
        <f>VLOOKUP($AE73,'Carotid Endarterectomy'!$A:$AA,24,FALSE)</f>
        <v>24</v>
      </c>
      <c r="AI73" s="134">
        <f>VLOOKUP($AE73,'Carotid Endarterectomy'!$A:$AA,25,FALSE)</f>
        <v>9</v>
      </c>
      <c r="AJ73" s="134">
        <f>VLOOKUP($AE73,'Carotid Endarterectomy'!$A:$AA,26,FALSE)</f>
        <v>23</v>
      </c>
      <c r="AK73" s="134">
        <f>VLOOKUP($AE73,'Carotid Endarterectomy'!$A:$AA,27,FALSE)</f>
        <v>14</v>
      </c>
    </row>
    <row r="74" spans="31:37" x14ac:dyDescent="0.25">
      <c r="AE74" s="43" t="s">
        <v>60</v>
      </c>
      <c r="AF74" s="43" t="s">
        <v>61</v>
      </c>
      <c r="AG74" s="43">
        <v>73</v>
      </c>
      <c r="AH74" s="134">
        <f>VLOOKUP($AE74,'Carotid Endarterectomy'!$A:$AA,24,FALSE)</f>
        <v>30</v>
      </c>
      <c r="AI74" s="134">
        <f>VLOOKUP($AE74,'Carotid Endarterectomy'!$A:$AA,25,FALSE)</f>
        <v>10</v>
      </c>
      <c r="AJ74" s="134">
        <f>VLOOKUP($AE74,'Carotid Endarterectomy'!$A:$AA,26,FALSE)</f>
        <v>17</v>
      </c>
      <c r="AK74" s="134">
        <f>VLOOKUP($AE74,'Carotid Endarterectomy'!$A:$AA,27,FALSE)</f>
        <v>14</v>
      </c>
    </row>
  </sheetData>
  <mergeCells count="1">
    <mergeCell ref="B30:C3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'Carotid Endarterectomy'!$B$2:$B$76</xm:f>
          </x14:formula1>
          <xm:sqref>B1</xm:sqref>
        </x14:dataValidation>
        <x14:dataValidation type="list" allowBlank="1" showInputMessage="1" showErrorMessage="1">
          <x14:formula1>
            <xm:f>'Carotid Endarterectomy'!$G$1:$H$1</xm:f>
          </x14:formula1>
          <xm:sqref>O3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6" workbookViewId="0">
      <selection activeCell="G48" sqref="G48"/>
    </sheetView>
  </sheetViews>
  <sheetFormatPr defaultRowHeight="15" x14ac:dyDescent="0.25"/>
  <cols>
    <col min="1" max="3" width="9.140625" style="93"/>
    <col min="4" max="4" width="9.140625" style="40"/>
    <col min="5" max="5" width="9.140625" style="93"/>
  </cols>
  <sheetData>
    <row r="1" spans="1:7" x14ac:dyDescent="0.25">
      <c r="A1" s="40" t="s">
        <v>415</v>
      </c>
      <c r="B1" s="40" t="s">
        <v>416</v>
      </c>
      <c r="C1" s="40" t="s">
        <v>418</v>
      </c>
      <c r="D1" s="40" t="s">
        <v>419</v>
      </c>
      <c r="E1" s="40" t="s">
        <v>611</v>
      </c>
      <c r="F1" s="40" t="s">
        <v>1077</v>
      </c>
      <c r="G1" s="40" t="s">
        <v>1078</v>
      </c>
    </row>
    <row r="2" spans="1:7" x14ac:dyDescent="0.25">
      <c r="A2" s="40" t="s">
        <v>417</v>
      </c>
      <c r="B2" s="40">
        <v>0</v>
      </c>
      <c r="C2" s="40">
        <v>40</v>
      </c>
      <c r="D2" s="40">
        <v>1.9</v>
      </c>
      <c r="E2" s="40"/>
      <c r="F2">
        <v>40</v>
      </c>
    </row>
    <row r="3" spans="1:7" x14ac:dyDescent="0.25">
      <c r="A3" s="40" t="s">
        <v>417</v>
      </c>
      <c r="B3" s="40">
        <v>9</v>
      </c>
      <c r="C3" s="40">
        <v>32.899019999999993</v>
      </c>
      <c r="D3" s="40">
        <v>1.9</v>
      </c>
      <c r="E3" s="40"/>
      <c r="F3">
        <v>21.25807</v>
      </c>
    </row>
    <row r="4" spans="1:7" x14ac:dyDescent="0.25">
      <c r="A4" s="40" t="s">
        <v>417</v>
      </c>
      <c r="B4" s="40">
        <v>12</v>
      </c>
      <c r="C4" s="40">
        <v>27.355199999999996</v>
      </c>
      <c r="D4" s="40">
        <v>1.9</v>
      </c>
      <c r="E4" s="40"/>
      <c r="F4">
        <v>16.50751</v>
      </c>
    </row>
    <row r="5" spans="1:7" x14ac:dyDescent="0.25">
      <c r="A5" s="40" t="s">
        <v>417</v>
      </c>
      <c r="B5" s="40">
        <v>21</v>
      </c>
      <c r="C5" s="40">
        <v>18.781390000000002</v>
      </c>
      <c r="D5" s="40">
        <v>1.9</v>
      </c>
      <c r="E5" s="40"/>
      <c r="F5">
        <v>12.71264</v>
      </c>
    </row>
    <row r="6" spans="1:7" x14ac:dyDescent="0.25">
      <c r="A6" s="40" t="s">
        <v>417</v>
      </c>
      <c r="B6" s="40">
        <v>22</v>
      </c>
      <c r="C6" s="40">
        <v>18.034949999999995</v>
      </c>
      <c r="D6" s="40">
        <v>1.9</v>
      </c>
      <c r="E6" s="40"/>
      <c r="F6">
        <v>12.32551</v>
      </c>
    </row>
    <row r="7" spans="1:7" x14ac:dyDescent="0.25">
      <c r="A7" s="40" t="s">
        <v>417</v>
      </c>
      <c r="B7" s="40">
        <v>32</v>
      </c>
      <c r="C7" s="40">
        <v>14.903059999999996</v>
      </c>
      <c r="D7" s="40">
        <v>1.9</v>
      </c>
      <c r="E7" s="40"/>
      <c r="F7">
        <v>9.3211949999999995</v>
      </c>
    </row>
    <row r="8" spans="1:7" x14ac:dyDescent="0.25">
      <c r="A8" s="40" t="s">
        <v>417</v>
      </c>
      <c r="B8" s="40">
        <v>45</v>
      </c>
      <c r="C8" s="40">
        <v>12.149829999999994</v>
      </c>
      <c r="D8" s="40">
        <v>1.9</v>
      </c>
      <c r="E8" s="40"/>
      <c r="F8">
        <v>8.1837250000000008</v>
      </c>
    </row>
    <row r="9" spans="1:7" x14ac:dyDescent="0.25">
      <c r="A9" s="40" t="s">
        <v>417</v>
      </c>
      <c r="B9" s="40">
        <v>48</v>
      </c>
      <c r="C9" s="40">
        <v>11.761030000000005</v>
      </c>
      <c r="D9" s="40">
        <v>1.9</v>
      </c>
      <c r="E9" s="40"/>
      <c r="F9">
        <v>7.8680560000000002</v>
      </c>
    </row>
    <row r="10" spans="1:7" x14ac:dyDescent="0.25">
      <c r="A10" s="40" t="s">
        <v>417</v>
      </c>
      <c r="B10" s="40">
        <v>54</v>
      </c>
      <c r="C10" s="40">
        <v>10.873940000000005</v>
      </c>
      <c r="D10" s="40">
        <v>1.9</v>
      </c>
      <c r="E10" s="40"/>
      <c r="F10">
        <v>7.2696909999999999</v>
      </c>
    </row>
    <row r="11" spans="1:7" x14ac:dyDescent="0.25">
      <c r="A11" s="40" t="s">
        <v>417</v>
      </c>
      <c r="B11" s="40">
        <v>58</v>
      </c>
      <c r="C11" s="40">
        <v>10.291079999999994</v>
      </c>
      <c r="D11" s="40">
        <v>1.9</v>
      </c>
      <c r="E11" s="40"/>
      <c r="F11">
        <v>6.9345030000000003</v>
      </c>
    </row>
    <row r="12" spans="1:7" x14ac:dyDescent="0.25">
      <c r="A12" s="40" t="s">
        <v>417</v>
      </c>
      <c r="B12" s="40">
        <v>62</v>
      </c>
      <c r="C12" s="40">
        <v>10.036850000000001</v>
      </c>
      <c r="D12" s="40">
        <v>1.9</v>
      </c>
      <c r="E12" s="40"/>
      <c r="F12">
        <v>6.8780049999999999</v>
      </c>
    </row>
    <row r="13" spans="1:7" x14ac:dyDescent="0.25">
      <c r="A13" s="40" t="s">
        <v>417</v>
      </c>
      <c r="B13" s="40">
        <v>64</v>
      </c>
      <c r="C13" s="40">
        <v>9.9557850000000059</v>
      </c>
      <c r="D13" s="40">
        <v>1.9</v>
      </c>
      <c r="E13" s="40"/>
      <c r="F13">
        <v>6.8194980000000003</v>
      </c>
    </row>
    <row r="14" spans="1:7" x14ac:dyDescent="0.25">
      <c r="A14" s="40" t="s">
        <v>417</v>
      </c>
      <c r="B14" s="40">
        <v>67</v>
      </c>
      <c r="C14" s="40">
        <v>9.775156999999993</v>
      </c>
      <c r="D14" s="40">
        <v>1.9</v>
      </c>
      <c r="E14" s="40"/>
      <c r="F14">
        <v>6.7082959999999998</v>
      </c>
    </row>
    <row r="15" spans="1:7" x14ac:dyDescent="0.25">
      <c r="A15" s="40" t="s">
        <v>417</v>
      </c>
      <c r="B15" s="40">
        <v>68</v>
      </c>
      <c r="C15" s="40">
        <v>9.7043100000000067</v>
      </c>
      <c r="D15" s="40">
        <v>1.9</v>
      </c>
      <c r="E15" s="40"/>
      <c r="F15">
        <v>6.666779</v>
      </c>
    </row>
    <row r="16" spans="1:7" x14ac:dyDescent="0.25">
      <c r="A16" s="40" t="s">
        <v>417</v>
      </c>
      <c r="B16" s="40">
        <v>79</v>
      </c>
      <c r="C16" s="40">
        <v>8.8002419999999972</v>
      </c>
      <c r="D16" s="40">
        <v>1.9</v>
      </c>
      <c r="E16" s="40"/>
      <c r="F16">
        <v>6.1511769999999997</v>
      </c>
    </row>
    <row r="17" spans="1:6" x14ac:dyDescent="0.25">
      <c r="A17" s="40" t="s">
        <v>417</v>
      </c>
      <c r="B17" s="40">
        <v>80</v>
      </c>
      <c r="C17" s="40">
        <v>8.7162919999999957</v>
      </c>
      <c r="D17" s="40">
        <v>1.9</v>
      </c>
      <c r="E17" s="40"/>
      <c r="F17">
        <v>6.1030680000000004</v>
      </c>
    </row>
    <row r="18" spans="1:6" x14ac:dyDescent="0.25">
      <c r="A18" s="40" t="s">
        <v>417</v>
      </c>
      <c r="B18" s="40">
        <v>85</v>
      </c>
      <c r="C18" s="40">
        <v>8.5614419999999996</v>
      </c>
      <c r="D18" s="40">
        <v>1.9</v>
      </c>
      <c r="E18" s="40"/>
      <c r="F18">
        <v>5.866854</v>
      </c>
    </row>
    <row r="19" spans="1:6" x14ac:dyDescent="0.25">
      <c r="A19" s="40" t="s">
        <v>417</v>
      </c>
      <c r="B19" s="40">
        <v>89</v>
      </c>
      <c r="C19" s="40">
        <v>8.4339410000000044</v>
      </c>
      <c r="D19" s="40">
        <v>1.9</v>
      </c>
      <c r="E19" s="40"/>
      <c r="F19">
        <v>5.8205600000000004</v>
      </c>
    </row>
    <row r="20" spans="1:6" x14ac:dyDescent="0.25">
      <c r="A20" s="40" t="s">
        <v>417</v>
      </c>
      <c r="B20" s="40">
        <v>90</v>
      </c>
      <c r="C20" s="40">
        <v>8.3930660000000046</v>
      </c>
      <c r="D20" s="40">
        <v>1.9</v>
      </c>
      <c r="E20" s="40"/>
      <c r="F20">
        <v>5.8101929999999999</v>
      </c>
    </row>
    <row r="21" spans="1:6" x14ac:dyDescent="0.25">
      <c r="A21" s="40" t="s">
        <v>417</v>
      </c>
      <c r="B21" s="40">
        <v>95</v>
      </c>
      <c r="C21" s="40">
        <v>8.1563069999999982</v>
      </c>
      <c r="D21" s="40">
        <v>1.9</v>
      </c>
      <c r="E21" s="40"/>
      <c r="F21">
        <v>5.7286720000000004</v>
      </c>
    </row>
    <row r="22" spans="1:6" x14ac:dyDescent="0.25">
      <c r="A22" s="40" t="s">
        <v>417</v>
      </c>
      <c r="B22" s="40">
        <v>101</v>
      </c>
      <c r="C22" s="40">
        <v>7.8360650000000049</v>
      </c>
      <c r="D22" s="40">
        <v>1.9</v>
      </c>
      <c r="E22" s="40"/>
      <c r="F22">
        <v>5.588889</v>
      </c>
    </row>
    <row r="23" spans="1:6" x14ac:dyDescent="0.25">
      <c r="A23" s="40" t="s">
        <v>417</v>
      </c>
      <c r="B23" s="40">
        <v>103</v>
      </c>
      <c r="C23" s="40">
        <v>7.726579000000001</v>
      </c>
      <c r="D23" s="40">
        <v>1.9</v>
      </c>
      <c r="E23" s="40"/>
      <c r="F23">
        <v>5.536492</v>
      </c>
    </row>
    <row r="24" spans="1:6" x14ac:dyDescent="0.25">
      <c r="A24" s="40" t="s">
        <v>417</v>
      </c>
      <c r="B24" s="40">
        <v>104</v>
      </c>
      <c r="C24" s="40">
        <v>7.6718180000000018</v>
      </c>
      <c r="D24" s="40">
        <v>1.9</v>
      </c>
      <c r="E24" s="40"/>
      <c r="F24">
        <v>5.5096049999999996</v>
      </c>
    </row>
    <row r="25" spans="1:6" x14ac:dyDescent="0.25">
      <c r="A25" s="40" t="s">
        <v>417</v>
      </c>
      <c r="B25" s="40">
        <v>105</v>
      </c>
      <c r="C25" s="40">
        <v>7.6171499999999952</v>
      </c>
      <c r="D25" s="40">
        <v>1.9</v>
      </c>
      <c r="E25" s="40"/>
      <c r="F25">
        <v>5.4823500000000003</v>
      </c>
    </row>
    <row r="26" spans="1:6" x14ac:dyDescent="0.25">
      <c r="A26" s="40" t="s">
        <v>417</v>
      </c>
      <c r="B26" s="40">
        <v>111</v>
      </c>
      <c r="C26" s="40">
        <v>7.549270000000007</v>
      </c>
      <c r="D26" s="40">
        <v>1.9</v>
      </c>
      <c r="E26" s="40"/>
      <c r="F26">
        <v>5.3141720000000001</v>
      </c>
    </row>
    <row r="27" spans="1:6" x14ac:dyDescent="0.25">
      <c r="A27" s="40" t="s">
        <v>417</v>
      </c>
      <c r="B27" s="40">
        <v>112</v>
      </c>
      <c r="C27" s="40">
        <v>7.5275939999999935</v>
      </c>
      <c r="D27" s="40">
        <v>1.9</v>
      </c>
      <c r="E27" s="40"/>
      <c r="F27">
        <v>5.2857810000000001</v>
      </c>
    </row>
    <row r="28" spans="1:6" x14ac:dyDescent="0.25">
      <c r="A28" s="40" t="s">
        <v>417</v>
      </c>
      <c r="B28" s="40">
        <v>114</v>
      </c>
      <c r="C28" s="40">
        <v>7.4774790000000024</v>
      </c>
      <c r="D28" s="40">
        <v>1.9</v>
      </c>
      <c r="E28" s="40"/>
      <c r="F28">
        <v>5.228999</v>
      </c>
    </row>
    <row r="29" spans="1:6" x14ac:dyDescent="0.25">
      <c r="A29" s="40" t="s">
        <v>417</v>
      </c>
      <c r="B29" s="40">
        <v>121</v>
      </c>
      <c r="C29" s="40">
        <v>7.2539960000000008</v>
      </c>
      <c r="D29" s="40">
        <v>1.9</v>
      </c>
      <c r="E29" s="40"/>
      <c r="F29">
        <v>5.1542329999999996</v>
      </c>
    </row>
    <row r="30" spans="1:6" x14ac:dyDescent="0.25">
      <c r="A30" s="40" t="s">
        <v>417</v>
      </c>
      <c r="B30" s="40">
        <v>122</v>
      </c>
      <c r="C30" s="40">
        <v>7.2181700000000006</v>
      </c>
      <c r="D30" s="40">
        <v>1.9</v>
      </c>
      <c r="E30" s="40"/>
      <c r="F30">
        <v>5.1463710000000003</v>
      </c>
    </row>
    <row r="31" spans="1:6" x14ac:dyDescent="0.25">
      <c r="A31" s="40" t="s">
        <v>417</v>
      </c>
      <c r="B31" s="40">
        <v>125</v>
      </c>
      <c r="C31" s="40">
        <v>7.1074480000000051</v>
      </c>
      <c r="D31" s="40">
        <v>1.9</v>
      </c>
      <c r="E31" s="40"/>
      <c r="F31">
        <v>5.1162830000000001</v>
      </c>
    </row>
    <row r="32" spans="1:6" x14ac:dyDescent="0.25">
      <c r="A32" s="40" t="s">
        <v>417</v>
      </c>
      <c r="B32" s="40">
        <v>126</v>
      </c>
      <c r="C32" s="40">
        <v>7.069745999999995</v>
      </c>
      <c r="D32" s="40">
        <v>1.9</v>
      </c>
      <c r="E32" s="40"/>
      <c r="F32">
        <v>5.1043830000000003</v>
      </c>
    </row>
    <row r="33" spans="1:6" x14ac:dyDescent="0.25">
      <c r="A33" s="40" t="s">
        <v>417</v>
      </c>
      <c r="B33" s="40">
        <v>128</v>
      </c>
      <c r="C33" s="40">
        <v>6.9935870000000051</v>
      </c>
      <c r="D33" s="40">
        <v>1.9</v>
      </c>
      <c r="E33" s="40"/>
      <c r="F33">
        <v>5.0782470000000002</v>
      </c>
    </row>
    <row r="34" spans="1:6" x14ac:dyDescent="0.25">
      <c r="A34" s="40" t="s">
        <v>417</v>
      </c>
      <c r="B34" s="40">
        <v>131</v>
      </c>
      <c r="C34" s="40">
        <v>6.9004439999999931</v>
      </c>
      <c r="D34" s="40">
        <v>1.9</v>
      </c>
      <c r="E34" s="40"/>
      <c r="F34">
        <v>5.0341800000000001</v>
      </c>
    </row>
    <row r="35" spans="1:6" x14ac:dyDescent="0.25">
      <c r="A35" s="40" t="s">
        <v>417</v>
      </c>
      <c r="B35" s="40">
        <v>132</v>
      </c>
      <c r="C35" s="40">
        <v>6.8983240000000023</v>
      </c>
      <c r="D35" s="40">
        <v>1.9</v>
      </c>
      <c r="E35" s="40"/>
      <c r="F35">
        <v>5.0184230000000003</v>
      </c>
    </row>
    <row r="36" spans="1:6" x14ac:dyDescent="0.25">
      <c r="A36" s="40" t="s">
        <v>417</v>
      </c>
      <c r="B36" s="40">
        <v>133</v>
      </c>
      <c r="C36" s="40">
        <v>6.8934059999999988</v>
      </c>
      <c r="D36" s="40">
        <v>1.9</v>
      </c>
      <c r="E36" s="40"/>
      <c r="F36">
        <v>5.0022149999999996</v>
      </c>
    </row>
    <row r="37" spans="1:6" x14ac:dyDescent="0.25">
      <c r="A37" s="40" t="s">
        <v>417</v>
      </c>
      <c r="B37" s="40">
        <v>134</v>
      </c>
      <c r="C37" s="40">
        <v>6.8859479999999991</v>
      </c>
      <c r="D37" s="40">
        <v>1.9</v>
      </c>
      <c r="E37" s="40"/>
      <c r="F37">
        <v>4.9856009999999999</v>
      </c>
    </row>
    <row r="38" spans="1:6" x14ac:dyDescent="0.25">
      <c r="A38" s="40" t="s">
        <v>417</v>
      </c>
      <c r="B38" s="40">
        <v>135</v>
      </c>
      <c r="C38" s="40">
        <v>6.876182</v>
      </c>
      <c r="D38" s="40">
        <v>1.9</v>
      </c>
      <c r="E38" s="40"/>
      <c r="F38">
        <v>4.9686219999999999</v>
      </c>
    </row>
    <row r="39" spans="1:6" x14ac:dyDescent="0.25">
      <c r="A39" s="40" t="s">
        <v>417</v>
      </c>
      <c r="B39" s="40">
        <v>139</v>
      </c>
      <c r="C39" s="40">
        <v>6.8180540000000036</v>
      </c>
      <c r="D39" s="40">
        <v>1.9</v>
      </c>
      <c r="E39" s="40"/>
      <c r="F39">
        <v>4.8977820000000003</v>
      </c>
    </row>
    <row r="40" spans="1:6" x14ac:dyDescent="0.25">
      <c r="A40" s="40" t="s">
        <v>417</v>
      </c>
      <c r="B40" s="40">
        <v>140</v>
      </c>
      <c r="C40" s="40">
        <v>6.7996119999999962</v>
      </c>
      <c r="D40" s="40">
        <v>1.9</v>
      </c>
      <c r="E40" s="40"/>
      <c r="F40">
        <v>4.8795000000000002</v>
      </c>
    </row>
    <row r="41" spans="1:6" x14ac:dyDescent="0.25">
      <c r="A41" s="40" t="s">
        <v>417</v>
      </c>
      <c r="B41" s="40">
        <v>142</v>
      </c>
      <c r="C41" s="40">
        <v>6.7590390000000014</v>
      </c>
      <c r="D41" s="40">
        <v>1.9</v>
      </c>
      <c r="E41" s="40"/>
      <c r="F41">
        <v>4.8424399999999999</v>
      </c>
    </row>
    <row r="42" spans="1:6" x14ac:dyDescent="0.25">
      <c r="A42" s="40" t="s">
        <v>417</v>
      </c>
      <c r="B42" s="40">
        <v>143</v>
      </c>
      <c r="C42" s="40">
        <v>6.7371490000000023</v>
      </c>
      <c r="D42" s="40">
        <v>1.9</v>
      </c>
      <c r="E42" s="40"/>
      <c r="F42">
        <v>4.823709</v>
      </c>
    </row>
    <row r="43" spans="1:6" x14ac:dyDescent="0.25">
      <c r="A43" s="40" t="s">
        <v>417</v>
      </c>
      <c r="B43" s="40">
        <v>144</v>
      </c>
      <c r="C43" s="40">
        <v>6.7143310000000014</v>
      </c>
      <c r="D43" s="40">
        <v>1.9</v>
      </c>
      <c r="E43" s="40"/>
      <c r="F43">
        <v>4.8048729999999997</v>
      </c>
    </row>
    <row r="44" spans="1:6" x14ac:dyDescent="0.25">
      <c r="A44" s="40" t="s">
        <v>417</v>
      </c>
      <c r="B44" s="40">
        <v>147</v>
      </c>
      <c r="C44" s="40">
        <v>6.6412430000000029</v>
      </c>
      <c r="D44" s="40">
        <v>1.9</v>
      </c>
      <c r="E44" s="40"/>
      <c r="F44">
        <v>4.7479189999999996</v>
      </c>
    </row>
    <row r="45" spans="1:6" x14ac:dyDescent="0.25">
      <c r="A45" s="40" t="s">
        <v>417</v>
      </c>
      <c r="B45" s="40">
        <v>152</v>
      </c>
      <c r="C45" s="40">
        <v>6.508459000000002</v>
      </c>
      <c r="D45" s="40">
        <v>1.9</v>
      </c>
      <c r="E45" s="40"/>
      <c r="F45">
        <v>4.7207280000000003</v>
      </c>
    </row>
    <row r="46" spans="1:6" x14ac:dyDescent="0.25">
      <c r="A46" s="40" t="s">
        <v>417</v>
      </c>
      <c r="B46" s="40">
        <v>154</v>
      </c>
      <c r="C46" s="40">
        <v>6.452887000000004</v>
      </c>
      <c r="D46" s="40">
        <v>1.9</v>
      </c>
      <c r="E46" s="40"/>
      <c r="F46">
        <v>4.7118000000000002</v>
      </c>
    </row>
    <row r="47" spans="1:6" x14ac:dyDescent="0.25">
      <c r="A47" s="40" t="s">
        <v>417</v>
      </c>
      <c r="B47" s="40">
        <v>156</v>
      </c>
      <c r="C47" s="40">
        <v>6.3964569999999981</v>
      </c>
      <c r="D47" s="40">
        <v>1.9</v>
      </c>
      <c r="E47" s="40"/>
      <c r="F47">
        <v>4.6998220000000002</v>
      </c>
    </row>
    <row r="48" spans="1:6" x14ac:dyDescent="0.25">
      <c r="A48" s="40" t="s">
        <v>417</v>
      </c>
      <c r="B48" s="40">
        <v>165</v>
      </c>
      <c r="C48" s="40">
        <v>6.315804</v>
      </c>
      <c r="D48" s="40">
        <v>1.9</v>
      </c>
      <c r="E48" s="40"/>
      <c r="F48">
        <v>4.6180890000000003</v>
      </c>
    </row>
    <row r="49" spans="1:7" x14ac:dyDescent="0.25">
      <c r="A49" s="40" t="s">
        <v>417</v>
      </c>
      <c r="B49" s="40">
        <v>172</v>
      </c>
      <c r="C49" s="40">
        <v>6.2103450000000038</v>
      </c>
      <c r="D49" s="40">
        <v>1.9</v>
      </c>
      <c r="E49" s="40"/>
      <c r="F49">
        <v>4.5343920000000004</v>
      </c>
    </row>
    <row r="50" spans="1:7" x14ac:dyDescent="0.25">
      <c r="A50" s="40" t="s">
        <v>417</v>
      </c>
      <c r="B50" s="40">
        <v>177</v>
      </c>
      <c r="C50" s="40">
        <v>6.1154219999999953</v>
      </c>
      <c r="D50" s="40">
        <v>1.9</v>
      </c>
      <c r="E50" s="40"/>
      <c r="F50">
        <v>4.4687789999999996</v>
      </c>
    </row>
    <row r="51" spans="1:7" x14ac:dyDescent="0.25">
      <c r="A51" s="40" t="s">
        <v>417</v>
      </c>
      <c r="B51" s="40">
        <v>180</v>
      </c>
      <c r="C51" s="40">
        <v>6.0537350000000032</v>
      </c>
      <c r="D51" s="40">
        <v>1.9</v>
      </c>
      <c r="E51" s="40"/>
      <c r="F51">
        <v>4.4280379999999999</v>
      </c>
    </row>
    <row r="52" spans="1:7" x14ac:dyDescent="0.25">
      <c r="A52" s="40" t="s">
        <v>417</v>
      </c>
      <c r="B52" s="40">
        <v>181</v>
      </c>
      <c r="C52" s="40">
        <v>6.0326120000000003</v>
      </c>
      <c r="D52" s="40">
        <v>1.9</v>
      </c>
      <c r="E52" s="40"/>
      <c r="F52">
        <v>4.4143030000000003</v>
      </c>
    </row>
    <row r="53" spans="1:7" x14ac:dyDescent="0.25">
      <c r="A53" s="40" t="s">
        <v>417</v>
      </c>
      <c r="B53" s="40">
        <v>183</v>
      </c>
      <c r="C53" s="40">
        <v>5.9897069999999957</v>
      </c>
      <c r="D53" s="40">
        <v>1.9</v>
      </c>
      <c r="E53" s="40"/>
      <c r="F53">
        <v>4.4065690000000002</v>
      </c>
    </row>
    <row r="54" spans="1:7" x14ac:dyDescent="0.25">
      <c r="A54" s="40" t="s">
        <v>417</v>
      </c>
      <c r="B54" s="40">
        <v>186</v>
      </c>
      <c r="C54" s="40">
        <v>5.9462500000000063</v>
      </c>
      <c r="D54" s="40">
        <v>1.9</v>
      </c>
      <c r="E54" s="40"/>
      <c r="F54">
        <v>4.4010850000000001</v>
      </c>
    </row>
    <row r="55" spans="1:7" x14ac:dyDescent="0.25">
      <c r="A55" s="40" t="s">
        <v>417</v>
      </c>
      <c r="B55" s="40">
        <v>190</v>
      </c>
      <c r="C55" s="40">
        <v>5.932029</v>
      </c>
      <c r="D55" s="40">
        <v>1.9</v>
      </c>
      <c r="E55" s="40"/>
      <c r="F55">
        <v>4.3857189999999999</v>
      </c>
    </row>
    <row r="56" spans="1:7" x14ac:dyDescent="0.25">
      <c r="A56" s="40" t="s">
        <v>417</v>
      </c>
      <c r="B56" s="40">
        <v>203</v>
      </c>
      <c r="C56" s="40">
        <v>5.7880109999999974</v>
      </c>
      <c r="D56" s="40">
        <v>1.9</v>
      </c>
      <c r="E56" s="40"/>
      <c r="F56">
        <v>4.2929510000000004</v>
      </c>
      <c r="G56">
        <v>3.5156399999999997E-2</v>
      </c>
    </row>
    <row r="57" spans="1:7" x14ac:dyDescent="0.25">
      <c r="A57" s="40" t="s">
        <v>417</v>
      </c>
      <c r="B57" s="40">
        <v>209</v>
      </c>
      <c r="C57" s="40">
        <v>5.693608999999995</v>
      </c>
      <c r="D57" s="40">
        <v>1.9</v>
      </c>
      <c r="E57" s="40"/>
      <c r="F57">
        <v>4.2367010000000001</v>
      </c>
      <c r="G57">
        <v>5.16883E-2</v>
      </c>
    </row>
    <row r="58" spans="1:7" x14ac:dyDescent="0.25">
      <c r="A58" s="40" t="s">
        <v>417</v>
      </c>
      <c r="B58" s="40">
        <v>222</v>
      </c>
      <c r="C58" s="40">
        <v>5.5821949999999987</v>
      </c>
      <c r="D58" s="40">
        <v>1.9</v>
      </c>
      <c r="E58" s="40"/>
      <c r="F58">
        <v>4.1568430000000003</v>
      </c>
      <c r="G58">
        <v>8.8667800000000005E-2</v>
      </c>
    </row>
    <row r="59" spans="1:7" x14ac:dyDescent="0.25">
      <c r="A59" s="40" t="s">
        <v>417</v>
      </c>
      <c r="B59" s="40">
        <v>230</v>
      </c>
      <c r="C59" s="40">
        <v>5.5099479999999943</v>
      </c>
      <c r="D59" s="40">
        <v>1.9</v>
      </c>
      <c r="E59" s="40"/>
      <c r="F59">
        <v>4.1253869999999999</v>
      </c>
      <c r="G59">
        <v>0.1126795</v>
      </c>
    </row>
    <row r="60" spans="1:7" x14ac:dyDescent="0.25">
      <c r="A60" s="40" t="s">
        <v>417</v>
      </c>
      <c r="B60" s="40">
        <v>235</v>
      </c>
      <c r="C60" s="40">
        <v>5.4512050000000016</v>
      </c>
      <c r="D60" s="40">
        <v>1.9</v>
      </c>
      <c r="E60" s="40"/>
      <c r="F60">
        <v>4.0968549999999997</v>
      </c>
      <c r="G60">
        <v>0.12834719999999999</v>
      </c>
    </row>
    <row r="61" spans="1:7" x14ac:dyDescent="0.25">
      <c r="A61" s="40" t="s">
        <v>417</v>
      </c>
      <c r="B61" s="40">
        <v>242</v>
      </c>
      <c r="C61" s="40">
        <v>5.3583320000000043</v>
      </c>
      <c r="D61" s="40">
        <v>1.9</v>
      </c>
      <c r="E61" s="40"/>
      <c r="F61">
        <v>4.0490890000000004</v>
      </c>
      <c r="G61">
        <v>0.1513148</v>
      </c>
    </row>
    <row r="62" spans="1:7" x14ac:dyDescent="0.25">
      <c r="A62" s="40" t="s">
        <v>417</v>
      </c>
      <c r="B62" s="40">
        <v>244</v>
      </c>
      <c r="C62" s="40">
        <v>5.3347009999999955</v>
      </c>
      <c r="D62" s="40">
        <v>1.9</v>
      </c>
      <c r="E62" s="40"/>
      <c r="F62">
        <v>4.0341829999999996</v>
      </c>
      <c r="G62">
        <v>0.15812609999999999</v>
      </c>
    </row>
    <row r="63" spans="1:7" x14ac:dyDescent="0.25">
      <c r="A63" s="40" t="s">
        <v>417</v>
      </c>
      <c r="B63" s="40">
        <v>250</v>
      </c>
      <c r="C63" s="40">
        <v>5.321280999999999</v>
      </c>
      <c r="D63" s="40">
        <v>1.9</v>
      </c>
      <c r="E63" s="40"/>
      <c r="F63">
        <v>3.9870489999999998</v>
      </c>
      <c r="G63">
        <v>0.17930670000000001</v>
      </c>
    </row>
    <row r="64" spans="1:7" x14ac:dyDescent="0.25">
      <c r="A64" s="40" t="s">
        <v>417</v>
      </c>
      <c r="B64" s="40">
        <v>256</v>
      </c>
      <c r="C64" s="40">
        <v>5.2859629999999953</v>
      </c>
      <c r="D64" s="40">
        <v>1.9</v>
      </c>
      <c r="E64" s="40"/>
      <c r="F64">
        <v>3.970453</v>
      </c>
      <c r="G64">
        <v>0.20172799999999999</v>
      </c>
    </row>
    <row r="65" spans="1:7" x14ac:dyDescent="0.25">
      <c r="A65" s="40" t="s">
        <v>417</v>
      </c>
      <c r="B65" s="40">
        <v>263</v>
      </c>
      <c r="C65" s="40">
        <v>5.2260200000000054</v>
      </c>
      <c r="D65" s="40">
        <v>1.9</v>
      </c>
      <c r="E65" s="40"/>
      <c r="F65">
        <v>3.9532500000000002</v>
      </c>
      <c r="G65">
        <v>0.22967209999999999</v>
      </c>
    </row>
    <row r="66" spans="1:7" x14ac:dyDescent="0.25">
      <c r="A66" s="40" t="s">
        <v>417</v>
      </c>
      <c r="B66" s="40">
        <v>266</v>
      </c>
      <c r="C66" s="40">
        <v>5.1959679999999935</v>
      </c>
      <c r="D66" s="40">
        <v>1.9</v>
      </c>
      <c r="E66" s="40"/>
      <c r="F66">
        <v>3.9421300000000001</v>
      </c>
      <c r="G66">
        <v>0.24230099999999999</v>
      </c>
    </row>
    <row r="67" spans="1:7" x14ac:dyDescent="0.25">
      <c r="A67" s="40" t="s">
        <v>417</v>
      </c>
      <c r="B67" s="40">
        <v>271</v>
      </c>
      <c r="C67" s="40">
        <v>5.1417560000000009</v>
      </c>
      <c r="D67" s="40">
        <v>1.9</v>
      </c>
      <c r="E67" s="40"/>
      <c r="F67">
        <v>3.919699</v>
      </c>
      <c r="G67">
        <v>0.2643047</v>
      </c>
    </row>
    <row r="68" spans="1:7" x14ac:dyDescent="0.25">
      <c r="A68" s="40" t="s">
        <v>417</v>
      </c>
      <c r="B68" s="40">
        <v>272</v>
      </c>
      <c r="C68" s="40">
        <v>5.1304159999999968</v>
      </c>
      <c r="D68" s="40">
        <v>1.9</v>
      </c>
      <c r="E68" s="40"/>
      <c r="F68">
        <v>3.9147110000000001</v>
      </c>
      <c r="G68">
        <v>0.26885680000000001</v>
      </c>
    </row>
    <row r="69" spans="1:7" x14ac:dyDescent="0.25">
      <c r="A69" s="40" t="s">
        <v>417</v>
      </c>
      <c r="B69" s="40">
        <v>283</v>
      </c>
      <c r="C69" s="40">
        <v>5.083636999999996</v>
      </c>
      <c r="D69" s="40">
        <v>1.9</v>
      </c>
      <c r="E69" s="40"/>
      <c r="F69">
        <v>3.8515730000000001</v>
      </c>
      <c r="G69">
        <v>0.32261420000000002</v>
      </c>
    </row>
    <row r="70" spans="1:7" x14ac:dyDescent="0.25">
      <c r="A70" s="40" t="s">
        <v>417</v>
      </c>
      <c r="B70" s="40">
        <v>290</v>
      </c>
      <c r="C70" s="40">
        <v>5.0428619999999995</v>
      </c>
      <c r="D70" s="40">
        <v>1.9</v>
      </c>
      <c r="E70" s="40"/>
      <c r="F70">
        <v>3.8185889999999998</v>
      </c>
      <c r="G70">
        <v>0.35045189999999998</v>
      </c>
    </row>
    <row r="71" spans="1:7" x14ac:dyDescent="0.25">
      <c r="A71" s="40" t="s">
        <v>417</v>
      </c>
      <c r="B71" s="40">
        <v>321</v>
      </c>
      <c r="C71" s="40">
        <v>4.8594989999999996</v>
      </c>
      <c r="D71" s="40">
        <v>1.9</v>
      </c>
      <c r="E71" s="40"/>
      <c r="F71">
        <v>3.7131750000000001</v>
      </c>
      <c r="G71">
        <v>0.39658169999999998</v>
      </c>
    </row>
    <row r="72" spans="1:7" x14ac:dyDescent="0.25">
      <c r="A72" s="40" t="s">
        <v>417</v>
      </c>
      <c r="B72" s="40">
        <v>322</v>
      </c>
      <c r="C72" s="40">
        <v>4.8536830000000037</v>
      </c>
      <c r="D72" s="40">
        <v>1.9</v>
      </c>
      <c r="E72" s="40"/>
      <c r="F72">
        <v>3.7079010000000001</v>
      </c>
      <c r="G72">
        <v>0.39840330000000002</v>
      </c>
    </row>
    <row r="73" spans="1:7" x14ac:dyDescent="0.25">
      <c r="A73" s="40" t="s">
        <v>417</v>
      </c>
      <c r="B73" s="40">
        <v>332</v>
      </c>
      <c r="C73" s="40">
        <v>4.7843270000000047</v>
      </c>
      <c r="D73" s="40">
        <v>1.9</v>
      </c>
      <c r="E73" s="40"/>
      <c r="F73">
        <v>3.686436</v>
      </c>
      <c r="G73">
        <v>0.41805179999999997</v>
      </c>
    </row>
    <row r="74" spans="1:7" x14ac:dyDescent="0.25">
      <c r="A74" s="40" t="s">
        <v>417</v>
      </c>
      <c r="B74" s="40">
        <v>409</v>
      </c>
      <c r="C74" s="40">
        <v>4.4576990000000052</v>
      </c>
      <c r="D74" s="40">
        <v>1.9</v>
      </c>
      <c r="E74" s="40">
        <v>5.4777299999997808E-2</v>
      </c>
      <c r="F74">
        <v>3.4868809999999999</v>
      </c>
      <c r="G74">
        <v>0.57183459999999997</v>
      </c>
    </row>
    <row r="75" spans="1:7" x14ac:dyDescent="0.25">
      <c r="A75" s="40" t="s">
        <v>417</v>
      </c>
      <c r="B75" s="40">
        <v>427</v>
      </c>
      <c r="C75" s="40">
        <v>4.3989210000000014</v>
      </c>
      <c r="D75" s="40">
        <v>1.9</v>
      </c>
      <c r="E75" s="40">
        <v>8.2965099999995573E-2</v>
      </c>
      <c r="F75">
        <v>3.450793</v>
      </c>
      <c r="G75">
        <v>0.60086430000000002</v>
      </c>
    </row>
    <row r="76" spans="1:7" x14ac:dyDescent="0.25">
      <c r="A76" s="40" t="s">
        <v>417</v>
      </c>
      <c r="B76" s="40">
        <v>453</v>
      </c>
      <c r="C76" s="40">
        <v>4.3200649999999996</v>
      </c>
      <c r="D76" s="40">
        <v>1.9</v>
      </c>
      <c r="E76" s="40">
        <v>0.13839860000000215</v>
      </c>
      <c r="F76">
        <v>3.401319</v>
      </c>
      <c r="G76">
        <v>0.6607035</v>
      </c>
    </row>
    <row r="77" spans="1:7" x14ac:dyDescent="0.25">
      <c r="A77" s="40" t="s">
        <v>417</v>
      </c>
      <c r="B77" s="40">
        <v>475</v>
      </c>
      <c r="C77" s="40">
        <v>4.2427880000000044</v>
      </c>
      <c r="D77" s="40">
        <v>1.9</v>
      </c>
      <c r="E77" s="40">
        <v>0.20494060000000047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2" workbookViewId="0">
      <selection activeCell="A3" sqref="A3"/>
    </sheetView>
  </sheetViews>
  <sheetFormatPr defaultRowHeight="15" x14ac:dyDescent="0.25"/>
  <cols>
    <col min="1" max="1" width="10.42578125" bestFit="1" customWidth="1"/>
    <col min="2" max="2" width="9.7109375" bestFit="1" customWidth="1"/>
    <col min="3" max="3" width="15.42578125" bestFit="1" customWidth="1"/>
  </cols>
  <sheetData>
    <row r="1" spans="1:3" x14ac:dyDescent="0.25">
      <c r="A1" t="s">
        <v>420</v>
      </c>
      <c r="B1" t="s">
        <v>421</v>
      </c>
      <c r="C1" t="s">
        <v>422</v>
      </c>
    </row>
    <row r="2" spans="1:3" x14ac:dyDescent="0.25">
      <c r="A2" t="s">
        <v>0</v>
      </c>
      <c r="B2">
        <v>79</v>
      </c>
      <c r="C2">
        <v>4.4000000000000004</v>
      </c>
    </row>
    <row r="3" spans="1:3" x14ac:dyDescent="0.25">
      <c r="A3" t="s">
        <v>4</v>
      </c>
      <c r="B3">
        <v>271</v>
      </c>
      <c r="C3">
        <v>2.6</v>
      </c>
    </row>
    <row r="4" spans="1:3" x14ac:dyDescent="0.25">
      <c r="A4" t="s">
        <v>5</v>
      </c>
      <c r="B4">
        <v>22</v>
      </c>
      <c r="C4">
        <v>0</v>
      </c>
    </row>
    <row r="5" spans="1:3" x14ac:dyDescent="0.25">
      <c r="A5" t="s">
        <v>7</v>
      </c>
      <c r="B5">
        <v>64</v>
      </c>
      <c r="C5">
        <v>1.4</v>
      </c>
    </row>
    <row r="6" spans="1:3" x14ac:dyDescent="0.25">
      <c r="A6" t="s">
        <v>9</v>
      </c>
      <c r="B6">
        <v>139</v>
      </c>
      <c r="C6">
        <v>3.4</v>
      </c>
    </row>
    <row r="7" spans="1:3" x14ac:dyDescent="0.25">
      <c r="A7" t="s">
        <v>11</v>
      </c>
      <c r="B7">
        <v>427</v>
      </c>
      <c r="C7">
        <v>1.7</v>
      </c>
    </row>
    <row r="8" spans="1:3" x14ac:dyDescent="0.25">
      <c r="A8" t="s">
        <v>13</v>
      </c>
      <c r="B8">
        <v>89</v>
      </c>
      <c r="C8">
        <v>5</v>
      </c>
    </row>
    <row r="9" spans="1:3" x14ac:dyDescent="0.25">
      <c r="A9" t="s">
        <v>15</v>
      </c>
      <c r="B9">
        <v>126</v>
      </c>
      <c r="C9">
        <v>4.7</v>
      </c>
    </row>
    <row r="10" spans="1:3" x14ac:dyDescent="0.25">
      <c r="A10" t="s">
        <v>17</v>
      </c>
      <c r="B10">
        <v>32</v>
      </c>
      <c r="C10">
        <v>0</v>
      </c>
    </row>
    <row r="11" spans="1:3" x14ac:dyDescent="0.25">
      <c r="A11" t="s">
        <v>19</v>
      </c>
      <c r="B11">
        <v>121</v>
      </c>
      <c r="C11">
        <v>0</v>
      </c>
    </row>
    <row r="12" spans="1:3" x14ac:dyDescent="0.25">
      <c r="A12" t="s">
        <v>21</v>
      </c>
      <c r="B12">
        <v>90</v>
      </c>
      <c r="C12">
        <v>1</v>
      </c>
    </row>
    <row r="13" spans="1:3" x14ac:dyDescent="0.25">
      <c r="A13" t="s">
        <v>23</v>
      </c>
      <c r="B13">
        <v>67</v>
      </c>
      <c r="C13">
        <v>2.6</v>
      </c>
    </row>
    <row r="14" spans="1:3" x14ac:dyDescent="0.25">
      <c r="A14" t="s">
        <v>25</v>
      </c>
      <c r="B14">
        <v>230</v>
      </c>
      <c r="C14">
        <v>1.3</v>
      </c>
    </row>
    <row r="15" spans="1:3" x14ac:dyDescent="0.25">
      <c r="A15" t="s">
        <v>33</v>
      </c>
      <c r="B15">
        <v>125</v>
      </c>
      <c r="C15">
        <v>2.2000000000000002</v>
      </c>
    </row>
    <row r="16" spans="1:3" x14ac:dyDescent="0.25">
      <c r="A16" t="s">
        <v>35</v>
      </c>
      <c r="B16">
        <v>332</v>
      </c>
      <c r="C16">
        <v>2.5</v>
      </c>
    </row>
    <row r="17" spans="1:3" x14ac:dyDescent="0.25">
      <c r="A17" t="s">
        <v>37</v>
      </c>
      <c r="B17">
        <v>62</v>
      </c>
      <c r="C17">
        <v>2.9</v>
      </c>
    </row>
    <row r="18" spans="1:3" x14ac:dyDescent="0.25">
      <c r="A18" t="s">
        <v>39</v>
      </c>
      <c r="B18">
        <v>203</v>
      </c>
      <c r="C18">
        <v>2.5</v>
      </c>
    </row>
    <row r="19" spans="1:3" x14ac:dyDescent="0.25">
      <c r="A19" t="s">
        <v>40</v>
      </c>
      <c r="B19">
        <v>131</v>
      </c>
      <c r="C19">
        <v>1.5</v>
      </c>
    </row>
    <row r="20" spans="1:3" x14ac:dyDescent="0.25">
      <c r="A20" t="s">
        <v>42</v>
      </c>
      <c r="B20">
        <v>147</v>
      </c>
      <c r="C20">
        <v>0.8</v>
      </c>
    </row>
    <row r="21" spans="1:3" x14ac:dyDescent="0.25">
      <c r="A21" t="s">
        <v>44</v>
      </c>
      <c r="B21">
        <v>134</v>
      </c>
      <c r="C21">
        <v>2.1</v>
      </c>
    </row>
    <row r="22" spans="1:3" x14ac:dyDescent="0.25">
      <c r="A22" t="s">
        <v>46</v>
      </c>
      <c r="B22">
        <v>322</v>
      </c>
      <c r="C22">
        <v>2.2999999999999998</v>
      </c>
    </row>
    <row r="23" spans="1:3" x14ac:dyDescent="0.25">
      <c r="A23" t="s">
        <v>48</v>
      </c>
      <c r="B23">
        <v>122</v>
      </c>
      <c r="C23">
        <v>2</v>
      </c>
    </row>
    <row r="24" spans="1:3" x14ac:dyDescent="0.25">
      <c r="A24" t="s">
        <v>54</v>
      </c>
      <c r="B24">
        <v>263</v>
      </c>
      <c r="C24">
        <v>0.4</v>
      </c>
    </row>
    <row r="25" spans="1:3" x14ac:dyDescent="0.25">
      <c r="A25" t="s">
        <v>56</v>
      </c>
      <c r="B25">
        <v>105</v>
      </c>
      <c r="C25">
        <v>1.2</v>
      </c>
    </row>
    <row r="26" spans="1:3" x14ac:dyDescent="0.25">
      <c r="A26" t="s">
        <v>58</v>
      </c>
      <c r="B26">
        <v>244</v>
      </c>
      <c r="C26">
        <v>1.3</v>
      </c>
    </row>
    <row r="27" spans="1:3" x14ac:dyDescent="0.25">
      <c r="A27" t="s">
        <v>60</v>
      </c>
      <c r="B27">
        <v>85</v>
      </c>
      <c r="C27">
        <v>2.8</v>
      </c>
    </row>
    <row r="28" spans="1:3" x14ac:dyDescent="0.25">
      <c r="A28" t="s">
        <v>66</v>
      </c>
      <c r="B28">
        <v>180</v>
      </c>
      <c r="C28">
        <v>2.6</v>
      </c>
    </row>
    <row r="29" spans="1:3" x14ac:dyDescent="0.25">
      <c r="A29" t="s">
        <v>68</v>
      </c>
      <c r="B29">
        <v>156</v>
      </c>
      <c r="C29">
        <v>1.2</v>
      </c>
    </row>
    <row r="30" spans="1:3" x14ac:dyDescent="0.25">
      <c r="A30" t="s">
        <v>70</v>
      </c>
      <c r="B30">
        <v>181</v>
      </c>
      <c r="C30">
        <v>2.5</v>
      </c>
    </row>
    <row r="31" spans="1:3" x14ac:dyDescent="0.25">
      <c r="A31" t="s">
        <v>72</v>
      </c>
      <c r="B31">
        <v>272</v>
      </c>
      <c r="C31">
        <v>0.7</v>
      </c>
    </row>
    <row r="32" spans="1:3" x14ac:dyDescent="0.25">
      <c r="A32" t="s">
        <v>74</v>
      </c>
      <c r="B32">
        <v>256</v>
      </c>
      <c r="C32">
        <v>0.9</v>
      </c>
    </row>
    <row r="33" spans="1:3" x14ac:dyDescent="0.25">
      <c r="A33" t="s">
        <v>76</v>
      </c>
      <c r="B33">
        <v>183</v>
      </c>
      <c r="C33">
        <v>1.2</v>
      </c>
    </row>
    <row r="34" spans="1:3" x14ac:dyDescent="0.25">
      <c r="A34" t="s">
        <v>77</v>
      </c>
      <c r="B34">
        <v>156</v>
      </c>
      <c r="C34">
        <v>0.7</v>
      </c>
    </row>
    <row r="35" spans="1:3" x14ac:dyDescent="0.25">
      <c r="A35" t="s">
        <v>81</v>
      </c>
      <c r="B35">
        <v>111</v>
      </c>
      <c r="C35">
        <v>0.9</v>
      </c>
    </row>
    <row r="36" spans="1:3" x14ac:dyDescent="0.25">
      <c r="A36" t="s">
        <v>83</v>
      </c>
      <c r="B36">
        <v>222</v>
      </c>
      <c r="C36">
        <v>2.4</v>
      </c>
    </row>
    <row r="37" spans="1:3" x14ac:dyDescent="0.25">
      <c r="A37" t="s">
        <v>87</v>
      </c>
      <c r="B37">
        <v>165</v>
      </c>
      <c r="C37">
        <v>1.9</v>
      </c>
    </row>
    <row r="38" spans="1:3" x14ac:dyDescent="0.25">
      <c r="A38" t="s">
        <v>89</v>
      </c>
      <c r="B38">
        <v>103</v>
      </c>
      <c r="C38">
        <v>0.9</v>
      </c>
    </row>
    <row r="39" spans="1:3" x14ac:dyDescent="0.25">
      <c r="A39" t="s">
        <v>91</v>
      </c>
      <c r="B39">
        <v>140</v>
      </c>
      <c r="C39">
        <v>1.5</v>
      </c>
    </row>
    <row r="40" spans="1:3" x14ac:dyDescent="0.25">
      <c r="A40" t="s">
        <v>93</v>
      </c>
      <c r="B40">
        <v>131</v>
      </c>
      <c r="C40">
        <v>0</v>
      </c>
    </row>
    <row r="41" spans="1:3" x14ac:dyDescent="0.25">
      <c r="A41" t="s">
        <v>95</v>
      </c>
      <c r="B41">
        <v>58</v>
      </c>
      <c r="C41">
        <v>4.0999999999999996</v>
      </c>
    </row>
    <row r="42" spans="1:3" x14ac:dyDescent="0.25">
      <c r="A42" t="s">
        <v>99</v>
      </c>
      <c r="B42">
        <v>143</v>
      </c>
      <c r="C42">
        <v>2.6</v>
      </c>
    </row>
    <row r="43" spans="1:3" x14ac:dyDescent="0.25">
      <c r="A43" t="s">
        <v>105</v>
      </c>
      <c r="B43">
        <v>128</v>
      </c>
      <c r="C43">
        <v>6.4</v>
      </c>
    </row>
    <row r="44" spans="1:3" x14ac:dyDescent="0.25">
      <c r="A44" t="s">
        <v>107</v>
      </c>
      <c r="B44">
        <v>235</v>
      </c>
      <c r="C44">
        <v>0.4</v>
      </c>
    </row>
    <row r="45" spans="1:3" x14ac:dyDescent="0.25">
      <c r="A45" t="s">
        <v>109</v>
      </c>
      <c r="B45">
        <v>140</v>
      </c>
      <c r="C45">
        <v>4</v>
      </c>
    </row>
    <row r="46" spans="1:3" x14ac:dyDescent="0.25">
      <c r="A46" t="s">
        <v>111</v>
      </c>
      <c r="B46">
        <v>12</v>
      </c>
      <c r="C46">
        <v>0</v>
      </c>
    </row>
    <row r="47" spans="1:3" x14ac:dyDescent="0.25">
      <c r="A47" t="s">
        <v>113</v>
      </c>
      <c r="B47">
        <v>242</v>
      </c>
      <c r="C47">
        <v>1.3</v>
      </c>
    </row>
    <row r="48" spans="1:3" x14ac:dyDescent="0.25">
      <c r="A48" t="s">
        <v>115</v>
      </c>
      <c r="B48">
        <v>186</v>
      </c>
      <c r="C48">
        <v>2.2000000000000002</v>
      </c>
    </row>
    <row r="49" spans="1:3" x14ac:dyDescent="0.25">
      <c r="A49" t="s">
        <v>117</v>
      </c>
      <c r="B49">
        <v>114</v>
      </c>
      <c r="C49">
        <v>2.9</v>
      </c>
    </row>
    <row r="50" spans="1:3" x14ac:dyDescent="0.25">
      <c r="A50" t="s">
        <v>118</v>
      </c>
      <c r="B50">
        <v>409</v>
      </c>
      <c r="C50">
        <v>2.2999999999999998</v>
      </c>
    </row>
    <row r="51" spans="1:3" x14ac:dyDescent="0.25">
      <c r="A51" t="s">
        <v>120</v>
      </c>
      <c r="B51">
        <v>95</v>
      </c>
      <c r="C51">
        <v>2</v>
      </c>
    </row>
    <row r="52" spans="1:3" x14ac:dyDescent="0.25">
      <c r="A52" t="s">
        <v>122</v>
      </c>
      <c r="B52">
        <v>144</v>
      </c>
      <c r="C52">
        <v>1.2</v>
      </c>
    </row>
    <row r="53" spans="1:3" x14ac:dyDescent="0.25">
      <c r="A53" t="s">
        <v>124</v>
      </c>
      <c r="B53">
        <v>283</v>
      </c>
      <c r="C53">
        <v>3.2</v>
      </c>
    </row>
    <row r="54" spans="1:3" x14ac:dyDescent="0.25">
      <c r="A54" t="s">
        <v>126</v>
      </c>
      <c r="B54">
        <v>172</v>
      </c>
      <c r="C54">
        <v>2</v>
      </c>
    </row>
    <row r="55" spans="1:3" x14ac:dyDescent="0.25">
      <c r="A55" t="s">
        <v>128</v>
      </c>
      <c r="B55">
        <v>290</v>
      </c>
      <c r="C55">
        <v>1.5</v>
      </c>
    </row>
    <row r="56" spans="1:3" x14ac:dyDescent="0.25">
      <c r="A56" t="s">
        <v>130</v>
      </c>
      <c r="B56">
        <v>250</v>
      </c>
      <c r="C56">
        <v>4.0999999999999996</v>
      </c>
    </row>
    <row r="57" spans="1:3" x14ac:dyDescent="0.25">
      <c r="A57" t="s">
        <v>132</v>
      </c>
      <c r="B57">
        <v>132</v>
      </c>
      <c r="C57">
        <v>0.7</v>
      </c>
    </row>
    <row r="58" spans="1:3" x14ac:dyDescent="0.25">
      <c r="A58" t="s">
        <v>134</v>
      </c>
      <c r="B58">
        <v>209</v>
      </c>
      <c r="C58">
        <v>0.5</v>
      </c>
    </row>
    <row r="59" spans="1:3" x14ac:dyDescent="0.25">
      <c r="A59" t="s">
        <v>136</v>
      </c>
      <c r="B59">
        <v>112</v>
      </c>
      <c r="C59">
        <v>2.8</v>
      </c>
    </row>
    <row r="60" spans="1:3" x14ac:dyDescent="0.25">
      <c r="A60" t="s">
        <v>138</v>
      </c>
      <c r="B60">
        <v>135</v>
      </c>
      <c r="C60">
        <v>1.4</v>
      </c>
    </row>
    <row r="61" spans="1:3" x14ac:dyDescent="0.25">
      <c r="A61" t="s">
        <v>140</v>
      </c>
      <c r="B61">
        <v>190</v>
      </c>
      <c r="C61">
        <v>1.9</v>
      </c>
    </row>
    <row r="62" spans="1:3" x14ac:dyDescent="0.25">
      <c r="A62" t="s">
        <v>142</v>
      </c>
      <c r="B62">
        <v>126</v>
      </c>
      <c r="C62">
        <v>0.7</v>
      </c>
    </row>
    <row r="63" spans="1:3" x14ac:dyDescent="0.25">
      <c r="A63" t="s">
        <v>144</v>
      </c>
      <c r="B63">
        <v>152</v>
      </c>
      <c r="C63">
        <v>2.5</v>
      </c>
    </row>
    <row r="64" spans="1:3" x14ac:dyDescent="0.25">
      <c r="A64" t="s">
        <v>148</v>
      </c>
      <c r="B64">
        <v>134</v>
      </c>
      <c r="C64">
        <v>1</v>
      </c>
    </row>
    <row r="65" spans="1:3" x14ac:dyDescent="0.25">
      <c r="A65" t="s">
        <v>150</v>
      </c>
      <c r="B65">
        <v>266</v>
      </c>
      <c r="C65">
        <v>1.2</v>
      </c>
    </row>
    <row r="66" spans="1:3" x14ac:dyDescent="0.25">
      <c r="A66" t="s">
        <v>154</v>
      </c>
      <c r="B66">
        <v>177</v>
      </c>
      <c r="C66">
        <v>2.2999999999999998</v>
      </c>
    </row>
    <row r="67" spans="1:3" x14ac:dyDescent="0.25">
      <c r="A67" t="s">
        <v>156</v>
      </c>
      <c r="B67">
        <v>104</v>
      </c>
      <c r="C67">
        <v>2.2000000000000002</v>
      </c>
    </row>
    <row r="68" spans="1:3" x14ac:dyDescent="0.25">
      <c r="A68" t="s">
        <v>158</v>
      </c>
      <c r="B68">
        <v>154</v>
      </c>
      <c r="C68">
        <v>4.3</v>
      </c>
    </row>
    <row r="69" spans="1:3" x14ac:dyDescent="0.25">
      <c r="A69" t="s">
        <v>160</v>
      </c>
      <c r="B69">
        <v>131</v>
      </c>
      <c r="C69">
        <v>3</v>
      </c>
    </row>
    <row r="70" spans="1:3" x14ac:dyDescent="0.25">
      <c r="A70" t="s">
        <v>164</v>
      </c>
      <c r="B70">
        <v>321</v>
      </c>
      <c r="C70">
        <v>1.5</v>
      </c>
    </row>
    <row r="71" spans="1:3" x14ac:dyDescent="0.25">
      <c r="A71" t="s">
        <v>166</v>
      </c>
      <c r="B71">
        <v>80</v>
      </c>
      <c r="C71">
        <v>0</v>
      </c>
    </row>
    <row r="72" spans="1:3" x14ac:dyDescent="0.25">
      <c r="A72" t="s">
        <v>168</v>
      </c>
      <c r="B72">
        <v>133</v>
      </c>
      <c r="C72">
        <v>3.2</v>
      </c>
    </row>
    <row r="73" spans="1:3" x14ac:dyDescent="0.25">
      <c r="A73" t="s">
        <v>170</v>
      </c>
      <c r="B73">
        <v>48</v>
      </c>
      <c r="C73">
        <v>5.5</v>
      </c>
    </row>
    <row r="74" spans="1:3" x14ac:dyDescent="0.25">
      <c r="A74" t="s">
        <v>172</v>
      </c>
      <c r="B74">
        <v>142</v>
      </c>
      <c r="C74">
        <v>0.7</v>
      </c>
    </row>
    <row r="75" spans="1:3" x14ac:dyDescent="0.25">
      <c r="A75" t="s">
        <v>174</v>
      </c>
      <c r="B75">
        <v>54</v>
      </c>
      <c r="C75">
        <v>2.4</v>
      </c>
    </row>
    <row r="76" spans="1:3" x14ac:dyDescent="0.25">
      <c r="A76" t="s">
        <v>180</v>
      </c>
      <c r="B76">
        <v>453</v>
      </c>
      <c r="C76">
        <v>2.1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>
      <selection activeCell="B7" sqref="B7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0" width="20.85546875" customWidth="1"/>
    <col min="11" max="11" width="18.28515625" customWidth="1"/>
    <col min="12" max="12" width="17.42578125" customWidth="1"/>
  </cols>
  <sheetData>
    <row r="1" spans="1:16" x14ac:dyDescent="0.25">
      <c r="A1">
        <v>0</v>
      </c>
      <c r="B1" t="s">
        <v>445</v>
      </c>
      <c r="E1">
        <f t="shared" ref="E1:H5" si="0">QUARTILE(E$8:E$83,$A1)</f>
        <v>0.31</v>
      </c>
      <c r="F1">
        <f t="shared" si="0"/>
        <v>0</v>
      </c>
      <c r="G1">
        <f t="shared" si="0"/>
        <v>0.27</v>
      </c>
      <c r="H1">
        <f t="shared" si="0"/>
        <v>0.19</v>
      </c>
    </row>
    <row r="2" spans="1:16" x14ac:dyDescent="0.25">
      <c r="A2">
        <v>1</v>
      </c>
      <c r="B2" t="s">
        <v>446</v>
      </c>
      <c r="E2">
        <f t="shared" si="0"/>
        <v>0.88500000000000001</v>
      </c>
      <c r="F2">
        <f t="shared" si="0"/>
        <v>0.97</v>
      </c>
      <c r="G2">
        <f t="shared" si="0"/>
        <v>0.82</v>
      </c>
      <c r="H2">
        <f t="shared" si="0"/>
        <v>0.745</v>
      </c>
    </row>
    <row r="3" spans="1:16" x14ac:dyDescent="0.25">
      <c r="A3">
        <v>2</v>
      </c>
      <c r="B3" t="s">
        <v>447</v>
      </c>
      <c r="E3">
        <f t="shared" si="0"/>
        <v>0.95</v>
      </c>
      <c r="F3">
        <f t="shared" si="0"/>
        <v>0.99</v>
      </c>
      <c r="G3">
        <f t="shared" si="0"/>
        <v>0.91</v>
      </c>
      <c r="H3">
        <f t="shared" si="0"/>
        <v>0.91</v>
      </c>
    </row>
    <row r="4" spans="1:16" x14ac:dyDescent="0.25">
      <c r="A4">
        <v>3</v>
      </c>
      <c r="B4" t="s">
        <v>448</v>
      </c>
      <c r="E4">
        <f t="shared" si="0"/>
        <v>1</v>
      </c>
      <c r="F4">
        <f t="shared" si="0"/>
        <v>1</v>
      </c>
      <c r="G4">
        <f t="shared" si="0"/>
        <v>0.97</v>
      </c>
      <c r="H4">
        <f t="shared" si="0"/>
        <v>0.95499999999999996</v>
      </c>
    </row>
    <row r="5" spans="1:16" x14ac:dyDescent="0.25">
      <c r="A5">
        <v>4</v>
      </c>
      <c r="B5" t="s">
        <v>449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16" ht="75" x14ac:dyDescent="0.25">
      <c r="A7" s="11" t="s">
        <v>189</v>
      </c>
      <c r="B7" s="11" t="s">
        <v>183</v>
      </c>
      <c r="C7" s="10" t="s">
        <v>197</v>
      </c>
      <c r="D7" s="10" t="s">
        <v>198</v>
      </c>
      <c r="E7" s="11" t="s">
        <v>205</v>
      </c>
      <c r="F7" s="10" t="s">
        <v>199</v>
      </c>
      <c r="G7" s="10" t="s">
        <v>200</v>
      </c>
      <c r="H7" s="10" t="s">
        <v>201</v>
      </c>
      <c r="I7" s="11" t="s">
        <v>202</v>
      </c>
      <c r="J7" s="11" t="s">
        <v>203</v>
      </c>
      <c r="K7" s="11" t="s">
        <v>204</v>
      </c>
      <c r="L7" s="11" t="s">
        <v>347</v>
      </c>
      <c r="M7" s="27" t="s">
        <v>450</v>
      </c>
      <c r="N7" s="47" t="s">
        <v>451</v>
      </c>
      <c r="O7" s="47" t="s">
        <v>452</v>
      </c>
      <c r="P7" s="47" t="s">
        <v>453</v>
      </c>
    </row>
    <row r="8" spans="1:16" x14ac:dyDescent="0.25">
      <c r="A8" s="9" t="s">
        <v>9</v>
      </c>
      <c r="B8" s="4" t="s">
        <v>10</v>
      </c>
      <c r="C8" s="5">
        <v>40</v>
      </c>
      <c r="D8" s="5">
        <v>25</v>
      </c>
      <c r="E8" s="8">
        <v>0.85</v>
      </c>
      <c r="F8" s="8">
        <v>1</v>
      </c>
      <c r="G8" s="8">
        <v>0.82</v>
      </c>
      <c r="H8" s="8">
        <v>0.88</v>
      </c>
      <c r="I8" s="9" t="s">
        <v>986</v>
      </c>
      <c r="J8" s="9" t="s">
        <v>351</v>
      </c>
      <c r="K8" s="9" t="s">
        <v>254</v>
      </c>
      <c r="L8" s="19">
        <v>8.0000000000000002E-3</v>
      </c>
      <c r="M8">
        <f>+IF(E8&lt;E$2,1,IF(E8&lt;E$3,2,IF(E8&lt;E$4,3,4)))</f>
        <v>1</v>
      </c>
      <c r="N8">
        <f t="shared" ref="N8:P71" si="1">+IF(F8&lt;F$2,1,IF(F8&lt;F$3,2,IF(F8&lt;F$4,3,4)))</f>
        <v>4</v>
      </c>
      <c r="O8">
        <f t="shared" si="1"/>
        <v>2</v>
      </c>
      <c r="P8">
        <f t="shared" si="1"/>
        <v>2</v>
      </c>
    </row>
    <row r="9" spans="1:16" x14ac:dyDescent="0.25">
      <c r="A9" s="9" t="s">
        <v>120</v>
      </c>
      <c r="B9" s="4" t="s">
        <v>121</v>
      </c>
      <c r="C9" s="5">
        <v>27</v>
      </c>
      <c r="D9" s="5">
        <v>24</v>
      </c>
      <c r="E9" s="8">
        <v>1</v>
      </c>
      <c r="F9" s="8">
        <v>0.96</v>
      </c>
      <c r="G9" s="8">
        <v>0.83</v>
      </c>
      <c r="H9" s="8">
        <v>0.7</v>
      </c>
      <c r="I9" s="9" t="s">
        <v>987</v>
      </c>
      <c r="J9" s="9" t="s">
        <v>399</v>
      </c>
      <c r="K9" s="9" t="s">
        <v>243</v>
      </c>
      <c r="L9" s="19">
        <v>8.0000000000000002E-3</v>
      </c>
      <c r="M9">
        <f t="shared" ref="M9:P72" si="2">+IF(E9&lt;E$2,1,IF(E9&lt;E$3,2,IF(E9&lt;E$4,3,4)))</f>
        <v>4</v>
      </c>
      <c r="N9">
        <f t="shared" si="1"/>
        <v>1</v>
      </c>
      <c r="O9">
        <f t="shared" si="1"/>
        <v>2</v>
      </c>
      <c r="P9">
        <f t="shared" si="1"/>
        <v>1</v>
      </c>
    </row>
    <row r="10" spans="1:16" x14ac:dyDescent="0.25">
      <c r="A10" s="9" t="s">
        <v>48</v>
      </c>
      <c r="B10" s="4" t="s">
        <v>49</v>
      </c>
      <c r="C10" s="5">
        <v>30</v>
      </c>
      <c r="D10" s="5">
        <v>29</v>
      </c>
      <c r="E10" s="8">
        <v>1</v>
      </c>
      <c r="F10" s="8">
        <v>1</v>
      </c>
      <c r="G10" s="8">
        <v>1</v>
      </c>
      <c r="H10" s="8">
        <v>0.93</v>
      </c>
      <c r="I10" s="9" t="s">
        <v>988</v>
      </c>
      <c r="J10" s="9" t="s">
        <v>399</v>
      </c>
      <c r="K10" s="9" t="s">
        <v>330</v>
      </c>
      <c r="L10" s="19">
        <v>0</v>
      </c>
      <c r="M10">
        <f t="shared" si="2"/>
        <v>4</v>
      </c>
      <c r="N10">
        <f t="shared" si="1"/>
        <v>4</v>
      </c>
      <c r="O10">
        <f t="shared" si="1"/>
        <v>4</v>
      </c>
      <c r="P10">
        <f t="shared" si="1"/>
        <v>3</v>
      </c>
    </row>
    <row r="11" spans="1:16" x14ac:dyDescent="0.25">
      <c r="A11" s="9" t="s">
        <v>13</v>
      </c>
      <c r="B11" s="4" t="s">
        <v>14</v>
      </c>
      <c r="C11" s="5">
        <v>39</v>
      </c>
      <c r="D11" s="5">
        <v>21</v>
      </c>
      <c r="E11" s="8">
        <v>0.51</v>
      </c>
      <c r="F11" s="8">
        <v>0.97</v>
      </c>
      <c r="G11" s="8">
        <v>0.52</v>
      </c>
      <c r="H11" s="8">
        <v>0.21</v>
      </c>
      <c r="I11" s="9" t="s">
        <v>989</v>
      </c>
      <c r="J11" s="9" t="s">
        <v>990</v>
      </c>
      <c r="K11" s="9" t="s">
        <v>310</v>
      </c>
      <c r="L11" s="19">
        <v>3.7999999999999999E-2</v>
      </c>
      <c r="M11">
        <f t="shared" si="2"/>
        <v>1</v>
      </c>
      <c r="N11">
        <f t="shared" si="1"/>
        <v>2</v>
      </c>
      <c r="O11">
        <f t="shared" si="1"/>
        <v>1</v>
      </c>
      <c r="P11">
        <f t="shared" si="1"/>
        <v>1</v>
      </c>
    </row>
    <row r="12" spans="1:16" x14ac:dyDescent="0.25">
      <c r="A12" s="9" t="s">
        <v>37</v>
      </c>
      <c r="B12" s="4" t="s">
        <v>38</v>
      </c>
      <c r="C12" s="5">
        <v>22</v>
      </c>
      <c r="D12" s="5">
        <v>16</v>
      </c>
      <c r="E12" s="8">
        <v>0.64</v>
      </c>
      <c r="F12" s="8">
        <v>1</v>
      </c>
      <c r="G12" s="8">
        <v>0.56000000000000005</v>
      </c>
      <c r="H12" s="8">
        <v>0.55000000000000004</v>
      </c>
      <c r="I12" s="9" t="s">
        <v>991</v>
      </c>
      <c r="J12" s="9" t="s">
        <v>388</v>
      </c>
      <c r="K12" s="9" t="s">
        <v>295</v>
      </c>
      <c r="L12" s="19">
        <v>2.4E-2</v>
      </c>
      <c r="M12">
        <f t="shared" si="2"/>
        <v>1</v>
      </c>
      <c r="N12">
        <f t="shared" si="1"/>
        <v>4</v>
      </c>
      <c r="O12">
        <f t="shared" si="1"/>
        <v>1</v>
      </c>
      <c r="P12">
        <f t="shared" si="1"/>
        <v>1</v>
      </c>
    </row>
    <row r="13" spans="1:16" x14ac:dyDescent="0.25">
      <c r="A13" s="9" t="s">
        <v>33</v>
      </c>
      <c r="B13" s="4" t="s">
        <v>34</v>
      </c>
      <c r="C13" s="5">
        <v>67</v>
      </c>
      <c r="D13" s="5">
        <v>61</v>
      </c>
      <c r="E13" s="8">
        <v>0.82</v>
      </c>
      <c r="F13" s="8">
        <v>0.99</v>
      </c>
      <c r="G13" s="8">
        <v>0.82</v>
      </c>
      <c r="H13" s="8">
        <v>0.64</v>
      </c>
      <c r="I13" s="9" t="s">
        <v>992</v>
      </c>
      <c r="J13" s="9" t="s">
        <v>241</v>
      </c>
      <c r="K13" s="9" t="s">
        <v>322</v>
      </c>
      <c r="L13" s="19">
        <v>1.9E-2</v>
      </c>
      <c r="M13">
        <f t="shared" si="2"/>
        <v>1</v>
      </c>
      <c r="N13">
        <f t="shared" si="1"/>
        <v>3</v>
      </c>
      <c r="O13">
        <f t="shared" si="1"/>
        <v>2</v>
      </c>
      <c r="P13">
        <f t="shared" si="1"/>
        <v>1</v>
      </c>
    </row>
    <row r="14" spans="1:16" x14ac:dyDescent="0.25">
      <c r="A14" s="9" t="s">
        <v>180</v>
      </c>
      <c r="B14" s="4" t="s">
        <v>181</v>
      </c>
      <c r="C14" s="5">
        <v>92</v>
      </c>
      <c r="D14" s="5">
        <v>55</v>
      </c>
      <c r="E14" s="8">
        <v>0.89</v>
      </c>
      <c r="F14" s="8">
        <v>0.98</v>
      </c>
      <c r="G14" s="8">
        <v>0.79</v>
      </c>
      <c r="H14" s="8">
        <v>0.77</v>
      </c>
      <c r="I14" s="9" t="s">
        <v>993</v>
      </c>
      <c r="J14" s="9" t="s">
        <v>994</v>
      </c>
      <c r="K14" s="9" t="s">
        <v>250</v>
      </c>
      <c r="L14" s="19">
        <v>8.0000000000000002E-3</v>
      </c>
      <c r="M14">
        <f t="shared" si="2"/>
        <v>2</v>
      </c>
      <c r="N14">
        <f t="shared" si="1"/>
        <v>2</v>
      </c>
      <c r="O14">
        <f t="shared" si="1"/>
        <v>1</v>
      </c>
      <c r="P14">
        <f t="shared" si="1"/>
        <v>2</v>
      </c>
    </row>
    <row r="15" spans="1:16" x14ac:dyDescent="0.25">
      <c r="A15" s="9" t="s">
        <v>0</v>
      </c>
      <c r="B15" s="4" t="s">
        <v>1</v>
      </c>
      <c r="C15" s="5">
        <v>31</v>
      </c>
      <c r="D15" s="5">
        <v>26</v>
      </c>
      <c r="E15" s="8">
        <v>0.9</v>
      </c>
      <c r="F15" s="8">
        <v>0.97</v>
      </c>
      <c r="G15" s="8">
        <v>0.9</v>
      </c>
      <c r="H15" s="8">
        <v>0.77</v>
      </c>
      <c r="I15" s="9" t="s">
        <v>995</v>
      </c>
      <c r="J15" s="9" t="s">
        <v>996</v>
      </c>
      <c r="K15" s="9" t="s">
        <v>233</v>
      </c>
      <c r="L15" s="19">
        <v>1.4E-2</v>
      </c>
      <c r="M15">
        <f t="shared" si="2"/>
        <v>2</v>
      </c>
      <c r="N15">
        <f t="shared" si="1"/>
        <v>2</v>
      </c>
      <c r="O15">
        <f t="shared" si="1"/>
        <v>2</v>
      </c>
      <c r="P15">
        <f t="shared" si="1"/>
        <v>2</v>
      </c>
    </row>
    <row r="16" spans="1:16" x14ac:dyDescent="0.25">
      <c r="A16" s="9" t="s">
        <v>19</v>
      </c>
      <c r="B16" s="4" t="s">
        <v>20</v>
      </c>
      <c r="C16" s="5">
        <v>28</v>
      </c>
      <c r="D16" s="5">
        <v>12</v>
      </c>
      <c r="E16" s="8">
        <v>1</v>
      </c>
      <c r="F16" s="8">
        <v>1</v>
      </c>
      <c r="G16" s="8">
        <v>1</v>
      </c>
      <c r="H16" s="8">
        <v>1</v>
      </c>
      <c r="I16" s="9" t="s">
        <v>997</v>
      </c>
      <c r="J16" s="9" t="s">
        <v>338</v>
      </c>
      <c r="K16" s="9" t="s">
        <v>225</v>
      </c>
      <c r="L16" s="19">
        <v>1.7999999999999999E-2</v>
      </c>
      <c r="M16">
        <f t="shared" si="2"/>
        <v>4</v>
      </c>
      <c r="N16">
        <f t="shared" si="1"/>
        <v>4</v>
      </c>
      <c r="O16">
        <f t="shared" si="1"/>
        <v>4</v>
      </c>
      <c r="P16">
        <f t="shared" si="1"/>
        <v>4</v>
      </c>
    </row>
    <row r="17" spans="1:16" x14ac:dyDescent="0.25">
      <c r="A17" s="9" t="s">
        <v>148</v>
      </c>
      <c r="B17" s="4" t="s">
        <v>149</v>
      </c>
      <c r="C17" s="5">
        <v>68</v>
      </c>
      <c r="D17" s="5">
        <v>39</v>
      </c>
      <c r="E17" s="8">
        <v>1</v>
      </c>
      <c r="F17" s="8">
        <v>1</v>
      </c>
      <c r="G17" s="8">
        <v>0.89</v>
      </c>
      <c r="H17" s="8">
        <v>0.76</v>
      </c>
      <c r="I17" s="9" t="s">
        <v>998</v>
      </c>
      <c r="J17" s="9" t="s">
        <v>999</v>
      </c>
      <c r="K17" s="9" t="s">
        <v>295</v>
      </c>
      <c r="L17" s="19">
        <v>1.0999999999999999E-2</v>
      </c>
      <c r="M17">
        <f t="shared" si="2"/>
        <v>4</v>
      </c>
      <c r="N17">
        <f t="shared" si="1"/>
        <v>4</v>
      </c>
      <c r="O17">
        <f t="shared" si="1"/>
        <v>2</v>
      </c>
      <c r="P17">
        <f t="shared" si="1"/>
        <v>2</v>
      </c>
    </row>
    <row r="18" spans="1:16" x14ac:dyDescent="0.25">
      <c r="A18" s="9" t="s">
        <v>142</v>
      </c>
      <c r="B18" s="4" t="s">
        <v>143</v>
      </c>
      <c r="C18" s="5">
        <v>15</v>
      </c>
      <c r="D18" s="5">
        <v>10</v>
      </c>
      <c r="E18" s="8">
        <v>0.73</v>
      </c>
      <c r="F18" s="8">
        <v>1</v>
      </c>
      <c r="G18" s="8">
        <v>0.7</v>
      </c>
      <c r="H18" s="8">
        <v>0.73</v>
      </c>
      <c r="I18" s="9" t="s">
        <v>1000</v>
      </c>
      <c r="J18" s="9" t="s">
        <v>1001</v>
      </c>
      <c r="K18" s="9" t="s">
        <v>343</v>
      </c>
      <c r="L18" s="19">
        <v>0</v>
      </c>
      <c r="M18">
        <f t="shared" si="2"/>
        <v>1</v>
      </c>
      <c r="N18">
        <f t="shared" si="1"/>
        <v>4</v>
      </c>
      <c r="O18">
        <f t="shared" si="1"/>
        <v>1</v>
      </c>
      <c r="P18">
        <f t="shared" si="1"/>
        <v>1</v>
      </c>
    </row>
    <row r="19" spans="1:16" x14ac:dyDescent="0.25">
      <c r="A19" s="9" t="s">
        <v>54</v>
      </c>
      <c r="B19" s="4" t="s">
        <v>55</v>
      </c>
      <c r="C19" s="5">
        <v>122</v>
      </c>
      <c r="D19" s="5">
        <v>83</v>
      </c>
      <c r="E19" s="8">
        <v>0.59</v>
      </c>
      <c r="F19" s="8">
        <v>0.98</v>
      </c>
      <c r="G19" s="8">
        <v>0.59</v>
      </c>
      <c r="H19" s="8">
        <v>0.74</v>
      </c>
      <c r="I19" s="9" t="s">
        <v>1002</v>
      </c>
      <c r="J19" s="9" t="s">
        <v>352</v>
      </c>
      <c r="K19" s="9" t="s">
        <v>320</v>
      </c>
      <c r="L19" s="19">
        <v>3.0000000000000001E-3</v>
      </c>
      <c r="M19">
        <f t="shared" si="2"/>
        <v>1</v>
      </c>
      <c r="N19">
        <f t="shared" si="1"/>
        <v>2</v>
      </c>
      <c r="O19">
        <f t="shared" si="1"/>
        <v>1</v>
      </c>
      <c r="P19">
        <f t="shared" si="1"/>
        <v>1</v>
      </c>
    </row>
    <row r="20" spans="1:16" x14ac:dyDescent="0.25">
      <c r="A20" s="9" t="s">
        <v>5</v>
      </c>
      <c r="B20" s="4" t="s">
        <v>6</v>
      </c>
      <c r="C20" s="5">
        <v>35</v>
      </c>
      <c r="D20" s="5">
        <v>19</v>
      </c>
      <c r="E20" s="8">
        <v>0.97</v>
      </c>
      <c r="F20" s="8">
        <v>1</v>
      </c>
      <c r="G20" s="8">
        <v>0.96</v>
      </c>
      <c r="H20" s="8">
        <v>0.91</v>
      </c>
      <c r="I20" s="9" t="s">
        <v>1003</v>
      </c>
      <c r="J20" s="9" t="s">
        <v>390</v>
      </c>
      <c r="K20" s="9" t="s">
        <v>350</v>
      </c>
      <c r="L20" s="19">
        <v>5.8999999999999997E-2</v>
      </c>
      <c r="M20">
        <f t="shared" si="2"/>
        <v>3</v>
      </c>
      <c r="N20">
        <f t="shared" si="1"/>
        <v>4</v>
      </c>
      <c r="O20">
        <f t="shared" si="1"/>
        <v>3</v>
      </c>
      <c r="P20">
        <f t="shared" si="1"/>
        <v>3</v>
      </c>
    </row>
    <row r="21" spans="1:16" x14ac:dyDescent="0.25">
      <c r="A21" s="9" t="s">
        <v>81</v>
      </c>
      <c r="B21" s="4" t="s">
        <v>82</v>
      </c>
      <c r="C21" s="5">
        <v>29</v>
      </c>
      <c r="D21" s="5">
        <v>28</v>
      </c>
      <c r="E21" s="8">
        <v>1</v>
      </c>
      <c r="F21" s="8">
        <v>1</v>
      </c>
      <c r="G21" s="8">
        <v>0.92</v>
      </c>
      <c r="H21" s="8">
        <v>1</v>
      </c>
      <c r="I21" s="9" t="s">
        <v>1004</v>
      </c>
      <c r="J21" s="9" t="s">
        <v>399</v>
      </c>
      <c r="K21" s="9" t="s">
        <v>243</v>
      </c>
      <c r="L21" s="19">
        <v>0.01</v>
      </c>
      <c r="M21">
        <f t="shared" si="2"/>
        <v>4</v>
      </c>
      <c r="N21">
        <f t="shared" si="1"/>
        <v>4</v>
      </c>
      <c r="O21">
        <f t="shared" si="1"/>
        <v>3</v>
      </c>
      <c r="P21">
        <f t="shared" si="1"/>
        <v>4</v>
      </c>
    </row>
    <row r="22" spans="1:16" x14ac:dyDescent="0.25">
      <c r="A22" s="9" t="s">
        <v>72</v>
      </c>
      <c r="B22" s="4" t="s">
        <v>73</v>
      </c>
      <c r="C22" s="5">
        <v>78</v>
      </c>
      <c r="D22" s="5">
        <v>75</v>
      </c>
      <c r="E22" s="8">
        <v>0.88</v>
      </c>
      <c r="F22" s="8">
        <v>0.99</v>
      </c>
      <c r="G22" s="8">
        <v>0.87</v>
      </c>
      <c r="H22" s="8">
        <v>0.74</v>
      </c>
      <c r="I22" s="9" t="s">
        <v>1005</v>
      </c>
      <c r="J22" s="9" t="s">
        <v>399</v>
      </c>
      <c r="K22" s="9" t="s">
        <v>322</v>
      </c>
      <c r="L22" s="19">
        <v>1.2E-2</v>
      </c>
      <c r="M22">
        <f t="shared" si="2"/>
        <v>1</v>
      </c>
      <c r="N22">
        <f t="shared" si="1"/>
        <v>3</v>
      </c>
      <c r="O22">
        <f t="shared" si="1"/>
        <v>2</v>
      </c>
      <c r="P22">
        <f t="shared" si="1"/>
        <v>1</v>
      </c>
    </row>
    <row r="23" spans="1:16" x14ac:dyDescent="0.25">
      <c r="A23" s="9" t="s">
        <v>7</v>
      </c>
      <c r="B23" s="4" t="s">
        <v>8</v>
      </c>
      <c r="C23" s="5">
        <v>18</v>
      </c>
      <c r="D23" s="5">
        <v>14</v>
      </c>
      <c r="E23" s="8">
        <v>1</v>
      </c>
      <c r="F23" s="8">
        <v>1</v>
      </c>
      <c r="G23" s="8">
        <v>1</v>
      </c>
      <c r="H23" s="8">
        <v>0.94</v>
      </c>
      <c r="I23" s="9" t="s">
        <v>1006</v>
      </c>
      <c r="J23" s="9" t="s">
        <v>399</v>
      </c>
      <c r="K23" s="9" t="s">
        <v>321</v>
      </c>
      <c r="L23" s="19">
        <v>2.5999999999999999E-2</v>
      </c>
      <c r="M23">
        <f t="shared" si="2"/>
        <v>4</v>
      </c>
      <c r="N23">
        <f t="shared" si="1"/>
        <v>4</v>
      </c>
      <c r="O23">
        <f t="shared" si="1"/>
        <v>4</v>
      </c>
      <c r="P23">
        <f t="shared" si="1"/>
        <v>3</v>
      </c>
    </row>
    <row r="24" spans="1:16" x14ac:dyDescent="0.25">
      <c r="A24" s="9" t="s">
        <v>93</v>
      </c>
      <c r="B24" s="4" t="s">
        <v>94</v>
      </c>
      <c r="C24" s="5">
        <v>38</v>
      </c>
      <c r="D24" s="5">
        <v>30</v>
      </c>
      <c r="E24" s="8">
        <v>0.92</v>
      </c>
      <c r="F24" s="8">
        <v>0.97</v>
      </c>
      <c r="G24" s="8">
        <v>0.86</v>
      </c>
      <c r="H24" s="8">
        <v>0.92</v>
      </c>
      <c r="I24" s="9" t="s">
        <v>1007</v>
      </c>
      <c r="J24" s="9" t="s">
        <v>1008</v>
      </c>
      <c r="K24" s="9" t="s">
        <v>320</v>
      </c>
      <c r="L24" s="19">
        <v>8.0000000000000002E-3</v>
      </c>
      <c r="M24">
        <f t="shared" si="2"/>
        <v>2</v>
      </c>
      <c r="N24">
        <f t="shared" si="1"/>
        <v>2</v>
      </c>
      <c r="O24">
        <f t="shared" si="1"/>
        <v>2</v>
      </c>
      <c r="P24">
        <f t="shared" si="1"/>
        <v>3</v>
      </c>
    </row>
    <row r="25" spans="1:16" x14ac:dyDescent="0.25">
      <c r="A25" s="9" t="s">
        <v>138</v>
      </c>
      <c r="B25" s="4" t="s">
        <v>139</v>
      </c>
      <c r="C25" s="5">
        <v>26</v>
      </c>
      <c r="D25" s="5">
        <v>23</v>
      </c>
      <c r="E25" s="8">
        <v>0.92</v>
      </c>
      <c r="F25" s="8">
        <v>0.96</v>
      </c>
      <c r="G25" s="8">
        <v>0.9</v>
      </c>
      <c r="H25" s="8">
        <v>0.77</v>
      </c>
      <c r="I25" s="9" t="s">
        <v>1009</v>
      </c>
      <c r="J25" s="9" t="s">
        <v>399</v>
      </c>
      <c r="K25" s="9" t="s">
        <v>242</v>
      </c>
      <c r="L25" s="19">
        <v>0</v>
      </c>
      <c r="M25">
        <f t="shared" si="2"/>
        <v>2</v>
      </c>
      <c r="N25">
        <f t="shared" si="1"/>
        <v>1</v>
      </c>
      <c r="O25">
        <f t="shared" si="1"/>
        <v>2</v>
      </c>
      <c r="P25">
        <f t="shared" si="1"/>
        <v>2</v>
      </c>
    </row>
    <row r="26" spans="1:16" x14ac:dyDescent="0.25">
      <c r="A26" s="9" t="s">
        <v>126</v>
      </c>
      <c r="B26" s="4" t="s">
        <v>127</v>
      </c>
      <c r="C26" s="5">
        <v>58</v>
      </c>
      <c r="D26" s="5">
        <v>31</v>
      </c>
      <c r="E26" s="8">
        <v>0.91</v>
      </c>
      <c r="F26" s="8">
        <v>0.98</v>
      </c>
      <c r="G26" s="8">
        <v>0.91</v>
      </c>
      <c r="H26" s="8">
        <v>0.62</v>
      </c>
      <c r="I26" s="9" t="s">
        <v>1010</v>
      </c>
      <c r="J26" s="9" t="s">
        <v>364</v>
      </c>
      <c r="K26" s="9" t="s">
        <v>322</v>
      </c>
      <c r="L26" s="19">
        <v>5.0000000000000001E-3</v>
      </c>
      <c r="M26">
        <f t="shared" si="2"/>
        <v>2</v>
      </c>
      <c r="N26">
        <f t="shared" si="1"/>
        <v>2</v>
      </c>
      <c r="O26">
        <f t="shared" si="1"/>
        <v>3</v>
      </c>
      <c r="P26">
        <f t="shared" si="1"/>
        <v>1</v>
      </c>
    </row>
    <row r="27" spans="1:16" x14ac:dyDescent="0.25">
      <c r="A27" s="9" t="s">
        <v>154</v>
      </c>
      <c r="B27" s="4" t="s">
        <v>155</v>
      </c>
      <c r="C27" s="5">
        <v>41</v>
      </c>
      <c r="D27" s="5">
        <v>26</v>
      </c>
      <c r="E27" s="8">
        <v>0.98</v>
      </c>
      <c r="F27" s="8">
        <v>0.98</v>
      </c>
      <c r="G27" s="8">
        <v>0.97</v>
      </c>
      <c r="H27" s="8">
        <v>1</v>
      </c>
      <c r="I27" s="9" t="s">
        <v>1011</v>
      </c>
      <c r="J27" s="9" t="s">
        <v>360</v>
      </c>
      <c r="K27" s="9" t="s">
        <v>320</v>
      </c>
      <c r="L27" s="19">
        <v>8.9999999999999993E-3</v>
      </c>
      <c r="M27">
        <f t="shared" si="2"/>
        <v>3</v>
      </c>
      <c r="N27">
        <f t="shared" si="1"/>
        <v>2</v>
      </c>
      <c r="O27">
        <f t="shared" si="1"/>
        <v>4</v>
      </c>
      <c r="P27">
        <f t="shared" si="1"/>
        <v>4</v>
      </c>
    </row>
    <row r="28" spans="1:16" x14ac:dyDescent="0.25">
      <c r="A28" s="9" t="s">
        <v>39</v>
      </c>
      <c r="B28" s="4" t="s">
        <v>215</v>
      </c>
      <c r="C28" s="5">
        <v>59</v>
      </c>
      <c r="D28" s="5">
        <v>45</v>
      </c>
      <c r="E28" s="8">
        <v>0.85</v>
      </c>
      <c r="F28" s="8">
        <v>0.97</v>
      </c>
      <c r="G28" s="8">
        <v>0.84</v>
      </c>
      <c r="H28" s="8">
        <v>0.56000000000000005</v>
      </c>
      <c r="I28" s="9" t="s">
        <v>1012</v>
      </c>
      <c r="J28" s="9" t="s">
        <v>387</v>
      </c>
      <c r="K28" s="9" t="s">
        <v>243</v>
      </c>
      <c r="L28" s="19">
        <v>1.0999999999999999E-2</v>
      </c>
      <c r="M28">
        <f t="shared" si="2"/>
        <v>1</v>
      </c>
      <c r="N28">
        <f t="shared" si="1"/>
        <v>2</v>
      </c>
      <c r="O28">
        <f t="shared" si="1"/>
        <v>2</v>
      </c>
      <c r="P28">
        <f t="shared" si="1"/>
        <v>1</v>
      </c>
    </row>
    <row r="29" spans="1:16" x14ac:dyDescent="0.25">
      <c r="A29" s="9" t="s">
        <v>40</v>
      </c>
      <c r="B29" s="4" t="s">
        <v>41</v>
      </c>
      <c r="C29" s="5">
        <v>44</v>
      </c>
      <c r="D29" s="5">
        <v>34</v>
      </c>
      <c r="E29" s="8">
        <v>0.98</v>
      </c>
      <c r="F29" s="8">
        <v>1</v>
      </c>
      <c r="G29" s="8">
        <v>1</v>
      </c>
      <c r="H29" s="8">
        <v>0.98</v>
      </c>
      <c r="I29" s="9" t="s">
        <v>1013</v>
      </c>
      <c r="J29" s="9" t="s">
        <v>348</v>
      </c>
      <c r="K29" s="9" t="s">
        <v>236</v>
      </c>
      <c r="L29" s="19">
        <v>0.02</v>
      </c>
      <c r="M29">
        <f t="shared" si="2"/>
        <v>3</v>
      </c>
      <c r="N29">
        <f t="shared" si="1"/>
        <v>4</v>
      </c>
      <c r="O29">
        <f t="shared" si="1"/>
        <v>4</v>
      </c>
      <c r="P29">
        <f t="shared" si="1"/>
        <v>4</v>
      </c>
    </row>
    <row r="30" spans="1:16" x14ac:dyDescent="0.25">
      <c r="A30" s="9" t="s">
        <v>115</v>
      </c>
      <c r="B30" s="4" t="s">
        <v>116</v>
      </c>
      <c r="C30" s="5">
        <v>59</v>
      </c>
      <c r="D30" s="5">
        <v>37</v>
      </c>
      <c r="E30" s="8">
        <v>0.93</v>
      </c>
      <c r="F30" s="8">
        <v>1</v>
      </c>
      <c r="G30" s="8">
        <v>0.93</v>
      </c>
      <c r="H30" s="8">
        <v>0.76</v>
      </c>
      <c r="I30" s="9" t="s">
        <v>1014</v>
      </c>
      <c r="J30" s="9" t="s">
        <v>247</v>
      </c>
      <c r="K30" s="9" t="s">
        <v>330</v>
      </c>
      <c r="L30" s="19">
        <v>1.0999999999999999E-2</v>
      </c>
      <c r="M30">
        <f t="shared" si="2"/>
        <v>2</v>
      </c>
      <c r="N30">
        <f t="shared" si="1"/>
        <v>4</v>
      </c>
      <c r="O30">
        <f t="shared" si="1"/>
        <v>3</v>
      </c>
      <c r="P30">
        <f t="shared" si="1"/>
        <v>2</v>
      </c>
    </row>
    <row r="31" spans="1:16" x14ac:dyDescent="0.25">
      <c r="A31" s="9" t="s">
        <v>66</v>
      </c>
      <c r="B31" s="4" t="s">
        <v>67</v>
      </c>
      <c r="C31" s="5">
        <v>100</v>
      </c>
      <c r="D31" s="5">
        <v>74</v>
      </c>
      <c r="E31" s="8">
        <v>0.84</v>
      </c>
      <c r="F31" s="8">
        <v>0.92</v>
      </c>
      <c r="G31" s="8">
        <v>0.81</v>
      </c>
      <c r="H31" s="8">
        <v>0.37</v>
      </c>
      <c r="I31" s="9" t="s">
        <v>1015</v>
      </c>
      <c r="J31" s="9" t="s">
        <v>360</v>
      </c>
      <c r="K31" s="9" t="s">
        <v>236</v>
      </c>
      <c r="L31" s="19">
        <v>3.0000000000000001E-3</v>
      </c>
      <c r="M31">
        <f t="shared" si="2"/>
        <v>1</v>
      </c>
      <c r="N31">
        <f t="shared" si="1"/>
        <v>1</v>
      </c>
      <c r="O31">
        <f t="shared" si="1"/>
        <v>1</v>
      </c>
      <c r="P31">
        <f t="shared" si="1"/>
        <v>1</v>
      </c>
    </row>
    <row r="32" spans="1:16" x14ac:dyDescent="0.25">
      <c r="A32" s="9" t="s">
        <v>130</v>
      </c>
      <c r="B32" s="4" t="s">
        <v>131</v>
      </c>
      <c r="C32" s="5">
        <v>48</v>
      </c>
      <c r="D32" s="5">
        <v>24</v>
      </c>
      <c r="E32" s="8">
        <v>0.98</v>
      </c>
      <c r="F32" s="8">
        <v>0</v>
      </c>
      <c r="G32" s="8">
        <v>0.96</v>
      </c>
      <c r="H32" s="8">
        <v>0.96</v>
      </c>
      <c r="I32" s="9" t="s">
        <v>1016</v>
      </c>
      <c r="J32" s="9" t="s">
        <v>1017</v>
      </c>
      <c r="K32" s="9" t="s">
        <v>383</v>
      </c>
      <c r="L32" s="19">
        <v>1.2E-2</v>
      </c>
      <c r="M32">
        <f t="shared" si="2"/>
        <v>3</v>
      </c>
      <c r="N32">
        <f t="shared" si="1"/>
        <v>1</v>
      </c>
      <c r="O32">
        <f t="shared" si="1"/>
        <v>3</v>
      </c>
      <c r="P32">
        <f t="shared" si="1"/>
        <v>4</v>
      </c>
    </row>
    <row r="33" spans="1:16" x14ac:dyDescent="0.25">
      <c r="A33" s="9" t="s">
        <v>158</v>
      </c>
      <c r="B33" s="4" t="s">
        <v>159</v>
      </c>
      <c r="C33" s="5">
        <v>28</v>
      </c>
      <c r="D33" s="5">
        <v>11</v>
      </c>
      <c r="E33" s="8">
        <v>0.32</v>
      </c>
      <c r="F33" s="8">
        <v>0.96</v>
      </c>
      <c r="G33" s="8">
        <v>0.28999999999999998</v>
      </c>
      <c r="H33" s="8">
        <v>0.89</v>
      </c>
      <c r="I33" s="9" t="s">
        <v>1018</v>
      </c>
      <c r="J33" s="9" t="s">
        <v>367</v>
      </c>
      <c r="K33" s="9" t="s">
        <v>368</v>
      </c>
      <c r="L33" s="19">
        <v>0</v>
      </c>
      <c r="M33">
        <f t="shared" si="2"/>
        <v>1</v>
      </c>
      <c r="N33">
        <f t="shared" si="1"/>
        <v>1</v>
      </c>
      <c r="O33">
        <f t="shared" si="1"/>
        <v>1</v>
      </c>
      <c r="P33">
        <f t="shared" si="1"/>
        <v>2</v>
      </c>
    </row>
    <row r="34" spans="1:16" x14ac:dyDescent="0.25">
      <c r="A34" s="9" t="s">
        <v>74</v>
      </c>
      <c r="B34" s="4" t="s">
        <v>75</v>
      </c>
      <c r="C34" s="5">
        <v>10</v>
      </c>
      <c r="D34" s="5">
        <v>9</v>
      </c>
      <c r="E34" s="8">
        <v>1</v>
      </c>
      <c r="F34" s="8">
        <v>0.9</v>
      </c>
      <c r="G34" s="8">
        <v>0.88</v>
      </c>
      <c r="H34" s="8">
        <v>0.9</v>
      </c>
      <c r="I34" s="9" t="s">
        <v>1019</v>
      </c>
      <c r="J34" s="9" t="s">
        <v>399</v>
      </c>
      <c r="K34" s="9" t="s">
        <v>1020</v>
      </c>
      <c r="L34" s="19">
        <v>4.2000000000000003E-2</v>
      </c>
      <c r="M34">
        <f t="shared" si="2"/>
        <v>4</v>
      </c>
      <c r="N34">
        <f t="shared" si="1"/>
        <v>1</v>
      </c>
      <c r="O34">
        <f t="shared" si="1"/>
        <v>2</v>
      </c>
      <c r="P34">
        <f t="shared" si="1"/>
        <v>2</v>
      </c>
    </row>
    <row r="35" spans="1:16" x14ac:dyDescent="0.25">
      <c r="A35" s="9" t="s">
        <v>150</v>
      </c>
      <c r="B35" s="4" t="s">
        <v>151</v>
      </c>
      <c r="C35" s="5">
        <v>68</v>
      </c>
      <c r="D35" s="5">
        <v>54</v>
      </c>
      <c r="E35" s="8">
        <v>0.91</v>
      </c>
      <c r="F35" s="8">
        <v>1</v>
      </c>
      <c r="G35" s="8">
        <v>0.88</v>
      </c>
      <c r="H35" s="8">
        <v>0.87</v>
      </c>
      <c r="I35" s="9" t="s">
        <v>1021</v>
      </c>
      <c r="J35" s="9" t="s">
        <v>1022</v>
      </c>
      <c r="K35" s="9" t="s">
        <v>349</v>
      </c>
      <c r="L35" s="19">
        <v>1.4999999999999999E-2</v>
      </c>
      <c r="M35">
        <f t="shared" si="2"/>
        <v>2</v>
      </c>
      <c r="N35">
        <f t="shared" si="1"/>
        <v>4</v>
      </c>
      <c r="O35">
        <f t="shared" si="1"/>
        <v>2</v>
      </c>
      <c r="P35">
        <f t="shared" si="1"/>
        <v>2</v>
      </c>
    </row>
    <row r="36" spans="1:16" x14ac:dyDescent="0.25">
      <c r="A36" s="9" t="s">
        <v>105</v>
      </c>
      <c r="B36" s="4" t="s">
        <v>106</v>
      </c>
      <c r="C36" s="5">
        <v>71</v>
      </c>
      <c r="D36" s="5">
        <v>50</v>
      </c>
      <c r="E36" s="8">
        <v>0.92</v>
      </c>
      <c r="F36" s="8">
        <v>1</v>
      </c>
      <c r="G36" s="8">
        <v>0.88</v>
      </c>
      <c r="H36" s="8">
        <v>0.87</v>
      </c>
      <c r="I36" s="9" t="s">
        <v>1023</v>
      </c>
      <c r="J36" s="9" t="s">
        <v>352</v>
      </c>
      <c r="K36" s="9" t="s">
        <v>322</v>
      </c>
      <c r="L36" s="19">
        <v>4.0000000000000001E-3</v>
      </c>
      <c r="M36">
        <f t="shared" si="2"/>
        <v>2</v>
      </c>
      <c r="N36">
        <f t="shared" si="1"/>
        <v>4</v>
      </c>
      <c r="O36">
        <f t="shared" si="1"/>
        <v>2</v>
      </c>
      <c r="P36">
        <f t="shared" si="1"/>
        <v>2</v>
      </c>
    </row>
    <row r="37" spans="1:16" x14ac:dyDescent="0.25">
      <c r="A37" s="9" t="s">
        <v>15</v>
      </c>
      <c r="B37" s="4" t="s">
        <v>16</v>
      </c>
      <c r="C37" s="5">
        <v>31</v>
      </c>
      <c r="D37" s="5">
        <v>25</v>
      </c>
      <c r="E37" s="8">
        <v>1</v>
      </c>
      <c r="F37" s="8">
        <v>1</v>
      </c>
      <c r="G37" s="8">
        <v>1</v>
      </c>
      <c r="H37" s="8">
        <v>0.97</v>
      </c>
      <c r="I37" s="9" t="s">
        <v>1024</v>
      </c>
      <c r="J37" s="9" t="s">
        <v>241</v>
      </c>
      <c r="K37" s="9" t="s">
        <v>330</v>
      </c>
      <c r="L37" s="19">
        <v>1.2E-2</v>
      </c>
      <c r="M37">
        <f t="shared" si="2"/>
        <v>4</v>
      </c>
      <c r="N37">
        <f t="shared" si="1"/>
        <v>4</v>
      </c>
      <c r="O37">
        <f t="shared" si="1"/>
        <v>4</v>
      </c>
      <c r="P37">
        <f t="shared" si="1"/>
        <v>4</v>
      </c>
    </row>
    <row r="38" spans="1:16" x14ac:dyDescent="0.25">
      <c r="A38" s="9" t="s">
        <v>11</v>
      </c>
      <c r="B38" s="4" t="s">
        <v>12</v>
      </c>
      <c r="C38" s="5">
        <v>90</v>
      </c>
      <c r="D38" s="5">
        <v>45</v>
      </c>
      <c r="E38" s="8">
        <v>0.93</v>
      </c>
      <c r="F38" s="8">
        <v>0.97</v>
      </c>
      <c r="G38" s="8">
        <v>0.91</v>
      </c>
      <c r="H38" s="8">
        <v>0.92</v>
      </c>
      <c r="I38" s="9" t="s">
        <v>1025</v>
      </c>
      <c r="J38" s="9" t="s">
        <v>352</v>
      </c>
      <c r="K38" s="9" t="s">
        <v>320</v>
      </c>
      <c r="L38" s="19">
        <v>7.0000000000000001E-3</v>
      </c>
      <c r="M38">
        <f t="shared" si="2"/>
        <v>2</v>
      </c>
      <c r="N38">
        <f t="shared" si="1"/>
        <v>2</v>
      </c>
      <c r="O38">
        <f t="shared" si="1"/>
        <v>3</v>
      </c>
      <c r="P38">
        <f t="shared" si="1"/>
        <v>3</v>
      </c>
    </row>
    <row r="39" spans="1:16" x14ac:dyDescent="0.25">
      <c r="A39" s="9" t="s">
        <v>95</v>
      </c>
      <c r="B39" s="4" t="s">
        <v>96</v>
      </c>
      <c r="C39" s="5">
        <v>20</v>
      </c>
      <c r="D39" s="5">
        <v>15</v>
      </c>
      <c r="E39" s="8">
        <v>1</v>
      </c>
      <c r="F39" s="8">
        <v>1</v>
      </c>
      <c r="G39" s="8">
        <v>1</v>
      </c>
      <c r="H39" s="8">
        <v>0.95</v>
      </c>
      <c r="I39" s="9" t="s">
        <v>1026</v>
      </c>
      <c r="J39" s="9" t="s">
        <v>251</v>
      </c>
      <c r="K39" s="9" t="s">
        <v>322</v>
      </c>
      <c r="L39" s="19">
        <v>0</v>
      </c>
      <c r="M39">
        <f t="shared" si="2"/>
        <v>4</v>
      </c>
      <c r="N39">
        <f t="shared" si="1"/>
        <v>4</v>
      </c>
      <c r="O39">
        <f t="shared" si="1"/>
        <v>4</v>
      </c>
      <c r="P39">
        <f t="shared" si="1"/>
        <v>3</v>
      </c>
    </row>
    <row r="40" spans="1:16" x14ac:dyDescent="0.25">
      <c r="A40" s="9" t="s">
        <v>99</v>
      </c>
      <c r="B40" s="4" t="s">
        <v>100</v>
      </c>
      <c r="C40" s="5">
        <v>37</v>
      </c>
      <c r="D40" s="5">
        <v>26</v>
      </c>
      <c r="E40" s="8">
        <v>0.95</v>
      </c>
      <c r="F40" s="8">
        <v>0.95</v>
      </c>
      <c r="G40" s="8">
        <v>0.77</v>
      </c>
      <c r="H40" s="8">
        <v>0.97</v>
      </c>
      <c r="I40" s="9" t="s">
        <v>1027</v>
      </c>
      <c r="J40" s="9" t="s">
        <v>1022</v>
      </c>
      <c r="K40" s="9" t="s">
        <v>320</v>
      </c>
      <c r="L40" s="19">
        <v>3.4000000000000002E-2</v>
      </c>
      <c r="M40">
        <f t="shared" si="2"/>
        <v>3</v>
      </c>
      <c r="N40">
        <f t="shared" si="1"/>
        <v>1</v>
      </c>
      <c r="O40">
        <f t="shared" si="1"/>
        <v>1</v>
      </c>
      <c r="P40">
        <f t="shared" si="1"/>
        <v>4</v>
      </c>
    </row>
    <row r="41" spans="1:16" x14ac:dyDescent="0.25">
      <c r="A41" s="9" t="s">
        <v>113</v>
      </c>
      <c r="B41" s="4" t="s">
        <v>114</v>
      </c>
      <c r="C41" s="5">
        <v>61</v>
      </c>
      <c r="D41" s="5">
        <v>30</v>
      </c>
      <c r="E41" s="8">
        <v>0.95</v>
      </c>
      <c r="F41" s="8">
        <v>0.05</v>
      </c>
      <c r="G41" s="8">
        <v>0.91</v>
      </c>
      <c r="H41" s="8">
        <v>0.93</v>
      </c>
      <c r="I41" s="9" t="s">
        <v>1028</v>
      </c>
      <c r="J41" s="9" t="s">
        <v>359</v>
      </c>
      <c r="K41" s="9" t="s">
        <v>236</v>
      </c>
      <c r="L41" s="19">
        <v>1.9E-2</v>
      </c>
      <c r="M41">
        <f t="shared" si="2"/>
        <v>3</v>
      </c>
      <c r="N41">
        <f t="shared" si="1"/>
        <v>1</v>
      </c>
      <c r="O41">
        <f t="shared" si="1"/>
        <v>3</v>
      </c>
      <c r="P41">
        <f t="shared" si="1"/>
        <v>3</v>
      </c>
    </row>
    <row r="42" spans="1:16" x14ac:dyDescent="0.25">
      <c r="A42" s="9" t="s">
        <v>160</v>
      </c>
      <c r="B42" s="4" t="s">
        <v>161</v>
      </c>
      <c r="C42" s="5" t="s">
        <v>398</v>
      </c>
      <c r="D42" s="5">
        <v>0</v>
      </c>
      <c r="E42" s="8" t="s">
        <v>399</v>
      </c>
      <c r="F42" s="8" t="s">
        <v>399</v>
      </c>
      <c r="G42" s="8" t="s">
        <v>399</v>
      </c>
      <c r="H42" s="8" t="s">
        <v>399</v>
      </c>
      <c r="I42" s="9" t="s">
        <v>399</v>
      </c>
      <c r="J42" s="9" t="s">
        <v>399</v>
      </c>
      <c r="K42" s="9" t="s">
        <v>384</v>
      </c>
      <c r="L42" s="19">
        <v>3.5999999999999997E-2</v>
      </c>
      <c r="M42">
        <f t="shared" si="2"/>
        <v>4</v>
      </c>
      <c r="N42">
        <f t="shared" si="1"/>
        <v>4</v>
      </c>
      <c r="O42">
        <f t="shared" si="1"/>
        <v>4</v>
      </c>
      <c r="P42">
        <f t="shared" si="1"/>
        <v>4</v>
      </c>
    </row>
    <row r="43" spans="1:16" x14ac:dyDescent="0.25">
      <c r="A43" s="9" t="s">
        <v>176</v>
      </c>
      <c r="B43" s="4" t="s">
        <v>177</v>
      </c>
      <c r="C43" s="5">
        <v>15</v>
      </c>
      <c r="D43" s="5">
        <v>7</v>
      </c>
      <c r="E43" s="8">
        <v>1</v>
      </c>
      <c r="F43" s="8">
        <v>1</v>
      </c>
      <c r="G43" s="8">
        <v>1</v>
      </c>
      <c r="H43" s="8">
        <v>1</v>
      </c>
      <c r="I43" s="9" t="s">
        <v>1029</v>
      </c>
      <c r="J43" s="9" t="s">
        <v>385</v>
      </c>
      <c r="K43" s="9" t="s">
        <v>302</v>
      </c>
      <c r="L43" s="19">
        <v>0</v>
      </c>
      <c r="M43">
        <f t="shared" si="2"/>
        <v>4</v>
      </c>
      <c r="N43">
        <f t="shared" si="1"/>
        <v>4</v>
      </c>
      <c r="O43">
        <f t="shared" si="1"/>
        <v>4</v>
      </c>
      <c r="P43">
        <f t="shared" si="1"/>
        <v>4</v>
      </c>
    </row>
    <row r="44" spans="1:16" x14ac:dyDescent="0.25">
      <c r="A44" s="9" t="s">
        <v>170</v>
      </c>
      <c r="B44" s="4" t="s">
        <v>171</v>
      </c>
      <c r="C44" s="5">
        <v>18</v>
      </c>
      <c r="D44" s="5">
        <v>18</v>
      </c>
      <c r="E44" s="8">
        <v>0.67</v>
      </c>
      <c r="F44" s="8">
        <v>1</v>
      </c>
      <c r="G44" s="8">
        <v>0.59</v>
      </c>
      <c r="H44" s="8">
        <v>0.56000000000000005</v>
      </c>
      <c r="I44" s="9" t="s">
        <v>1030</v>
      </c>
      <c r="J44" s="9" t="s">
        <v>384</v>
      </c>
      <c r="K44" s="9" t="s">
        <v>242</v>
      </c>
      <c r="L44" s="19">
        <v>0</v>
      </c>
      <c r="M44">
        <f t="shared" si="2"/>
        <v>1</v>
      </c>
      <c r="N44">
        <f t="shared" si="1"/>
        <v>4</v>
      </c>
      <c r="O44">
        <f t="shared" si="1"/>
        <v>1</v>
      </c>
      <c r="P44">
        <f t="shared" si="1"/>
        <v>1</v>
      </c>
    </row>
    <row r="45" spans="1:16" x14ac:dyDescent="0.25">
      <c r="A45" s="9" t="s">
        <v>164</v>
      </c>
      <c r="B45" s="4" t="s">
        <v>165</v>
      </c>
      <c r="C45" s="5">
        <v>58</v>
      </c>
      <c r="D45" s="5">
        <v>39</v>
      </c>
      <c r="E45" s="8">
        <v>1</v>
      </c>
      <c r="F45" s="8">
        <v>0.95</v>
      </c>
      <c r="G45" s="8">
        <v>1</v>
      </c>
      <c r="H45" s="8">
        <v>0.93</v>
      </c>
      <c r="I45" s="9" t="s">
        <v>1031</v>
      </c>
      <c r="J45" s="9" t="s">
        <v>365</v>
      </c>
      <c r="K45" s="9" t="s">
        <v>320</v>
      </c>
      <c r="L45" s="19">
        <v>2.7E-2</v>
      </c>
      <c r="M45">
        <f t="shared" si="2"/>
        <v>4</v>
      </c>
      <c r="N45">
        <f t="shared" si="1"/>
        <v>1</v>
      </c>
      <c r="O45">
        <f t="shared" si="1"/>
        <v>4</v>
      </c>
      <c r="P45">
        <f t="shared" si="1"/>
        <v>3</v>
      </c>
    </row>
    <row r="46" spans="1:16" x14ac:dyDescent="0.25">
      <c r="A46" s="9" t="s">
        <v>166</v>
      </c>
      <c r="B46" s="4" t="s">
        <v>167</v>
      </c>
      <c r="C46" s="5">
        <v>13</v>
      </c>
      <c r="D46" s="5">
        <v>3</v>
      </c>
      <c r="E46" s="8">
        <v>1</v>
      </c>
      <c r="F46" s="8">
        <v>1</v>
      </c>
      <c r="G46" s="8">
        <v>1</v>
      </c>
      <c r="H46" s="8">
        <v>1</v>
      </c>
      <c r="I46" s="9" t="s">
        <v>1032</v>
      </c>
      <c r="J46" s="9" t="s">
        <v>366</v>
      </c>
      <c r="K46" s="9" t="s">
        <v>399</v>
      </c>
      <c r="L46" s="19">
        <v>0</v>
      </c>
      <c r="M46">
        <f t="shared" si="2"/>
        <v>4</v>
      </c>
      <c r="N46">
        <f t="shared" si="1"/>
        <v>4</v>
      </c>
      <c r="O46">
        <f t="shared" si="1"/>
        <v>4</v>
      </c>
      <c r="P46">
        <f t="shared" si="1"/>
        <v>4</v>
      </c>
    </row>
    <row r="47" spans="1:16" x14ac:dyDescent="0.25">
      <c r="A47" s="9" t="s">
        <v>168</v>
      </c>
      <c r="B47" s="4" t="s">
        <v>169</v>
      </c>
      <c r="C47" s="5">
        <v>51</v>
      </c>
      <c r="D47" s="5">
        <v>34</v>
      </c>
      <c r="E47" s="8">
        <v>0.98</v>
      </c>
      <c r="F47" s="8">
        <v>1</v>
      </c>
      <c r="G47" s="8">
        <v>0.98</v>
      </c>
      <c r="H47" s="8">
        <v>0.94</v>
      </c>
      <c r="I47" s="9" t="s">
        <v>1033</v>
      </c>
      <c r="J47" s="9" t="s">
        <v>1034</v>
      </c>
      <c r="K47" s="9" t="s">
        <v>295</v>
      </c>
      <c r="L47" s="19">
        <v>1.0999999999999999E-2</v>
      </c>
      <c r="M47">
        <f t="shared" si="2"/>
        <v>3</v>
      </c>
      <c r="N47">
        <f t="shared" si="1"/>
        <v>4</v>
      </c>
      <c r="O47">
        <f t="shared" si="1"/>
        <v>4</v>
      </c>
      <c r="P47">
        <f t="shared" si="1"/>
        <v>3</v>
      </c>
    </row>
    <row r="48" spans="1:16" x14ac:dyDescent="0.25">
      <c r="A48" s="9" t="s">
        <v>172</v>
      </c>
      <c r="B48" s="4" t="s">
        <v>173</v>
      </c>
      <c r="C48" s="5">
        <v>64</v>
      </c>
      <c r="D48" s="5">
        <v>18</v>
      </c>
      <c r="E48" s="8">
        <v>0.69</v>
      </c>
      <c r="F48" s="8">
        <v>0.98</v>
      </c>
      <c r="G48" s="8">
        <v>0.71</v>
      </c>
      <c r="H48" s="8">
        <v>0.94</v>
      </c>
      <c r="I48" s="9" t="s">
        <v>1035</v>
      </c>
      <c r="J48" s="9" t="s">
        <v>369</v>
      </c>
      <c r="K48" s="9" t="s">
        <v>343</v>
      </c>
      <c r="L48" s="19">
        <v>6.0000000000000001E-3</v>
      </c>
      <c r="M48">
        <f t="shared" si="2"/>
        <v>1</v>
      </c>
      <c r="N48">
        <f t="shared" si="1"/>
        <v>2</v>
      </c>
      <c r="O48">
        <f t="shared" si="1"/>
        <v>1</v>
      </c>
      <c r="P48">
        <f t="shared" si="1"/>
        <v>3</v>
      </c>
    </row>
    <row r="49" spans="1:16" x14ac:dyDescent="0.25">
      <c r="A49" s="9" t="s">
        <v>174</v>
      </c>
      <c r="B49" s="4" t="s">
        <v>175</v>
      </c>
      <c r="C49" s="5">
        <v>16</v>
      </c>
      <c r="D49" s="5">
        <v>11</v>
      </c>
      <c r="E49" s="8">
        <v>0.31</v>
      </c>
      <c r="F49" s="8">
        <v>1</v>
      </c>
      <c r="G49" s="8">
        <v>0.27</v>
      </c>
      <c r="H49" s="8">
        <v>0.19</v>
      </c>
      <c r="I49" s="9" t="s">
        <v>1036</v>
      </c>
      <c r="J49" s="9" t="s">
        <v>370</v>
      </c>
      <c r="K49" s="9" t="s">
        <v>242</v>
      </c>
      <c r="L49" s="19">
        <v>0</v>
      </c>
      <c r="M49">
        <f t="shared" si="2"/>
        <v>1</v>
      </c>
      <c r="N49">
        <f t="shared" si="1"/>
        <v>4</v>
      </c>
      <c r="O49">
        <f t="shared" si="1"/>
        <v>1</v>
      </c>
      <c r="P49">
        <f t="shared" si="1"/>
        <v>1</v>
      </c>
    </row>
    <row r="50" spans="1:16" x14ac:dyDescent="0.25">
      <c r="A50" s="9" t="s">
        <v>83</v>
      </c>
      <c r="B50" s="4" t="s">
        <v>84</v>
      </c>
      <c r="C50" s="5">
        <v>87</v>
      </c>
      <c r="D50" s="5">
        <v>27</v>
      </c>
      <c r="E50" s="8">
        <v>0.74</v>
      </c>
      <c r="F50" s="8">
        <v>1</v>
      </c>
      <c r="G50" s="8">
        <v>0.73</v>
      </c>
      <c r="H50" s="8">
        <v>0.74</v>
      </c>
      <c r="I50" s="9" t="s">
        <v>1037</v>
      </c>
      <c r="J50" s="9" t="s">
        <v>325</v>
      </c>
      <c r="K50" s="9" t="s">
        <v>320</v>
      </c>
      <c r="L50" s="19">
        <v>2.1000000000000001E-2</v>
      </c>
      <c r="M50">
        <f t="shared" si="2"/>
        <v>1</v>
      </c>
      <c r="N50">
        <f t="shared" si="1"/>
        <v>4</v>
      </c>
      <c r="O50">
        <f t="shared" si="1"/>
        <v>1</v>
      </c>
      <c r="P50">
        <f t="shared" si="1"/>
        <v>1</v>
      </c>
    </row>
    <row r="51" spans="1:16" x14ac:dyDescent="0.25">
      <c r="A51" s="9" t="s">
        <v>124</v>
      </c>
      <c r="B51" s="4" t="s">
        <v>125</v>
      </c>
      <c r="C51" s="5">
        <v>60</v>
      </c>
      <c r="D51" s="5">
        <v>35</v>
      </c>
      <c r="E51" s="8">
        <v>0.97</v>
      </c>
      <c r="F51" s="8">
        <v>0.97</v>
      </c>
      <c r="G51" s="8">
        <v>0.96</v>
      </c>
      <c r="H51" s="8">
        <v>0.95</v>
      </c>
      <c r="I51" s="9" t="s">
        <v>1038</v>
      </c>
      <c r="J51" s="9" t="s">
        <v>235</v>
      </c>
      <c r="K51" s="9" t="s">
        <v>322</v>
      </c>
      <c r="L51" s="19">
        <v>2.8000000000000001E-2</v>
      </c>
      <c r="M51">
        <f t="shared" si="2"/>
        <v>3</v>
      </c>
      <c r="N51">
        <f t="shared" si="1"/>
        <v>2</v>
      </c>
      <c r="O51">
        <f t="shared" si="1"/>
        <v>3</v>
      </c>
      <c r="P51">
        <f t="shared" si="1"/>
        <v>3</v>
      </c>
    </row>
    <row r="52" spans="1:16" x14ac:dyDescent="0.25">
      <c r="A52" s="9" t="s">
        <v>89</v>
      </c>
      <c r="B52" s="4" t="s">
        <v>90</v>
      </c>
      <c r="C52" s="5">
        <v>42</v>
      </c>
      <c r="D52" s="5">
        <v>26</v>
      </c>
      <c r="E52" s="8">
        <v>0.93</v>
      </c>
      <c r="F52" s="8">
        <v>1</v>
      </c>
      <c r="G52" s="8">
        <v>0.92</v>
      </c>
      <c r="H52" s="8">
        <v>0.71</v>
      </c>
      <c r="I52" s="9" t="s">
        <v>1039</v>
      </c>
      <c r="J52" s="9" t="s">
        <v>241</v>
      </c>
      <c r="K52" s="9" t="s">
        <v>236</v>
      </c>
      <c r="L52" s="19">
        <v>3.4000000000000002E-2</v>
      </c>
      <c r="M52">
        <f t="shared" si="2"/>
        <v>2</v>
      </c>
      <c r="N52">
        <f t="shared" si="1"/>
        <v>4</v>
      </c>
      <c r="O52">
        <f t="shared" si="1"/>
        <v>3</v>
      </c>
      <c r="P52">
        <f t="shared" si="1"/>
        <v>1</v>
      </c>
    </row>
    <row r="53" spans="1:16" x14ac:dyDescent="0.25">
      <c r="A53" s="9" t="s">
        <v>91</v>
      </c>
      <c r="B53" s="4" t="s">
        <v>92</v>
      </c>
      <c r="C53" s="5">
        <v>36</v>
      </c>
      <c r="D53" s="5">
        <v>24</v>
      </c>
      <c r="E53" s="8">
        <v>0.94</v>
      </c>
      <c r="F53" s="8">
        <v>0.92</v>
      </c>
      <c r="G53" s="8">
        <v>0.94</v>
      </c>
      <c r="H53" s="8">
        <v>0.94</v>
      </c>
      <c r="I53" s="9" t="s">
        <v>1040</v>
      </c>
      <c r="J53" s="9" t="s">
        <v>359</v>
      </c>
      <c r="K53" s="9" t="s">
        <v>349</v>
      </c>
      <c r="L53" s="19">
        <v>1.4999999999999999E-2</v>
      </c>
      <c r="M53">
        <f t="shared" si="2"/>
        <v>2</v>
      </c>
      <c r="N53">
        <f t="shared" si="1"/>
        <v>1</v>
      </c>
      <c r="O53">
        <f t="shared" si="1"/>
        <v>3</v>
      </c>
      <c r="P53">
        <f t="shared" si="1"/>
        <v>3</v>
      </c>
    </row>
    <row r="54" spans="1:16" x14ac:dyDescent="0.25">
      <c r="A54" s="9" t="s">
        <v>144</v>
      </c>
      <c r="B54" s="4" t="s">
        <v>145</v>
      </c>
      <c r="C54" s="5">
        <v>45</v>
      </c>
      <c r="D54" s="5">
        <v>38</v>
      </c>
      <c r="E54" s="8">
        <v>0.93</v>
      </c>
      <c r="F54" s="8">
        <v>1</v>
      </c>
      <c r="G54" s="8">
        <v>0.93</v>
      </c>
      <c r="H54" s="8">
        <v>0.93</v>
      </c>
      <c r="I54" s="9" t="s">
        <v>1041</v>
      </c>
      <c r="J54" s="9" t="s">
        <v>1042</v>
      </c>
      <c r="K54" s="9" t="s">
        <v>320</v>
      </c>
      <c r="L54" s="19">
        <v>1.0999999999999999E-2</v>
      </c>
      <c r="M54">
        <f t="shared" si="2"/>
        <v>2</v>
      </c>
      <c r="N54">
        <f t="shared" si="1"/>
        <v>4</v>
      </c>
      <c r="O54">
        <f t="shared" si="1"/>
        <v>3</v>
      </c>
      <c r="P54">
        <f t="shared" si="1"/>
        <v>3</v>
      </c>
    </row>
    <row r="55" spans="1:16" x14ac:dyDescent="0.25">
      <c r="A55" s="9" t="s">
        <v>118</v>
      </c>
      <c r="B55" s="4" t="s">
        <v>119</v>
      </c>
      <c r="C55" s="5">
        <v>84</v>
      </c>
      <c r="D55" s="5">
        <v>48</v>
      </c>
      <c r="E55" s="8">
        <v>0.89</v>
      </c>
      <c r="F55" s="8">
        <v>0.96</v>
      </c>
      <c r="G55" s="8">
        <v>0.89</v>
      </c>
      <c r="H55" s="8">
        <v>0.88</v>
      </c>
      <c r="I55" s="9" t="s">
        <v>1043</v>
      </c>
      <c r="J55" s="9" t="s">
        <v>240</v>
      </c>
      <c r="K55" s="9" t="s">
        <v>295</v>
      </c>
      <c r="L55" s="19">
        <v>1.2999999999999999E-2</v>
      </c>
      <c r="M55">
        <f t="shared" si="2"/>
        <v>2</v>
      </c>
      <c r="N55">
        <f t="shared" si="1"/>
        <v>1</v>
      </c>
      <c r="O55">
        <f t="shared" si="1"/>
        <v>2</v>
      </c>
      <c r="P55">
        <f t="shared" si="1"/>
        <v>2</v>
      </c>
    </row>
    <row r="56" spans="1:16" x14ac:dyDescent="0.25">
      <c r="A56" s="9" t="s">
        <v>128</v>
      </c>
      <c r="B56" s="4" t="s">
        <v>129</v>
      </c>
      <c r="C56" s="5">
        <v>57</v>
      </c>
      <c r="D56" s="5">
        <v>46</v>
      </c>
      <c r="E56" s="8">
        <v>0.96</v>
      </c>
      <c r="F56" s="8">
        <v>0.95</v>
      </c>
      <c r="G56" s="8">
        <v>0.96</v>
      </c>
      <c r="H56" s="8">
        <v>0.98</v>
      </c>
      <c r="I56" s="9" t="s">
        <v>1044</v>
      </c>
      <c r="J56" s="9" t="s">
        <v>365</v>
      </c>
      <c r="K56" s="9" t="s">
        <v>236</v>
      </c>
      <c r="L56" s="19">
        <v>1.2E-2</v>
      </c>
      <c r="M56">
        <f t="shared" si="2"/>
        <v>3</v>
      </c>
      <c r="N56">
        <f t="shared" si="1"/>
        <v>1</v>
      </c>
      <c r="O56">
        <f t="shared" si="1"/>
        <v>3</v>
      </c>
      <c r="P56">
        <f t="shared" si="1"/>
        <v>4</v>
      </c>
    </row>
    <row r="57" spans="1:16" x14ac:dyDescent="0.25">
      <c r="A57" s="9" t="s">
        <v>101</v>
      </c>
      <c r="B57" s="4" t="s">
        <v>102</v>
      </c>
      <c r="C57" s="5">
        <v>19</v>
      </c>
      <c r="D57" s="5">
        <v>15</v>
      </c>
      <c r="E57" s="8">
        <v>1</v>
      </c>
      <c r="F57" s="8">
        <v>1</v>
      </c>
      <c r="G57" s="8">
        <v>1</v>
      </c>
      <c r="H57" s="8">
        <v>1</v>
      </c>
      <c r="I57" s="9" t="s">
        <v>1045</v>
      </c>
      <c r="J57" s="9" t="s">
        <v>399</v>
      </c>
      <c r="K57" s="9" t="s">
        <v>1046</v>
      </c>
      <c r="L57" s="19">
        <v>2.9000000000000001E-2</v>
      </c>
      <c r="M57">
        <f t="shared" si="2"/>
        <v>4</v>
      </c>
      <c r="N57">
        <f t="shared" si="1"/>
        <v>4</v>
      </c>
      <c r="O57">
        <f t="shared" si="1"/>
        <v>4</v>
      </c>
      <c r="P57">
        <f t="shared" si="1"/>
        <v>4</v>
      </c>
    </row>
    <row r="58" spans="1:16" x14ac:dyDescent="0.25">
      <c r="A58" s="9" t="s">
        <v>42</v>
      </c>
      <c r="B58" s="4" t="s">
        <v>43</v>
      </c>
      <c r="C58" s="5">
        <v>40</v>
      </c>
      <c r="D58" s="5">
        <v>18</v>
      </c>
      <c r="E58" s="8">
        <v>0.95</v>
      </c>
      <c r="F58" s="8">
        <v>0.98</v>
      </c>
      <c r="G58" s="8">
        <v>0.91</v>
      </c>
      <c r="H58" s="8">
        <v>0.93</v>
      </c>
      <c r="I58" s="9" t="s">
        <v>1047</v>
      </c>
      <c r="J58" s="9" t="s">
        <v>357</v>
      </c>
      <c r="K58" s="9" t="s">
        <v>322</v>
      </c>
      <c r="L58" s="19">
        <v>3.5999999999999997E-2</v>
      </c>
      <c r="M58">
        <f t="shared" si="2"/>
        <v>3</v>
      </c>
      <c r="N58">
        <f t="shared" si="1"/>
        <v>2</v>
      </c>
      <c r="O58">
        <f t="shared" si="1"/>
        <v>3</v>
      </c>
      <c r="P58">
        <f t="shared" si="1"/>
        <v>3</v>
      </c>
    </row>
    <row r="59" spans="1:16" x14ac:dyDescent="0.25">
      <c r="A59" s="9" t="s">
        <v>111</v>
      </c>
      <c r="B59" s="4" t="s">
        <v>112</v>
      </c>
      <c r="C59" s="5">
        <v>6</v>
      </c>
      <c r="D59" s="5">
        <v>5</v>
      </c>
      <c r="E59" s="8">
        <v>1</v>
      </c>
      <c r="F59" s="8">
        <v>1</v>
      </c>
      <c r="G59" s="8">
        <v>1</v>
      </c>
      <c r="H59" s="8">
        <v>1</v>
      </c>
      <c r="I59" s="9" t="s">
        <v>1048</v>
      </c>
      <c r="J59" s="9" t="s">
        <v>399</v>
      </c>
      <c r="K59" s="9" t="s">
        <v>1049</v>
      </c>
      <c r="L59" s="19">
        <v>0</v>
      </c>
      <c r="M59">
        <f t="shared" si="2"/>
        <v>4</v>
      </c>
      <c r="N59">
        <f t="shared" si="1"/>
        <v>4</v>
      </c>
      <c r="O59">
        <f t="shared" si="1"/>
        <v>4</v>
      </c>
      <c r="P59">
        <f t="shared" si="1"/>
        <v>4</v>
      </c>
    </row>
    <row r="60" spans="1:16" x14ac:dyDescent="0.25">
      <c r="A60" s="9" t="s">
        <v>44</v>
      </c>
      <c r="B60" s="4" t="s">
        <v>45</v>
      </c>
      <c r="C60" s="5">
        <v>24</v>
      </c>
      <c r="D60" s="5">
        <v>19</v>
      </c>
      <c r="E60" s="8">
        <v>0.96</v>
      </c>
      <c r="F60" s="8">
        <v>1</v>
      </c>
      <c r="G60" s="8">
        <v>0.9</v>
      </c>
      <c r="H60" s="8">
        <v>0.96</v>
      </c>
      <c r="I60" s="9" t="s">
        <v>1050</v>
      </c>
      <c r="J60" s="9" t="s">
        <v>358</v>
      </c>
      <c r="K60" s="9" t="s">
        <v>320</v>
      </c>
      <c r="L60" s="19">
        <v>2.1999999999999999E-2</v>
      </c>
      <c r="M60">
        <f t="shared" si="2"/>
        <v>3</v>
      </c>
      <c r="N60">
        <f t="shared" si="1"/>
        <v>4</v>
      </c>
      <c r="O60">
        <f t="shared" si="1"/>
        <v>2</v>
      </c>
      <c r="P60">
        <f t="shared" si="1"/>
        <v>4</v>
      </c>
    </row>
    <row r="61" spans="1:16" x14ac:dyDescent="0.25">
      <c r="A61" s="9" t="s">
        <v>56</v>
      </c>
      <c r="B61" s="4" t="s">
        <v>57</v>
      </c>
      <c r="C61" s="5">
        <v>27</v>
      </c>
      <c r="D61" s="5">
        <v>13</v>
      </c>
      <c r="E61" s="8">
        <v>1</v>
      </c>
      <c r="F61" s="8">
        <v>1</v>
      </c>
      <c r="G61" s="8">
        <v>1</v>
      </c>
      <c r="H61" s="8">
        <v>0.81</v>
      </c>
      <c r="I61" s="9" t="s">
        <v>1051</v>
      </c>
      <c r="J61" s="9" t="s">
        <v>275</v>
      </c>
      <c r="K61" s="9" t="s">
        <v>322</v>
      </c>
      <c r="L61" s="19">
        <v>1.4E-2</v>
      </c>
      <c r="M61">
        <f t="shared" si="2"/>
        <v>4</v>
      </c>
      <c r="N61">
        <f t="shared" si="1"/>
        <v>4</v>
      </c>
      <c r="O61">
        <f t="shared" si="1"/>
        <v>4</v>
      </c>
      <c r="P61">
        <f t="shared" si="1"/>
        <v>2</v>
      </c>
    </row>
    <row r="62" spans="1:16" x14ac:dyDescent="0.25">
      <c r="A62" s="9" t="s">
        <v>23</v>
      </c>
      <c r="B62" s="4" t="s">
        <v>24</v>
      </c>
      <c r="C62" s="5">
        <v>50</v>
      </c>
      <c r="D62" s="5">
        <v>33</v>
      </c>
      <c r="E62" s="8">
        <v>0.6</v>
      </c>
      <c r="F62" s="8">
        <v>1</v>
      </c>
      <c r="G62" s="8">
        <v>0.61</v>
      </c>
      <c r="H62" s="8">
        <v>0.7</v>
      </c>
      <c r="I62" s="9" t="s">
        <v>1052</v>
      </c>
      <c r="J62" s="9" t="s">
        <v>355</v>
      </c>
      <c r="K62" s="9" t="s">
        <v>320</v>
      </c>
      <c r="L62" s="19">
        <v>0</v>
      </c>
      <c r="M62">
        <f t="shared" si="2"/>
        <v>1</v>
      </c>
      <c r="N62">
        <f t="shared" si="1"/>
        <v>4</v>
      </c>
      <c r="O62">
        <f t="shared" si="1"/>
        <v>1</v>
      </c>
      <c r="P62">
        <f t="shared" si="1"/>
        <v>1</v>
      </c>
    </row>
    <row r="63" spans="1:16" x14ac:dyDescent="0.25">
      <c r="A63" s="9" t="s">
        <v>97</v>
      </c>
      <c r="B63" s="4" t="s">
        <v>98</v>
      </c>
      <c r="C63" s="5">
        <v>83</v>
      </c>
      <c r="D63" s="5">
        <v>46</v>
      </c>
      <c r="E63" s="8">
        <v>0.88</v>
      </c>
      <c r="F63" s="8">
        <v>0.99</v>
      </c>
      <c r="G63" s="8">
        <v>0.71</v>
      </c>
      <c r="H63" s="8">
        <v>0.75</v>
      </c>
      <c r="I63" s="9" t="s">
        <v>1053</v>
      </c>
      <c r="J63" s="9" t="s">
        <v>333</v>
      </c>
      <c r="K63" s="9" t="s">
        <v>319</v>
      </c>
      <c r="L63" s="19">
        <v>1.6E-2</v>
      </c>
      <c r="M63">
        <f t="shared" si="2"/>
        <v>1</v>
      </c>
      <c r="N63">
        <f t="shared" si="1"/>
        <v>3</v>
      </c>
      <c r="O63">
        <f t="shared" si="1"/>
        <v>1</v>
      </c>
      <c r="P63">
        <f t="shared" si="1"/>
        <v>2</v>
      </c>
    </row>
    <row r="64" spans="1:16" x14ac:dyDescent="0.25">
      <c r="A64" s="9" t="s">
        <v>60</v>
      </c>
      <c r="B64" s="4" t="s">
        <v>61</v>
      </c>
      <c r="C64" s="5">
        <v>28</v>
      </c>
      <c r="D64" s="5">
        <v>16</v>
      </c>
      <c r="E64" s="8">
        <v>0.89</v>
      </c>
      <c r="F64" s="8">
        <v>1</v>
      </c>
      <c r="G64" s="8">
        <v>0.8</v>
      </c>
      <c r="H64" s="8">
        <v>0.71</v>
      </c>
      <c r="I64" s="9" t="s">
        <v>1054</v>
      </c>
      <c r="J64" s="9" t="s">
        <v>386</v>
      </c>
      <c r="K64" s="9" t="s">
        <v>243</v>
      </c>
      <c r="L64" s="19">
        <v>1.4E-2</v>
      </c>
      <c r="M64">
        <f t="shared" si="2"/>
        <v>2</v>
      </c>
      <c r="N64">
        <f t="shared" si="1"/>
        <v>4</v>
      </c>
      <c r="O64">
        <f t="shared" si="1"/>
        <v>1</v>
      </c>
      <c r="P64">
        <f t="shared" si="1"/>
        <v>1</v>
      </c>
    </row>
    <row r="65" spans="1:16" x14ac:dyDescent="0.25">
      <c r="A65" s="9" t="s">
        <v>156</v>
      </c>
      <c r="B65" s="4" t="s">
        <v>157</v>
      </c>
      <c r="C65" s="5">
        <v>30</v>
      </c>
      <c r="D65" s="5">
        <v>19</v>
      </c>
      <c r="E65" s="8">
        <v>0.97</v>
      </c>
      <c r="F65" s="8">
        <v>0.97</v>
      </c>
      <c r="G65" s="8">
        <v>0.96</v>
      </c>
      <c r="H65" s="8">
        <v>0.87</v>
      </c>
      <c r="I65" s="9" t="s">
        <v>1055</v>
      </c>
      <c r="J65" s="9" t="s">
        <v>1056</v>
      </c>
      <c r="K65" s="9" t="s">
        <v>330</v>
      </c>
      <c r="L65" s="19">
        <v>0</v>
      </c>
      <c r="M65">
        <f t="shared" si="2"/>
        <v>3</v>
      </c>
      <c r="N65">
        <f t="shared" si="1"/>
        <v>2</v>
      </c>
      <c r="O65">
        <f t="shared" si="1"/>
        <v>3</v>
      </c>
      <c r="P65">
        <f t="shared" si="1"/>
        <v>2</v>
      </c>
    </row>
    <row r="66" spans="1:16" x14ac:dyDescent="0.25">
      <c r="A66" s="9" t="s">
        <v>122</v>
      </c>
      <c r="B66" s="4" t="s">
        <v>123</v>
      </c>
      <c r="C66" s="5">
        <v>39</v>
      </c>
      <c r="D66" s="5">
        <v>17</v>
      </c>
      <c r="E66" s="8">
        <v>0.85</v>
      </c>
      <c r="F66" s="8">
        <v>0.92</v>
      </c>
      <c r="G66" s="8">
        <v>0.81</v>
      </c>
      <c r="H66" s="8">
        <v>0.92</v>
      </c>
      <c r="I66" s="9" t="s">
        <v>1057</v>
      </c>
      <c r="J66" s="9" t="s">
        <v>1058</v>
      </c>
      <c r="K66" s="9" t="s">
        <v>320</v>
      </c>
      <c r="L66" s="19">
        <v>0</v>
      </c>
      <c r="M66">
        <f t="shared" si="2"/>
        <v>1</v>
      </c>
      <c r="N66">
        <f t="shared" si="1"/>
        <v>1</v>
      </c>
      <c r="O66">
        <f t="shared" si="1"/>
        <v>1</v>
      </c>
      <c r="P66">
        <f t="shared" si="1"/>
        <v>3</v>
      </c>
    </row>
    <row r="67" spans="1:16" x14ac:dyDescent="0.25">
      <c r="A67" s="9" t="s">
        <v>21</v>
      </c>
      <c r="B67" s="4" t="s">
        <v>22</v>
      </c>
      <c r="C67" s="5">
        <v>31</v>
      </c>
      <c r="D67" s="5">
        <v>18</v>
      </c>
      <c r="E67" s="8">
        <v>0.97</v>
      </c>
      <c r="F67" s="8">
        <v>0.97</v>
      </c>
      <c r="G67" s="8">
        <v>0.9</v>
      </c>
      <c r="H67" s="8">
        <v>0.81</v>
      </c>
      <c r="I67" s="9" t="s">
        <v>1059</v>
      </c>
      <c r="J67" s="9" t="s">
        <v>354</v>
      </c>
      <c r="K67" s="9" t="s">
        <v>330</v>
      </c>
      <c r="L67" s="19">
        <v>1.2E-2</v>
      </c>
      <c r="M67">
        <f t="shared" si="2"/>
        <v>3</v>
      </c>
      <c r="N67">
        <f t="shared" si="1"/>
        <v>2</v>
      </c>
      <c r="O67">
        <f t="shared" si="1"/>
        <v>2</v>
      </c>
      <c r="P67">
        <f t="shared" si="1"/>
        <v>2</v>
      </c>
    </row>
    <row r="68" spans="1:16" x14ac:dyDescent="0.25">
      <c r="A68" s="9" t="s">
        <v>68</v>
      </c>
      <c r="B68" s="4" t="s">
        <v>69</v>
      </c>
      <c r="C68" s="5">
        <v>90</v>
      </c>
      <c r="D68" s="5">
        <v>86</v>
      </c>
      <c r="E68" s="8">
        <v>0.7</v>
      </c>
      <c r="F68" s="8">
        <v>0.98</v>
      </c>
      <c r="G68" s="8">
        <v>0.69</v>
      </c>
      <c r="H68" s="8">
        <v>0.71</v>
      </c>
      <c r="I68" s="9" t="s">
        <v>1060</v>
      </c>
      <c r="J68" s="9" t="s">
        <v>399</v>
      </c>
      <c r="K68" s="9" t="s">
        <v>236</v>
      </c>
      <c r="L68" s="19">
        <v>0</v>
      </c>
      <c r="M68">
        <f t="shared" si="2"/>
        <v>1</v>
      </c>
      <c r="N68">
        <f t="shared" si="1"/>
        <v>2</v>
      </c>
      <c r="O68">
        <f t="shared" si="1"/>
        <v>1</v>
      </c>
      <c r="P68">
        <f t="shared" si="1"/>
        <v>1</v>
      </c>
    </row>
    <row r="69" spans="1:16" x14ac:dyDescent="0.25">
      <c r="A69" s="9" t="s">
        <v>4</v>
      </c>
      <c r="B69" s="4" t="s">
        <v>213</v>
      </c>
      <c r="C69" s="5">
        <v>68</v>
      </c>
      <c r="D69" s="5">
        <v>29</v>
      </c>
      <c r="E69" s="8">
        <v>1</v>
      </c>
      <c r="F69" s="8">
        <v>0.99</v>
      </c>
      <c r="G69" s="8">
        <v>0.92</v>
      </c>
      <c r="H69" s="8">
        <v>0.96</v>
      </c>
      <c r="I69" s="9" t="s">
        <v>1061</v>
      </c>
      <c r="J69" s="9" t="s">
        <v>348</v>
      </c>
      <c r="K69" s="9" t="s">
        <v>349</v>
      </c>
      <c r="L69" s="19">
        <v>2.1999999999999999E-2</v>
      </c>
      <c r="M69">
        <f t="shared" si="2"/>
        <v>4</v>
      </c>
      <c r="N69">
        <f t="shared" si="1"/>
        <v>3</v>
      </c>
      <c r="O69">
        <f t="shared" si="1"/>
        <v>3</v>
      </c>
      <c r="P69">
        <f t="shared" si="1"/>
        <v>4</v>
      </c>
    </row>
    <row r="70" spans="1:16" x14ac:dyDescent="0.25">
      <c r="A70" s="9" t="s">
        <v>25</v>
      </c>
      <c r="B70" s="4" t="s">
        <v>26</v>
      </c>
      <c r="C70" s="5">
        <v>56</v>
      </c>
      <c r="D70" s="5">
        <v>30</v>
      </c>
      <c r="E70" s="8">
        <v>0.98</v>
      </c>
      <c r="F70" s="8">
        <v>0.98</v>
      </c>
      <c r="G70" s="8">
        <v>0.98</v>
      </c>
      <c r="H70" s="8">
        <v>0.98</v>
      </c>
      <c r="I70" s="9" t="s">
        <v>1062</v>
      </c>
      <c r="J70" s="9" t="s">
        <v>389</v>
      </c>
      <c r="K70" s="9" t="s">
        <v>320</v>
      </c>
      <c r="L70" s="19">
        <v>2.3E-2</v>
      </c>
      <c r="M70">
        <f t="shared" si="2"/>
        <v>3</v>
      </c>
      <c r="N70">
        <f t="shared" si="1"/>
        <v>2</v>
      </c>
      <c r="O70">
        <f t="shared" si="1"/>
        <v>4</v>
      </c>
      <c r="P70">
        <f t="shared" si="1"/>
        <v>4</v>
      </c>
    </row>
    <row r="71" spans="1:16" x14ac:dyDescent="0.25">
      <c r="A71" s="9" t="s">
        <v>87</v>
      </c>
      <c r="B71" s="4" t="s">
        <v>88</v>
      </c>
      <c r="C71" s="5">
        <v>57</v>
      </c>
      <c r="D71" s="5">
        <v>32</v>
      </c>
      <c r="E71" s="8">
        <v>0.93</v>
      </c>
      <c r="F71" s="8">
        <v>0.96</v>
      </c>
      <c r="G71" s="8">
        <v>0.93</v>
      </c>
      <c r="H71" s="8">
        <v>0.77</v>
      </c>
      <c r="I71" s="9" t="s">
        <v>1063</v>
      </c>
      <c r="J71" s="9" t="s">
        <v>359</v>
      </c>
      <c r="K71" s="9" t="s">
        <v>322</v>
      </c>
      <c r="L71" s="19">
        <v>0</v>
      </c>
      <c r="M71">
        <f t="shared" si="2"/>
        <v>2</v>
      </c>
      <c r="N71">
        <f t="shared" si="1"/>
        <v>1</v>
      </c>
      <c r="O71">
        <f t="shared" si="1"/>
        <v>3</v>
      </c>
      <c r="P71">
        <f t="shared" si="1"/>
        <v>2</v>
      </c>
    </row>
    <row r="72" spans="1:16" x14ac:dyDescent="0.25">
      <c r="A72" s="9" t="s">
        <v>17</v>
      </c>
      <c r="B72" s="4" t="s">
        <v>18</v>
      </c>
      <c r="C72" s="5">
        <v>30</v>
      </c>
      <c r="D72" s="5">
        <v>21</v>
      </c>
      <c r="E72" s="8">
        <v>1</v>
      </c>
      <c r="F72" s="8">
        <v>1</v>
      </c>
      <c r="G72" s="8">
        <v>1</v>
      </c>
      <c r="H72" s="8">
        <v>0.97</v>
      </c>
      <c r="I72" s="9" t="s">
        <v>1064</v>
      </c>
      <c r="J72" s="9" t="s">
        <v>353</v>
      </c>
      <c r="K72" s="9" t="s">
        <v>322</v>
      </c>
      <c r="L72" s="19">
        <v>0</v>
      </c>
      <c r="M72">
        <f t="shared" si="2"/>
        <v>4</v>
      </c>
      <c r="N72">
        <f t="shared" si="2"/>
        <v>4</v>
      </c>
      <c r="O72">
        <f t="shared" si="2"/>
        <v>4</v>
      </c>
      <c r="P72">
        <f t="shared" si="2"/>
        <v>4</v>
      </c>
    </row>
    <row r="73" spans="1:16" x14ac:dyDescent="0.25">
      <c r="A73" s="9" t="s">
        <v>132</v>
      </c>
      <c r="B73" s="4" t="s">
        <v>133</v>
      </c>
      <c r="C73" s="5">
        <v>26</v>
      </c>
      <c r="D73" s="5">
        <v>13</v>
      </c>
      <c r="E73" s="8">
        <v>0.96</v>
      </c>
      <c r="F73" s="8">
        <v>1</v>
      </c>
      <c r="G73" s="8">
        <v>0.96</v>
      </c>
      <c r="H73" s="8">
        <v>1</v>
      </c>
      <c r="I73" s="9" t="s">
        <v>1065</v>
      </c>
      <c r="J73" s="9" t="s">
        <v>359</v>
      </c>
      <c r="K73" s="9" t="s">
        <v>233</v>
      </c>
      <c r="L73" s="19">
        <v>4.8000000000000001E-2</v>
      </c>
      <c r="M73">
        <f t="shared" ref="M73:P83" si="3">+IF(E73&lt;E$2,1,IF(E73&lt;E$3,2,IF(E73&lt;E$4,3,4)))</f>
        <v>3</v>
      </c>
      <c r="N73">
        <f t="shared" si="3"/>
        <v>4</v>
      </c>
      <c r="O73">
        <f t="shared" si="3"/>
        <v>3</v>
      </c>
      <c r="P73">
        <f t="shared" si="3"/>
        <v>4</v>
      </c>
    </row>
    <row r="74" spans="1:16" x14ac:dyDescent="0.25">
      <c r="A74" s="9" t="s">
        <v>70</v>
      </c>
      <c r="B74" s="4" t="s">
        <v>71</v>
      </c>
      <c r="C74" s="5">
        <v>127</v>
      </c>
      <c r="D74" s="5">
        <v>69</v>
      </c>
      <c r="E74" s="8">
        <v>0.99</v>
      </c>
      <c r="F74" s="8">
        <v>0.98</v>
      </c>
      <c r="G74" s="8">
        <v>0.98</v>
      </c>
      <c r="H74" s="8">
        <v>0.94</v>
      </c>
      <c r="I74" s="9" t="s">
        <v>1066</v>
      </c>
      <c r="J74" s="9" t="s">
        <v>361</v>
      </c>
      <c r="K74" s="9" t="s">
        <v>320</v>
      </c>
      <c r="L74" s="19">
        <v>2.3E-2</v>
      </c>
      <c r="M74">
        <f t="shared" si="3"/>
        <v>3</v>
      </c>
      <c r="N74">
        <f t="shared" si="3"/>
        <v>2</v>
      </c>
      <c r="O74">
        <f t="shared" si="3"/>
        <v>4</v>
      </c>
      <c r="P74">
        <f t="shared" si="3"/>
        <v>3</v>
      </c>
    </row>
    <row r="75" spans="1:16" x14ac:dyDescent="0.25">
      <c r="A75" s="9" t="s">
        <v>58</v>
      </c>
      <c r="B75" s="4" t="s">
        <v>59</v>
      </c>
      <c r="C75" s="5">
        <v>98</v>
      </c>
      <c r="D75" s="5">
        <v>41</v>
      </c>
      <c r="E75" s="8">
        <v>0.92</v>
      </c>
      <c r="F75" s="8">
        <v>1</v>
      </c>
      <c r="G75" s="8">
        <v>0.91</v>
      </c>
      <c r="H75" s="8">
        <v>0.9</v>
      </c>
      <c r="I75" s="9" t="s">
        <v>1067</v>
      </c>
      <c r="J75" s="9" t="s">
        <v>359</v>
      </c>
      <c r="K75" s="9" t="s">
        <v>322</v>
      </c>
      <c r="L75" s="19">
        <v>1.0999999999999999E-2</v>
      </c>
      <c r="M75">
        <f t="shared" si="3"/>
        <v>2</v>
      </c>
      <c r="N75">
        <f t="shared" si="3"/>
        <v>4</v>
      </c>
      <c r="O75">
        <f t="shared" si="3"/>
        <v>3</v>
      </c>
      <c r="P75">
        <f t="shared" si="3"/>
        <v>2</v>
      </c>
    </row>
    <row r="76" spans="1:16" x14ac:dyDescent="0.25">
      <c r="A76" s="9" t="s">
        <v>107</v>
      </c>
      <c r="B76" s="4" t="s">
        <v>108</v>
      </c>
      <c r="C76" s="5">
        <v>80</v>
      </c>
      <c r="D76" s="5">
        <v>69</v>
      </c>
      <c r="E76" s="8">
        <v>0.98</v>
      </c>
      <c r="F76" s="8">
        <v>1</v>
      </c>
      <c r="G76" s="8">
        <v>0.97</v>
      </c>
      <c r="H76" s="8">
        <v>0.95</v>
      </c>
      <c r="I76" s="9" t="s">
        <v>1068</v>
      </c>
      <c r="J76" s="9" t="s">
        <v>355</v>
      </c>
      <c r="K76" s="9" t="s">
        <v>322</v>
      </c>
      <c r="L76" s="19">
        <v>1.7000000000000001E-2</v>
      </c>
      <c r="M76">
        <f t="shared" si="3"/>
        <v>3</v>
      </c>
      <c r="N76">
        <f t="shared" si="3"/>
        <v>4</v>
      </c>
      <c r="O76">
        <f t="shared" si="3"/>
        <v>4</v>
      </c>
      <c r="P76">
        <f t="shared" si="3"/>
        <v>3</v>
      </c>
    </row>
    <row r="77" spans="1:16" x14ac:dyDescent="0.25">
      <c r="A77" s="9" t="s">
        <v>77</v>
      </c>
      <c r="B77" s="4" t="s">
        <v>78</v>
      </c>
      <c r="C77" s="5">
        <v>46</v>
      </c>
      <c r="D77" s="5">
        <v>30</v>
      </c>
      <c r="E77" s="8">
        <v>0.98</v>
      </c>
      <c r="F77" s="8">
        <v>1</v>
      </c>
      <c r="G77" s="8">
        <v>0.95</v>
      </c>
      <c r="H77" s="8">
        <v>0.93</v>
      </c>
      <c r="I77" s="9" t="s">
        <v>1069</v>
      </c>
      <c r="J77" s="9" t="s">
        <v>348</v>
      </c>
      <c r="K77" s="9" t="s">
        <v>232</v>
      </c>
      <c r="L77" s="19">
        <v>2.5000000000000001E-2</v>
      </c>
      <c r="M77">
        <f t="shared" si="3"/>
        <v>3</v>
      </c>
      <c r="N77">
        <f t="shared" si="3"/>
        <v>4</v>
      </c>
      <c r="O77">
        <f t="shared" si="3"/>
        <v>3</v>
      </c>
      <c r="P77">
        <f t="shared" si="3"/>
        <v>3</v>
      </c>
    </row>
    <row r="78" spans="1:16" x14ac:dyDescent="0.25">
      <c r="A78" s="9" t="s">
        <v>117</v>
      </c>
      <c r="B78" s="1" t="s">
        <v>400</v>
      </c>
      <c r="C78" s="5">
        <v>68</v>
      </c>
      <c r="D78" s="5">
        <v>53</v>
      </c>
      <c r="E78" s="8">
        <v>1</v>
      </c>
      <c r="F78" s="8">
        <v>1</v>
      </c>
      <c r="G78" s="8">
        <v>0.98</v>
      </c>
      <c r="H78" s="8">
        <v>0.99</v>
      </c>
      <c r="I78" s="9" t="s">
        <v>1070</v>
      </c>
      <c r="J78" s="9" t="s">
        <v>363</v>
      </c>
      <c r="K78" s="9" t="s">
        <v>227</v>
      </c>
      <c r="L78" s="19">
        <v>2.1000000000000001E-2</v>
      </c>
      <c r="M78">
        <f t="shared" si="3"/>
        <v>4</v>
      </c>
      <c r="N78">
        <f t="shared" si="3"/>
        <v>4</v>
      </c>
      <c r="O78">
        <f t="shared" si="3"/>
        <v>4</v>
      </c>
      <c r="P78">
        <f t="shared" si="3"/>
        <v>4</v>
      </c>
    </row>
    <row r="79" spans="1:16" x14ac:dyDescent="0.25">
      <c r="A79" s="9" t="s">
        <v>134</v>
      </c>
      <c r="B79" s="4" t="s">
        <v>135</v>
      </c>
      <c r="C79" s="5">
        <v>60</v>
      </c>
      <c r="D79" s="5">
        <v>30</v>
      </c>
      <c r="E79" s="8">
        <v>0.6</v>
      </c>
      <c r="F79" s="8">
        <v>0.97</v>
      </c>
      <c r="G79" s="8">
        <v>0.56000000000000005</v>
      </c>
      <c r="H79" s="8">
        <v>0.35</v>
      </c>
      <c r="I79" s="9" t="s">
        <v>1071</v>
      </c>
      <c r="J79" s="9" t="s">
        <v>366</v>
      </c>
      <c r="K79" s="9" t="s">
        <v>345</v>
      </c>
      <c r="L79" s="19">
        <v>5.0000000000000001E-3</v>
      </c>
      <c r="M79">
        <f t="shared" si="3"/>
        <v>1</v>
      </c>
      <c r="N79">
        <f t="shared" si="3"/>
        <v>2</v>
      </c>
      <c r="O79">
        <f t="shared" si="3"/>
        <v>1</v>
      </c>
      <c r="P79">
        <f t="shared" si="3"/>
        <v>1</v>
      </c>
    </row>
    <row r="80" spans="1:16" x14ac:dyDescent="0.25">
      <c r="A80" s="9" t="s">
        <v>76</v>
      </c>
      <c r="B80" s="4" t="s">
        <v>214</v>
      </c>
      <c r="C80" s="5">
        <v>36</v>
      </c>
      <c r="D80" s="5">
        <v>21</v>
      </c>
      <c r="E80" s="8">
        <v>0.97</v>
      </c>
      <c r="F80" s="8">
        <v>1</v>
      </c>
      <c r="G80" s="8">
        <v>1</v>
      </c>
      <c r="H80" s="8">
        <v>1</v>
      </c>
      <c r="I80" s="9" t="s">
        <v>1072</v>
      </c>
      <c r="J80" s="9" t="s">
        <v>362</v>
      </c>
      <c r="K80" s="9" t="s">
        <v>322</v>
      </c>
      <c r="L80" s="19">
        <v>2.1999999999999999E-2</v>
      </c>
      <c r="M80">
        <f t="shared" si="3"/>
        <v>3</v>
      </c>
      <c r="N80">
        <f t="shared" si="3"/>
        <v>4</v>
      </c>
      <c r="O80">
        <f t="shared" si="3"/>
        <v>4</v>
      </c>
      <c r="P80">
        <f t="shared" si="3"/>
        <v>4</v>
      </c>
    </row>
    <row r="81" spans="1:16" x14ac:dyDescent="0.25">
      <c r="A81" s="9" t="s">
        <v>136</v>
      </c>
      <c r="B81" s="4" t="s">
        <v>137</v>
      </c>
      <c r="C81" s="5">
        <v>45</v>
      </c>
      <c r="D81" s="5">
        <v>38</v>
      </c>
      <c r="E81" s="8">
        <v>1</v>
      </c>
      <c r="F81" s="8">
        <v>0.98</v>
      </c>
      <c r="G81" s="8">
        <v>0.94</v>
      </c>
      <c r="H81" s="8">
        <v>0.91</v>
      </c>
      <c r="I81" s="9" t="s">
        <v>1073</v>
      </c>
      <c r="J81" s="9" t="s">
        <v>352</v>
      </c>
      <c r="K81" s="9" t="s">
        <v>236</v>
      </c>
      <c r="L81" s="19">
        <v>1.2E-2</v>
      </c>
      <c r="M81">
        <f t="shared" si="3"/>
        <v>4</v>
      </c>
      <c r="N81">
        <f t="shared" si="3"/>
        <v>2</v>
      </c>
      <c r="O81">
        <f t="shared" si="3"/>
        <v>3</v>
      </c>
      <c r="P81">
        <f t="shared" si="3"/>
        <v>3</v>
      </c>
    </row>
    <row r="82" spans="1:16" x14ac:dyDescent="0.25">
      <c r="A82" s="9" t="s">
        <v>140</v>
      </c>
      <c r="B82" s="4" t="s">
        <v>141</v>
      </c>
      <c r="C82" s="5">
        <v>73</v>
      </c>
      <c r="D82" s="5">
        <v>34</v>
      </c>
      <c r="E82" s="8">
        <v>1</v>
      </c>
      <c r="F82" s="8">
        <v>0.99</v>
      </c>
      <c r="G82" s="8">
        <v>0.95</v>
      </c>
      <c r="H82" s="8">
        <v>0.63</v>
      </c>
      <c r="I82" s="9" t="s">
        <v>1074</v>
      </c>
      <c r="J82" s="9" t="s">
        <v>325</v>
      </c>
      <c r="K82" s="9" t="s">
        <v>242</v>
      </c>
      <c r="L82" s="19">
        <v>5.0000000000000001E-3</v>
      </c>
      <c r="M82">
        <f t="shared" si="3"/>
        <v>4</v>
      </c>
      <c r="N82">
        <f t="shared" si="3"/>
        <v>3</v>
      </c>
      <c r="O82">
        <f t="shared" si="3"/>
        <v>3</v>
      </c>
      <c r="P82">
        <f t="shared" si="3"/>
        <v>1</v>
      </c>
    </row>
    <row r="83" spans="1:16" x14ac:dyDescent="0.25">
      <c r="A83" s="9" t="s">
        <v>35</v>
      </c>
      <c r="B83" s="4" t="s">
        <v>36</v>
      </c>
      <c r="C83" s="5">
        <v>53</v>
      </c>
      <c r="D83" s="5">
        <v>16</v>
      </c>
      <c r="E83" s="8">
        <v>0.89</v>
      </c>
      <c r="F83" s="8">
        <v>0.98</v>
      </c>
      <c r="G83" s="8">
        <v>0.93</v>
      </c>
      <c r="H83" s="8">
        <v>0.91</v>
      </c>
      <c r="I83" s="9" t="s">
        <v>1075</v>
      </c>
      <c r="J83" s="9" t="s">
        <v>356</v>
      </c>
      <c r="K83" s="9" t="s">
        <v>309</v>
      </c>
      <c r="L83" s="19">
        <v>1.7999999999999999E-2</v>
      </c>
      <c r="M83">
        <f t="shared" si="3"/>
        <v>2</v>
      </c>
      <c r="N83">
        <f t="shared" si="3"/>
        <v>2</v>
      </c>
      <c r="O83">
        <f t="shared" si="3"/>
        <v>3</v>
      </c>
      <c r="P83">
        <f t="shared" si="3"/>
        <v>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C1" workbookViewId="0">
      <selection activeCell="I7" sqref="I7"/>
    </sheetView>
  </sheetViews>
  <sheetFormatPr defaultRowHeight="15" x14ac:dyDescent="0.25"/>
  <cols>
    <col min="1" max="1" width="6.42578125" bestFit="1" customWidth="1"/>
    <col min="2" max="2" width="63.7109375" bestFit="1" customWidth="1"/>
    <col min="3" max="3" width="12.28515625" customWidth="1"/>
    <col min="4" max="5" width="14" customWidth="1"/>
    <col min="6" max="6" width="16.7109375" customWidth="1"/>
    <col min="7" max="7" width="23.5703125" customWidth="1"/>
    <col min="8" max="8" width="11.85546875" customWidth="1"/>
    <col min="9" max="9" width="20.42578125" customWidth="1"/>
    <col min="10" max="10" width="20" customWidth="1"/>
    <col min="11" max="11" width="16.28515625" customWidth="1"/>
    <col min="12" max="16" width="17" customWidth="1"/>
    <col min="17" max="17" width="6.42578125" style="43" bestFit="1" customWidth="1"/>
  </cols>
  <sheetData>
    <row r="1" spans="1:17" x14ac:dyDescent="0.25">
      <c r="A1">
        <v>0</v>
      </c>
      <c r="B1" t="s">
        <v>445</v>
      </c>
      <c r="E1">
        <f t="shared" ref="E1:H5" si="0">QUARTILE(E$8:E$85,$A1)</f>
        <v>0.25</v>
      </c>
      <c r="F1">
        <f t="shared" si="0"/>
        <v>0</v>
      </c>
      <c r="G1">
        <f t="shared" si="0"/>
        <v>0.24</v>
      </c>
      <c r="H1">
        <f t="shared" si="0"/>
        <v>0.21</v>
      </c>
    </row>
    <row r="2" spans="1:17" x14ac:dyDescent="0.25">
      <c r="A2">
        <v>1</v>
      </c>
      <c r="B2" t="s">
        <v>446</v>
      </c>
      <c r="E2">
        <f t="shared" si="0"/>
        <v>0.84</v>
      </c>
      <c r="F2">
        <f t="shared" si="0"/>
        <v>0.97</v>
      </c>
      <c r="G2">
        <f t="shared" si="0"/>
        <v>0.85</v>
      </c>
      <c r="H2">
        <f t="shared" si="0"/>
        <v>0.75</v>
      </c>
    </row>
    <row r="3" spans="1:17" x14ac:dyDescent="0.25">
      <c r="A3">
        <v>2</v>
      </c>
      <c r="B3" t="s">
        <v>447</v>
      </c>
      <c r="E3">
        <f t="shared" si="0"/>
        <v>0.93</v>
      </c>
      <c r="F3">
        <f t="shared" si="0"/>
        <v>1</v>
      </c>
      <c r="G3">
        <f t="shared" si="0"/>
        <v>0.93</v>
      </c>
      <c r="H3">
        <f t="shared" si="0"/>
        <v>0.87</v>
      </c>
    </row>
    <row r="4" spans="1:17" x14ac:dyDescent="0.25">
      <c r="A4">
        <v>3</v>
      </c>
      <c r="B4" t="s">
        <v>448</v>
      </c>
      <c r="E4">
        <f t="shared" si="0"/>
        <v>0.98</v>
      </c>
      <c r="F4">
        <f t="shared" si="0"/>
        <v>1</v>
      </c>
      <c r="G4">
        <f t="shared" si="0"/>
        <v>1</v>
      </c>
      <c r="H4">
        <f t="shared" si="0"/>
        <v>0.97</v>
      </c>
    </row>
    <row r="5" spans="1:17" x14ac:dyDescent="0.25">
      <c r="A5">
        <v>4</v>
      </c>
      <c r="B5" t="s">
        <v>449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7" spans="1:17" ht="45" x14ac:dyDescent="0.25">
      <c r="A7" s="11" t="s">
        <v>189</v>
      </c>
      <c r="B7" s="11" t="s">
        <v>183</v>
      </c>
      <c r="C7" s="10" t="s">
        <v>197</v>
      </c>
      <c r="D7" s="10" t="s">
        <v>198</v>
      </c>
      <c r="E7" s="11" t="s">
        <v>205</v>
      </c>
      <c r="F7" s="10" t="s">
        <v>199</v>
      </c>
      <c r="G7" s="10" t="s">
        <v>200</v>
      </c>
      <c r="H7" s="10" t="s">
        <v>201</v>
      </c>
      <c r="I7" s="11" t="s">
        <v>202</v>
      </c>
      <c r="J7" s="11" t="s">
        <v>203</v>
      </c>
      <c r="K7" s="11" t="s">
        <v>204</v>
      </c>
      <c r="L7" s="11" t="s">
        <v>429</v>
      </c>
      <c r="M7" s="27" t="s">
        <v>450</v>
      </c>
      <c r="N7" s="47" t="s">
        <v>451</v>
      </c>
      <c r="O7" s="47" t="s">
        <v>452</v>
      </c>
      <c r="P7" s="47" t="s">
        <v>453</v>
      </c>
      <c r="Q7" s="48" t="s">
        <v>189</v>
      </c>
    </row>
    <row r="8" spans="1:17" x14ac:dyDescent="0.25">
      <c r="A8" s="9" t="s">
        <v>4</v>
      </c>
      <c r="B8" s="4" t="s">
        <v>439</v>
      </c>
      <c r="C8" s="5">
        <v>47</v>
      </c>
      <c r="D8" s="5">
        <v>23</v>
      </c>
      <c r="E8" s="8">
        <v>1</v>
      </c>
      <c r="F8" s="8">
        <v>0.98</v>
      </c>
      <c r="G8" s="8">
        <v>1</v>
      </c>
      <c r="H8" s="8">
        <v>0.89</v>
      </c>
      <c r="I8" s="9" t="s">
        <v>472</v>
      </c>
      <c r="J8" s="9" t="s">
        <v>390</v>
      </c>
      <c r="K8" s="9" t="s">
        <v>349</v>
      </c>
      <c r="L8" s="21">
        <v>1.6E-2</v>
      </c>
      <c r="M8">
        <f>+IF(E8&lt;E$2,1,IF(E8&lt;E$3,2,IF(E8&lt;E$4,3,4)))</f>
        <v>4</v>
      </c>
      <c r="N8">
        <f>+IF(F8&lt;F$2,1,IF(F8&lt;F$3,2,IF(F8&lt;F$4,3,4)))</f>
        <v>2</v>
      </c>
      <c r="O8">
        <f>+IF(G8&lt;G$2,1,IF(G8&lt;G$3,2,IF(G8&lt;G$4,3,4)))</f>
        <v>4</v>
      </c>
      <c r="P8">
        <f>+IF(H8&lt;H$2,1,IF(H8&lt;H$3,2,IF(H8&lt;H$4,3,4)))</f>
        <v>3</v>
      </c>
      <c r="Q8" s="49" t="s">
        <v>4</v>
      </c>
    </row>
    <row r="9" spans="1:17" x14ac:dyDescent="0.25">
      <c r="A9" s="9" t="s">
        <v>9</v>
      </c>
      <c r="B9" s="4" t="s">
        <v>10</v>
      </c>
      <c r="C9" s="5">
        <v>49</v>
      </c>
      <c r="D9" s="5">
        <v>37</v>
      </c>
      <c r="E9" s="8">
        <v>0.94</v>
      </c>
      <c r="F9" s="8">
        <v>1</v>
      </c>
      <c r="G9" s="8">
        <v>0.93</v>
      </c>
      <c r="H9" s="8">
        <v>0.92</v>
      </c>
      <c r="I9" s="9" t="s">
        <v>473</v>
      </c>
      <c r="J9" s="9" t="s">
        <v>381</v>
      </c>
      <c r="K9" s="9" t="s">
        <v>254</v>
      </c>
      <c r="L9" s="21">
        <v>0</v>
      </c>
      <c r="M9">
        <f t="shared" ref="M9:P72" si="1">+IF(E9&lt;E$2,1,IF(E9&lt;E$3,2,IF(E9&lt;E$4,3,4)))</f>
        <v>3</v>
      </c>
      <c r="N9">
        <f t="shared" si="1"/>
        <v>4</v>
      </c>
      <c r="O9">
        <f t="shared" si="1"/>
        <v>3</v>
      </c>
      <c r="P9">
        <f t="shared" si="1"/>
        <v>3</v>
      </c>
      <c r="Q9" s="49" t="s">
        <v>9</v>
      </c>
    </row>
    <row r="10" spans="1:17" x14ac:dyDescent="0.25">
      <c r="A10" s="9" t="s">
        <v>120</v>
      </c>
      <c r="B10" s="4" t="s">
        <v>121</v>
      </c>
      <c r="C10" s="5">
        <v>47</v>
      </c>
      <c r="D10" s="5">
        <v>39</v>
      </c>
      <c r="E10" s="8">
        <v>0.96</v>
      </c>
      <c r="F10" s="8">
        <v>1</v>
      </c>
      <c r="G10" s="8">
        <v>0.95</v>
      </c>
      <c r="H10" s="8">
        <v>0.94</v>
      </c>
      <c r="I10" s="9" t="s">
        <v>474</v>
      </c>
      <c r="J10" s="9" t="s">
        <v>475</v>
      </c>
      <c r="K10" s="9" t="s">
        <v>243</v>
      </c>
      <c r="L10" s="21">
        <v>1.7999999999999999E-2</v>
      </c>
      <c r="M10">
        <f t="shared" si="1"/>
        <v>3</v>
      </c>
      <c r="N10">
        <f t="shared" si="1"/>
        <v>4</v>
      </c>
      <c r="O10">
        <f t="shared" si="1"/>
        <v>3</v>
      </c>
      <c r="P10">
        <f t="shared" si="1"/>
        <v>3</v>
      </c>
      <c r="Q10" s="49" t="s">
        <v>120</v>
      </c>
    </row>
    <row r="11" spans="1:17" x14ac:dyDescent="0.25">
      <c r="A11" s="9" t="s">
        <v>48</v>
      </c>
      <c r="B11" s="4" t="s">
        <v>49</v>
      </c>
      <c r="C11" s="5">
        <v>39</v>
      </c>
      <c r="D11" s="5">
        <v>35</v>
      </c>
      <c r="E11" s="8">
        <v>0.97</v>
      </c>
      <c r="F11" s="8">
        <v>1</v>
      </c>
      <c r="G11" s="8">
        <v>1</v>
      </c>
      <c r="H11" s="8">
        <v>1</v>
      </c>
      <c r="I11" s="9" t="s">
        <v>476</v>
      </c>
      <c r="J11" s="9" t="s">
        <v>399</v>
      </c>
      <c r="K11" s="9" t="s">
        <v>242</v>
      </c>
      <c r="L11" s="21">
        <v>0</v>
      </c>
      <c r="M11">
        <f t="shared" si="1"/>
        <v>3</v>
      </c>
      <c r="N11">
        <f t="shared" si="1"/>
        <v>4</v>
      </c>
      <c r="O11">
        <f t="shared" si="1"/>
        <v>4</v>
      </c>
      <c r="P11">
        <f t="shared" si="1"/>
        <v>4</v>
      </c>
      <c r="Q11" s="49" t="s">
        <v>48</v>
      </c>
    </row>
    <row r="12" spans="1:17" x14ac:dyDescent="0.25">
      <c r="A12" s="9" t="s">
        <v>13</v>
      </c>
      <c r="B12" s="4" t="s">
        <v>14</v>
      </c>
      <c r="C12" s="5">
        <v>29</v>
      </c>
      <c r="D12" s="5">
        <v>20</v>
      </c>
      <c r="E12" s="8">
        <v>0.62</v>
      </c>
      <c r="F12" s="8">
        <v>1</v>
      </c>
      <c r="G12" s="8">
        <v>0.63</v>
      </c>
      <c r="H12" s="8">
        <v>0.52</v>
      </c>
      <c r="I12" s="9" t="s">
        <v>477</v>
      </c>
      <c r="J12" s="9" t="s">
        <v>465</v>
      </c>
      <c r="K12" s="9" t="s">
        <v>233</v>
      </c>
      <c r="L12" s="21">
        <v>2.1999999999999999E-2</v>
      </c>
      <c r="M12">
        <f t="shared" si="1"/>
        <v>1</v>
      </c>
      <c r="N12">
        <f t="shared" si="1"/>
        <v>4</v>
      </c>
      <c r="O12">
        <f t="shared" si="1"/>
        <v>1</v>
      </c>
      <c r="P12">
        <f t="shared" si="1"/>
        <v>1</v>
      </c>
      <c r="Q12" s="49" t="s">
        <v>13</v>
      </c>
    </row>
    <row r="13" spans="1:17" x14ac:dyDescent="0.25">
      <c r="A13" s="9" t="s">
        <v>37</v>
      </c>
      <c r="B13" s="4" t="s">
        <v>38</v>
      </c>
      <c r="C13" s="5">
        <v>23</v>
      </c>
      <c r="D13" s="5">
        <v>21</v>
      </c>
      <c r="E13" s="8">
        <v>0.56999999999999995</v>
      </c>
      <c r="F13" s="8">
        <v>1</v>
      </c>
      <c r="G13" s="8">
        <v>0.6</v>
      </c>
      <c r="H13" s="8">
        <v>0.35</v>
      </c>
      <c r="I13" s="9" t="s">
        <v>478</v>
      </c>
      <c r="J13" s="9" t="s">
        <v>399</v>
      </c>
      <c r="K13" s="9" t="s">
        <v>320</v>
      </c>
      <c r="L13" s="21">
        <v>0</v>
      </c>
      <c r="M13">
        <f t="shared" si="1"/>
        <v>1</v>
      </c>
      <c r="N13">
        <f t="shared" si="1"/>
        <v>4</v>
      </c>
      <c r="O13">
        <f t="shared" si="1"/>
        <v>1</v>
      </c>
      <c r="P13">
        <f t="shared" si="1"/>
        <v>1</v>
      </c>
      <c r="Q13" s="49" t="s">
        <v>37</v>
      </c>
    </row>
    <row r="14" spans="1:17" x14ac:dyDescent="0.25">
      <c r="A14" s="9" t="s">
        <v>33</v>
      </c>
      <c r="B14" s="4" t="s">
        <v>34</v>
      </c>
      <c r="C14" s="5">
        <v>65</v>
      </c>
      <c r="D14" s="5">
        <v>61</v>
      </c>
      <c r="E14" s="8">
        <v>0.89</v>
      </c>
      <c r="F14" s="8">
        <v>1</v>
      </c>
      <c r="G14" s="8">
        <v>0.92</v>
      </c>
      <c r="H14" s="8">
        <v>0.75</v>
      </c>
      <c r="I14" s="9" t="s">
        <v>479</v>
      </c>
      <c r="J14" s="9" t="s">
        <v>470</v>
      </c>
      <c r="K14" s="9" t="s">
        <v>322</v>
      </c>
      <c r="L14" s="21">
        <v>2.5000000000000001E-2</v>
      </c>
      <c r="M14">
        <f t="shared" si="1"/>
        <v>2</v>
      </c>
      <c r="N14">
        <f t="shared" si="1"/>
        <v>4</v>
      </c>
      <c r="O14">
        <f t="shared" si="1"/>
        <v>2</v>
      </c>
      <c r="P14">
        <f t="shared" si="1"/>
        <v>2</v>
      </c>
      <c r="Q14" s="49" t="s">
        <v>33</v>
      </c>
    </row>
    <row r="15" spans="1:17" x14ac:dyDescent="0.25">
      <c r="A15" s="9" t="s">
        <v>180</v>
      </c>
      <c r="B15" s="4" t="s">
        <v>181</v>
      </c>
      <c r="C15" s="5">
        <v>137</v>
      </c>
      <c r="D15" s="5">
        <v>86</v>
      </c>
      <c r="E15" s="8">
        <v>0.95</v>
      </c>
      <c r="F15" s="8">
        <v>0.99</v>
      </c>
      <c r="G15" s="8">
        <v>0.95</v>
      </c>
      <c r="H15" s="8">
        <v>0.93</v>
      </c>
      <c r="I15" s="9" t="s">
        <v>480</v>
      </c>
      <c r="J15" s="9" t="s">
        <v>466</v>
      </c>
      <c r="K15" s="9" t="s">
        <v>343</v>
      </c>
      <c r="L15" s="21">
        <v>1.2E-2</v>
      </c>
      <c r="M15">
        <f t="shared" si="1"/>
        <v>3</v>
      </c>
      <c r="N15">
        <f t="shared" si="1"/>
        <v>2</v>
      </c>
      <c r="O15">
        <f t="shared" si="1"/>
        <v>3</v>
      </c>
      <c r="P15">
        <f t="shared" si="1"/>
        <v>3</v>
      </c>
      <c r="Q15" s="49" t="s">
        <v>180</v>
      </c>
    </row>
    <row r="16" spans="1:17" x14ac:dyDescent="0.25">
      <c r="A16" s="9" t="s">
        <v>0</v>
      </c>
      <c r="B16" s="4" t="s">
        <v>1</v>
      </c>
      <c r="C16" s="5">
        <v>42</v>
      </c>
      <c r="D16" s="5">
        <v>31</v>
      </c>
      <c r="E16" s="8">
        <v>1</v>
      </c>
      <c r="F16" s="8">
        <v>1</v>
      </c>
      <c r="G16" s="8">
        <v>1</v>
      </c>
      <c r="H16" s="8">
        <v>0.98</v>
      </c>
      <c r="I16" s="9" t="s">
        <v>481</v>
      </c>
      <c r="J16" s="9" t="s">
        <v>482</v>
      </c>
      <c r="K16" s="9" t="s">
        <v>377</v>
      </c>
      <c r="L16" s="21">
        <v>1.9E-2</v>
      </c>
      <c r="M16">
        <f t="shared" si="1"/>
        <v>4</v>
      </c>
      <c r="N16">
        <f t="shared" si="1"/>
        <v>4</v>
      </c>
      <c r="O16">
        <f t="shared" si="1"/>
        <v>4</v>
      </c>
      <c r="P16">
        <f t="shared" si="1"/>
        <v>4</v>
      </c>
      <c r="Q16" s="49" t="s">
        <v>0</v>
      </c>
    </row>
    <row r="17" spans="1:17" x14ac:dyDescent="0.25">
      <c r="A17" s="9" t="s">
        <v>19</v>
      </c>
      <c r="B17" s="4" t="s">
        <v>20</v>
      </c>
      <c r="C17" s="5">
        <v>37</v>
      </c>
      <c r="D17" s="5">
        <v>26</v>
      </c>
      <c r="E17" s="8">
        <v>0.97</v>
      </c>
      <c r="F17" s="8">
        <v>1</v>
      </c>
      <c r="G17" s="8">
        <v>0.97</v>
      </c>
      <c r="H17" s="8">
        <v>0.97</v>
      </c>
      <c r="I17" s="9" t="s">
        <v>483</v>
      </c>
      <c r="J17" s="9" t="s">
        <v>469</v>
      </c>
      <c r="K17" s="9" t="s">
        <v>470</v>
      </c>
      <c r="L17" s="21">
        <v>1.6E-2</v>
      </c>
      <c r="M17">
        <f t="shared" si="1"/>
        <v>3</v>
      </c>
      <c r="N17">
        <f t="shared" si="1"/>
        <v>4</v>
      </c>
      <c r="O17">
        <f t="shared" si="1"/>
        <v>3</v>
      </c>
      <c r="P17">
        <f t="shared" si="1"/>
        <v>4</v>
      </c>
      <c r="Q17" s="49" t="s">
        <v>19</v>
      </c>
    </row>
    <row r="18" spans="1:17" x14ac:dyDescent="0.25">
      <c r="A18" s="9" t="s">
        <v>148</v>
      </c>
      <c r="B18" s="4" t="s">
        <v>149</v>
      </c>
      <c r="C18" s="5">
        <v>73</v>
      </c>
      <c r="D18" s="5">
        <v>51</v>
      </c>
      <c r="E18" s="8">
        <v>0.97</v>
      </c>
      <c r="F18" s="8">
        <v>1</v>
      </c>
      <c r="G18" s="8">
        <v>0.97</v>
      </c>
      <c r="H18" s="8">
        <v>0.64</v>
      </c>
      <c r="I18" s="9" t="s">
        <v>484</v>
      </c>
      <c r="J18" s="9" t="s">
        <v>357</v>
      </c>
      <c r="K18" s="9" t="s">
        <v>320</v>
      </c>
      <c r="L18" s="21">
        <v>0</v>
      </c>
      <c r="M18">
        <f t="shared" si="1"/>
        <v>3</v>
      </c>
      <c r="N18">
        <f t="shared" si="1"/>
        <v>4</v>
      </c>
      <c r="O18">
        <f t="shared" si="1"/>
        <v>3</v>
      </c>
      <c r="P18">
        <f t="shared" si="1"/>
        <v>1</v>
      </c>
      <c r="Q18" s="49" t="s">
        <v>148</v>
      </c>
    </row>
    <row r="19" spans="1:17" x14ac:dyDescent="0.25">
      <c r="A19" s="9" t="s">
        <v>142</v>
      </c>
      <c r="B19" s="4" t="s">
        <v>143</v>
      </c>
      <c r="C19" s="5">
        <v>30</v>
      </c>
      <c r="D19" s="5">
        <v>21</v>
      </c>
      <c r="E19" s="8">
        <v>0.83</v>
      </c>
      <c r="F19" s="8">
        <v>1</v>
      </c>
      <c r="G19" s="8">
        <v>0.92</v>
      </c>
      <c r="H19" s="8">
        <v>0.87</v>
      </c>
      <c r="I19" s="9" t="s">
        <v>485</v>
      </c>
      <c r="J19" s="9" t="s">
        <v>369</v>
      </c>
      <c r="K19" s="9" t="s">
        <v>236</v>
      </c>
      <c r="L19" s="21">
        <v>0</v>
      </c>
      <c r="M19">
        <f t="shared" si="1"/>
        <v>1</v>
      </c>
      <c r="N19">
        <f t="shared" si="1"/>
        <v>4</v>
      </c>
      <c r="O19">
        <f t="shared" si="1"/>
        <v>2</v>
      </c>
      <c r="P19">
        <f t="shared" si="1"/>
        <v>3</v>
      </c>
      <c r="Q19" s="49" t="s">
        <v>142</v>
      </c>
    </row>
    <row r="20" spans="1:17" x14ac:dyDescent="0.25">
      <c r="A20" s="9" t="s">
        <v>54</v>
      </c>
      <c r="B20" s="4" t="s">
        <v>55</v>
      </c>
      <c r="C20" s="5">
        <v>125</v>
      </c>
      <c r="D20" s="5">
        <v>91</v>
      </c>
      <c r="E20" s="8">
        <v>0.7</v>
      </c>
      <c r="F20" s="8">
        <v>1</v>
      </c>
      <c r="G20" s="8">
        <v>0.71</v>
      </c>
      <c r="H20" s="8">
        <v>0.77</v>
      </c>
      <c r="I20" s="9" t="s">
        <v>486</v>
      </c>
      <c r="J20" s="9" t="s">
        <v>487</v>
      </c>
      <c r="K20" s="9" t="s">
        <v>320</v>
      </c>
      <c r="L20" s="21">
        <v>0</v>
      </c>
      <c r="M20">
        <f t="shared" si="1"/>
        <v>1</v>
      </c>
      <c r="N20">
        <f t="shared" si="1"/>
        <v>4</v>
      </c>
      <c r="O20">
        <f t="shared" si="1"/>
        <v>1</v>
      </c>
      <c r="P20">
        <f t="shared" si="1"/>
        <v>2</v>
      </c>
      <c r="Q20" s="49" t="s">
        <v>54</v>
      </c>
    </row>
    <row r="21" spans="1:17" x14ac:dyDescent="0.25">
      <c r="A21" s="9" t="s">
        <v>5</v>
      </c>
      <c r="B21" s="4" t="s">
        <v>6</v>
      </c>
      <c r="C21" s="5">
        <v>38</v>
      </c>
      <c r="D21" s="5">
        <v>25</v>
      </c>
      <c r="E21" s="8">
        <v>0.89</v>
      </c>
      <c r="F21" s="8">
        <v>1</v>
      </c>
      <c r="G21" s="8">
        <v>0.93</v>
      </c>
      <c r="H21" s="8">
        <v>0.87</v>
      </c>
      <c r="I21" s="9" t="s">
        <v>488</v>
      </c>
      <c r="J21" s="9" t="s">
        <v>469</v>
      </c>
      <c r="K21" s="9" t="s">
        <v>225</v>
      </c>
      <c r="L21" s="21">
        <v>3.9E-2</v>
      </c>
      <c r="M21">
        <f t="shared" si="1"/>
        <v>2</v>
      </c>
      <c r="N21">
        <f t="shared" si="1"/>
        <v>4</v>
      </c>
      <c r="O21">
        <f t="shared" si="1"/>
        <v>3</v>
      </c>
      <c r="P21">
        <f t="shared" si="1"/>
        <v>3</v>
      </c>
      <c r="Q21" s="49" t="s">
        <v>5</v>
      </c>
    </row>
    <row r="22" spans="1:17" x14ac:dyDescent="0.25">
      <c r="A22" s="9" t="s">
        <v>81</v>
      </c>
      <c r="B22" s="4" t="s">
        <v>82</v>
      </c>
      <c r="C22" s="5">
        <v>24</v>
      </c>
      <c r="D22" s="5">
        <v>20</v>
      </c>
      <c r="E22" s="8">
        <v>0.75</v>
      </c>
      <c r="F22" s="8">
        <v>1</v>
      </c>
      <c r="G22" s="8">
        <v>0.75</v>
      </c>
      <c r="H22" s="8">
        <v>1</v>
      </c>
      <c r="I22" s="9" t="s">
        <v>489</v>
      </c>
      <c r="J22" s="9" t="s">
        <v>399</v>
      </c>
      <c r="K22" s="9" t="s">
        <v>302</v>
      </c>
      <c r="L22" s="21">
        <v>1.0999999999999999E-2</v>
      </c>
      <c r="M22">
        <f t="shared" si="1"/>
        <v>1</v>
      </c>
      <c r="N22">
        <f t="shared" si="1"/>
        <v>4</v>
      </c>
      <c r="O22">
        <f t="shared" si="1"/>
        <v>1</v>
      </c>
      <c r="P22">
        <f t="shared" si="1"/>
        <v>4</v>
      </c>
      <c r="Q22" s="49" t="s">
        <v>81</v>
      </c>
    </row>
    <row r="23" spans="1:17" x14ac:dyDescent="0.25">
      <c r="A23" s="9" t="s">
        <v>39</v>
      </c>
      <c r="B23" s="4" t="s">
        <v>431</v>
      </c>
      <c r="C23" s="5">
        <v>56</v>
      </c>
      <c r="D23" s="5">
        <v>34</v>
      </c>
      <c r="E23" s="8">
        <v>0.84</v>
      </c>
      <c r="F23" s="8">
        <v>0.95</v>
      </c>
      <c r="G23" s="8">
        <v>0.85</v>
      </c>
      <c r="H23" s="8">
        <v>0.45</v>
      </c>
      <c r="I23" s="9" t="s">
        <v>490</v>
      </c>
      <c r="J23" s="9" t="s">
        <v>467</v>
      </c>
      <c r="K23" s="9" t="s">
        <v>321</v>
      </c>
      <c r="L23" s="21">
        <v>0.01</v>
      </c>
      <c r="M23">
        <f t="shared" si="1"/>
        <v>2</v>
      </c>
      <c r="N23">
        <f t="shared" si="1"/>
        <v>1</v>
      </c>
      <c r="O23">
        <f t="shared" si="1"/>
        <v>2</v>
      </c>
      <c r="P23">
        <f t="shared" si="1"/>
        <v>1</v>
      </c>
      <c r="Q23" s="49" t="s">
        <v>39</v>
      </c>
    </row>
    <row r="24" spans="1:17" x14ac:dyDescent="0.25">
      <c r="A24" s="9" t="s">
        <v>72</v>
      </c>
      <c r="B24" s="4" t="s">
        <v>73</v>
      </c>
      <c r="C24" s="5">
        <v>76</v>
      </c>
      <c r="D24" s="5">
        <v>67</v>
      </c>
      <c r="E24" s="8">
        <v>0.86</v>
      </c>
      <c r="F24" s="8">
        <v>1</v>
      </c>
      <c r="G24" s="8">
        <v>0.86</v>
      </c>
      <c r="H24" s="8">
        <v>0.8</v>
      </c>
      <c r="I24" s="9" t="s">
        <v>491</v>
      </c>
      <c r="J24" s="9" t="s">
        <v>467</v>
      </c>
      <c r="K24" s="9" t="s">
        <v>243</v>
      </c>
      <c r="L24" s="21">
        <v>1.2E-2</v>
      </c>
      <c r="M24">
        <f t="shared" si="1"/>
        <v>2</v>
      </c>
      <c r="N24">
        <f t="shared" si="1"/>
        <v>4</v>
      </c>
      <c r="O24">
        <f t="shared" si="1"/>
        <v>2</v>
      </c>
      <c r="P24">
        <f t="shared" si="1"/>
        <v>2</v>
      </c>
      <c r="Q24" s="49" t="s">
        <v>72</v>
      </c>
    </row>
    <row r="25" spans="1:17" x14ac:dyDescent="0.25">
      <c r="A25" s="9" t="s">
        <v>152</v>
      </c>
      <c r="B25" s="4" t="s">
        <v>153</v>
      </c>
      <c r="C25" s="5">
        <v>43</v>
      </c>
      <c r="D25" s="5">
        <v>24</v>
      </c>
      <c r="E25" s="8">
        <v>0.93</v>
      </c>
      <c r="F25" s="8">
        <v>0.98</v>
      </c>
      <c r="G25" s="8">
        <v>0.93</v>
      </c>
      <c r="H25" s="8">
        <v>0.86</v>
      </c>
      <c r="I25" s="9" t="s">
        <v>492</v>
      </c>
      <c r="J25" s="9" t="s">
        <v>356</v>
      </c>
      <c r="K25" s="9" t="s">
        <v>250</v>
      </c>
      <c r="L25" s="21">
        <v>0.03</v>
      </c>
      <c r="M25">
        <f t="shared" si="1"/>
        <v>3</v>
      </c>
      <c r="N25">
        <f t="shared" si="1"/>
        <v>2</v>
      </c>
      <c r="O25">
        <f t="shared" si="1"/>
        <v>3</v>
      </c>
      <c r="P25">
        <f t="shared" si="1"/>
        <v>2</v>
      </c>
      <c r="Q25" s="49" t="s">
        <v>152</v>
      </c>
    </row>
    <row r="26" spans="1:17" x14ac:dyDescent="0.25">
      <c r="A26" s="9" t="s">
        <v>7</v>
      </c>
      <c r="B26" s="4" t="s">
        <v>8</v>
      </c>
      <c r="C26" s="5">
        <v>23</v>
      </c>
      <c r="D26" s="5">
        <v>18</v>
      </c>
      <c r="E26" s="8">
        <v>1</v>
      </c>
      <c r="F26" s="8">
        <v>0.96</v>
      </c>
      <c r="G26" s="8">
        <v>1</v>
      </c>
      <c r="H26" s="8">
        <v>1</v>
      </c>
      <c r="I26" s="9" t="s">
        <v>493</v>
      </c>
      <c r="J26" s="9" t="s">
        <v>494</v>
      </c>
      <c r="K26" s="9" t="s">
        <v>242</v>
      </c>
      <c r="L26" s="21">
        <v>2.8000000000000001E-2</v>
      </c>
      <c r="M26">
        <f t="shared" si="1"/>
        <v>4</v>
      </c>
      <c r="N26">
        <f t="shared" si="1"/>
        <v>1</v>
      </c>
      <c r="O26">
        <f t="shared" si="1"/>
        <v>4</v>
      </c>
      <c r="P26">
        <f t="shared" si="1"/>
        <v>4</v>
      </c>
      <c r="Q26" s="49" t="s">
        <v>7</v>
      </c>
    </row>
    <row r="27" spans="1:17" x14ac:dyDescent="0.25">
      <c r="A27" s="9" t="s">
        <v>117</v>
      </c>
      <c r="B27" s="4" t="s">
        <v>428</v>
      </c>
      <c r="C27" s="5">
        <v>83</v>
      </c>
      <c r="D27" s="5">
        <v>63</v>
      </c>
      <c r="E27" s="8">
        <v>1</v>
      </c>
      <c r="F27" s="8">
        <v>1</v>
      </c>
      <c r="G27" s="8">
        <v>1</v>
      </c>
      <c r="H27" s="8">
        <v>0.96</v>
      </c>
      <c r="I27" s="9" t="s">
        <v>495</v>
      </c>
      <c r="J27" s="9" t="s">
        <v>496</v>
      </c>
      <c r="K27" s="9" t="s">
        <v>231</v>
      </c>
      <c r="L27" s="21">
        <v>0.02</v>
      </c>
      <c r="M27">
        <f t="shared" si="1"/>
        <v>4</v>
      </c>
      <c r="N27">
        <f t="shared" si="1"/>
        <v>4</v>
      </c>
      <c r="O27">
        <f t="shared" si="1"/>
        <v>4</v>
      </c>
      <c r="P27">
        <f t="shared" si="1"/>
        <v>3</v>
      </c>
      <c r="Q27" s="49" t="s">
        <v>117</v>
      </c>
    </row>
    <row r="28" spans="1:17" x14ac:dyDescent="0.25">
      <c r="A28" s="9" t="s">
        <v>93</v>
      </c>
      <c r="B28" s="4" t="s">
        <v>94</v>
      </c>
      <c r="C28" s="5">
        <v>45</v>
      </c>
      <c r="D28" s="5">
        <v>31</v>
      </c>
      <c r="E28" s="8">
        <v>0.87</v>
      </c>
      <c r="F28" s="8">
        <v>0.96</v>
      </c>
      <c r="G28" s="8">
        <v>0.93</v>
      </c>
      <c r="H28" s="8">
        <v>0.84</v>
      </c>
      <c r="I28" s="9" t="s">
        <v>497</v>
      </c>
      <c r="J28" s="9" t="s">
        <v>498</v>
      </c>
      <c r="K28" s="9" t="s">
        <v>350</v>
      </c>
      <c r="L28" s="21">
        <v>1.4E-2</v>
      </c>
      <c r="M28">
        <f t="shared" si="1"/>
        <v>2</v>
      </c>
      <c r="N28">
        <f t="shared" si="1"/>
        <v>1</v>
      </c>
      <c r="O28">
        <f t="shared" si="1"/>
        <v>3</v>
      </c>
      <c r="P28">
        <f t="shared" si="1"/>
        <v>2</v>
      </c>
      <c r="Q28" s="49" t="s">
        <v>93</v>
      </c>
    </row>
    <row r="29" spans="1:17" x14ac:dyDescent="0.25">
      <c r="A29" s="9" t="s">
        <v>138</v>
      </c>
      <c r="B29" s="4" t="s">
        <v>139</v>
      </c>
      <c r="C29" s="5">
        <v>26</v>
      </c>
      <c r="D29" s="5">
        <v>23</v>
      </c>
      <c r="E29" s="8">
        <v>1</v>
      </c>
      <c r="F29" s="8">
        <v>1</v>
      </c>
      <c r="G29" s="8">
        <v>1</v>
      </c>
      <c r="H29" s="8">
        <v>1</v>
      </c>
      <c r="I29" s="9" t="s">
        <v>499</v>
      </c>
      <c r="J29" s="9" t="s">
        <v>399</v>
      </c>
      <c r="K29" s="9" t="s">
        <v>236</v>
      </c>
      <c r="L29" s="21">
        <v>0</v>
      </c>
      <c r="M29">
        <f t="shared" si="1"/>
        <v>4</v>
      </c>
      <c r="N29">
        <f t="shared" si="1"/>
        <v>4</v>
      </c>
      <c r="O29">
        <f t="shared" si="1"/>
        <v>4</v>
      </c>
      <c r="P29">
        <f t="shared" si="1"/>
        <v>4</v>
      </c>
      <c r="Q29" s="49" t="s">
        <v>138</v>
      </c>
    </row>
    <row r="30" spans="1:17" x14ac:dyDescent="0.25">
      <c r="A30" s="9" t="s">
        <v>126</v>
      </c>
      <c r="B30" s="4" t="s">
        <v>127</v>
      </c>
      <c r="C30" s="5">
        <v>74</v>
      </c>
      <c r="D30" s="5">
        <v>62</v>
      </c>
      <c r="E30" s="8">
        <v>0.78</v>
      </c>
      <c r="F30" s="8">
        <v>1</v>
      </c>
      <c r="G30" s="8">
        <v>0.79</v>
      </c>
      <c r="H30" s="8">
        <v>0.73</v>
      </c>
      <c r="I30" s="9" t="s">
        <v>500</v>
      </c>
      <c r="J30" s="9" t="s">
        <v>357</v>
      </c>
      <c r="K30" s="9" t="s">
        <v>322</v>
      </c>
      <c r="L30" s="21">
        <v>5.0000000000000001E-3</v>
      </c>
      <c r="M30">
        <f t="shared" si="1"/>
        <v>1</v>
      </c>
      <c r="N30">
        <f t="shared" si="1"/>
        <v>4</v>
      </c>
      <c r="O30">
        <f t="shared" si="1"/>
        <v>1</v>
      </c>
      <c r="P30">
        <f t="shared" si="1"/>
        <v>1</v>
      </c>
      <c r="Q30" s="49" t="s">
        <v>126</v>
      </c>
    </row>
    <row r="31" spans="1:17" x14ac:dyDescent="0.25">
      <c r="A31" s="9" t="s">
        <v>154</v>
      </c>
      <c r="B31" s="4" t="s">
        <v>155</v>
      </c>
      <c r="C31" s="5">
        <v>45</v>
      </c>
      <c r="D31" s="5">
        <v>34</v>
      </c>
      <c r="E31" s="8">
        <v>0.93</v>
      </c>
      <c r="F31" s="8">
        <v>1</v>
      </c>
      <c r="G31" s="8">
        <v>0.92</v>
      </c>
      <c r="H31" s="8">
        <v>0.98</v>
      </c>
      <c r="I31" s="9" t="s">
        <v>501</v>
      </c>
      <c r="J31" s="9" t="s">
        <v>275</v>
      </c>
      <c r="K31" s="9" t="s">
        <v>243</v>
      </c>
      <c r="L31" s="21">
        <v>0.01</v>
      </c>
      <c r="M31">
        <f t="shared" si="1"/>
        <v>3</v>
      </c>
      <c r="N31">
        <f t="shared" si="1"/>
        <v>4</v>
      </c>
      <c r="O31">
        <f t="shared" si="1"/>
        <v>2</v>
      </c>
      <c r="P31">
        <f t="shared" si="1"/>
        <v>4</v>
      </c>
      <c r="Q31" s="49" t="s">
        <v>154</v>
      </c>
    </row>
    <row r="32" spans="1:17" x14ac:dyDescent="0.25">
      <c r="A32" s="9" t="s">
        <v>40</v>
      </c>
      <c r="B32" s="4" t="s">
        <v>41</v>
      </c>
      <c r="C32" s="5">
        <v>87</v>
      </c>
      <c r="D32" s="5">
        <v>63</v>
      </c>
      <c r="E32" s="8">
        <v>0.99</v>
      </c>
      <c r="F32" s="8">
        <v>1</v>
      </c>
      <c r="G32" s="8">
        <v>0.99</v>
      </c>
      <c r="H32" s="8">
        <v>0.99</v>
      </c>
      <c r="I32" s="9" t="s">
        <v>502</v>
      </c>
      <c r="J32" s="9" t="s">
        <v>251</v>
      </c>
      <c r="K32" s="9" t="s">
        <v>349</v>
      </c>
      <c r="L32" s="21">
        <v>1.9E-2</v>
      </c>
      <c r="M32">
        <f t="shared" si="1"/>
        <v>4</v>
      </c>
      <c r="N32">
        <f t="shared" si="1"/>
        <v>4</v>
      </c>
      <c r="O32">
        <f t="shared" si="1"/>
        <v>3</v>
      </c>
      <c r="P32">
        <f t="shared" si="1"/>
        <v>4</v>
      </c>
      <c r="Q32" s="49" t="s">
        <v>40</v>
      </c>
    </row>
    <row r="33" spans="1:17" x14ac:dyDescent="0.25">
      <c r="A33" s="9" t="s">
        <v>115</v>
      </c>
      <c r="B33" s="4" t="s">
        <v>116</v>
      </c>
      <c r="C33" s="5">
        <v>65</v>
      </c>
      <c r="D33" s="5">
        <v>27</v>
      </c>
      <c r="E33" s="8">
        <v>0.88</v>
      </c>
      <c r="F33" s="8">
        <v>1</v>
      </c>
      <c r="G33" s="8">
        <v>0.89</v>
      </c>
      <c r="H33" s="8">
        <v>0.71</v>
      </c>
      <c r="I33" s="9" t="s">
        <v>503</v>
      </c>
      <c r="J33" s="9" t="s">
        <v>458</v>
      </c>
      <c r="K33" s="9" t="s">
        <v>236</v>
      </c>
      <c r="L33" s="21">
        <v>1.0999999999999999E-2</v>
      </c>
      <c r="M33">
        <f t="shared" si="1"/>
        <v>2</v>
      </c>
      <c r="N33">
        <f t="shared" si="1"/>
        <v>4</v>
      </c>
      <c r="O33">
        <f t="shared" si="1"/>
        <v>2</v>
      </c>
      <c r="P33">
        <f t="shared" si="1"/>
        <v>1</v>
      </c>
      <c r="Q33" s="49" t="s">
        <v>115</v>
      </c>
    </row>
    <row r="34" spans="1:17" x14ac:dyDescent="0.25">
      <c r="A34" s="9" t="s">
        <v>66</v>
      </c>
      <c r="B34" s="4" t="s">
        <v>67</v>
      </c>
      <c r="C34" s="5">
        <v>112</v>
      </c>
      <c r="D34" s="5">
        <v>90</v>
      </c>
      <c r="E34" s="8">
        <v>0.71</v>
      </c>
      <c r="F34" s="8">
        <v>0.96</v>
      </c>
      <c r="G34" s="8">
        <v>0.72</v>
      </c>
      <c r="H34" s="8">
        <v>0.55000000000000004</v>
      </c>
      <c r="I34" s="9" t="s">
        <v>504</v>
      </c>
      <c r="J34" s="9" t="s">
        <v>224</v>
      </c>
      <c r="K34" s="9" t="s">
        <v>236</v>
      </c>
      <c r="L34" s="21">
        <v>3.0000000000000001E-3</v>
      </c>
      <c r="M34">
        <f t="shared" si="1"/>
        <v>1</v>
      </c>
      <c r="N34">
        <f t="shared" si="1"/>
        <v>1</v>
      </c>
      <c r="O34">
        <f t="shared" si="1"/>
        <v>1</v>
      </c>
      <c r="P34">
        <f t="shared" si="1"/>
        <v>1</v>
      </c>
      <c r="Q34" s="49" t="s">
        <v>66</v>
      </c>
    </row>
    <row r="35" spans="1:17" x14ac:dyDescent="0.25">
      <c r="A35" s="9" t="s">
        <v>437</v>
      </c>
      <c r="B35" s="4" t="s">
        <v>438</v>
      </c>
      <c r="C35" s="5">
        <v>41</v>
      </c>
      <c r="D35" s="5">
        <v>35</v>
      </c>
      <c r="E35" s="8">
        <v>0.9</v>
      </c>
      <c r="F35" s="8">
        <v>1</v>
      </c>
      <c r="G35" s="8">
        <v>0.92</v>
      </c>
      <c r="H35" s="8">
        <v>0.83</v>
      </c>
      <c r="I35" s="9" t="s">
        <v>505</v>
      </c>
      <c r="J35" s="9" t="s">
        <v>470</v>
      </c>
      <c r="K35" s="9" t="s">
        <v>330</v>
      </c>
      <c r="L35" s="21">
        <v>0</v>
      </c>
      <c r="M35">
        <f t="shared" si="1"/>
        <v>2</v>
      </c>
      <c r="N35">
        <f t="shared" si="1"/>
        <v>4</v>
      </c>
      <c r="O35">
        <f t="shared" si="1"/>
        <v>2</v>
      </c>
      <c r="P35">
        <f t="shared" si="1"/>
        <v>2</v>
      </c>
      <c r="Q35" s="49" t="s">
        <v>437</v>
      </c>
    </row>
    <row r="36" spans="1:17" x14ac:dyDescent="0.25">
      <c r="A36" s="9" t="s">
        <v>130</v>
      </c>
      <c r="B36" s="4" t="s">
        <v>131</v>
      </c>
      <c r="C36" s="5">
        <v>70</v>
      </c>
      <c r="D36" s="5">
        <v>34</v>
      </c>
      <c r="E36" s="8">
        <v>1</v>
      </c>
      <c r="F36" s="8">
        <v>0</v>
      </c>
      <c r="G36" s="8">
        <v>1</v>
      </c>
      <c r="H36" s="8">
        <v>0.99</v>
      </c>
      <c r="I36" s="9" t="s">
        <v>506</v>
      </c>
      <c r="J36" s="9" t="s">
        <v>338</v>
      </c>
      <c r="K36" s="9" t="s">
        <v>507</v>
      </c>
      <c r="L36" s="21">
        <v>2.5000000000000001E-2</v>
      </c>
      <c r="M36">
        <f t="shared" si="1"/>
        <v>4</v>
      </c>
      <c r="N36">
        <f t="shared" si="1"/>
        <v>1</v>
      </c>
      <c r="O36">
        <f t="shared" si="1"/>
        <v>4</v>
      </c>
      <c r="P36">
        <f t="shared" si="1"/>
        <v>4</v>
      </c>
      <c r="Q36" s="49" t="s">
        <v>130</v>
      </c>
    </row>
    <row r="37" spans="1:17" x14ac:dyDescent="0.25">
      <c r="A37" s="9" t="s">
        <v>158</v>
      </c>
      <c r="B37" s="4" t="s">
        <v>159</v>
      </c>
      <c r="C37" s="5">
        <v>41</v>
      </c>
      <c r="D37" s="5">
        <v>27</v>
      </c>
      <c r="E37" s="8">
        <v>0.98</v>
      </c>
      <c r="F37" s="8">
        <v>1</v>
      </c>
      <c r="G37" s="8">
        <v>0.96</v>
      </c>
      <c r="H37" s="8">
        <v>0.98</v>
      </c>
      <c r="I37" s="9" t="s">
        <v>508</v>
      </c>
      <c r="J37" s="9" t="s">
        <v>366</v>
      </c>
      <c r="K37" s="9" t="s">
        <v>242</v>
      </c>
      <c r="L37" s="21">
        <v>0</v>
      </c>
      <c r="M37">
        <f t="shared" si="1"/>
        <v>4</v>
      </c>
      <c r="N37">
        <f t="shared" si="1"/>
        <v>4</v>
      </c>
      <c r="O37">
        <f t="shared" si="1"/>
        <v>3</v>
      </c>
      <c r="P37">
        <f t="shared" si="1"/>
        <v>4</v>
      </c>
      <c r="Q37" s="49" t="s">
        <v>158</v>
      </c>
    </row>
    <row r="38" spans="1:17" x14ac:dyDescent="0.25">
      <c r="A38" s="9" t="s">
        <v>74</v>
      </c>
      <c r="B38" s="4" t="s">
        <v>75</v>
      </c>
      <c r="C38" s="5" t="s">
        <v>398</v>
      </c>
      <c r="D38" s="5" t="s">
        <v>398</v>
      </c>
      <c r="E38" s="5" t="s">
        <v>399</v>
      </c>
      <c r="F38" s="5" t="s">
        <v>399</v>
      </c>
      <c r="G38" s="5" t="s">
        <v>399</v>
      </c>
      <c r="H38" s="5" t="s">
        <v>399</v>
      </c>
      <c r="I38" s="9" t="s">
        <v>399</v>
      </c>
      <c r="J38" s="9" t="s">
        <v>399</v>
      </c>
      <c r="K38" s="9" t="s">
        <v>399</v>
      </c>
      <c r="L38" s="21" t="s">
        <v>399</v>
      </c>
      <c r="M38">
        <f t="shared" si="1"/>
        <v>4</v>
      </c>
      <c r="N38">
        <f t="shared" si="1"/>
        <v>4</v>
      </c>
      <c r="O38">
        <f t="shared" si="1"/>
        <v>4</v>
      </c>
      <c r="P38">
        <f t="shared" si="1"/>
        <v>4</v>
      </c>
      <c r="Q38" s="49" t="s">
        <v>74</v>
      </c>
    </row>
    <row r="39" spans="1:17" x14ac:dyDescent="0.25">
      <c r="A39" s="9" t="s">
        <v>150</v>
      </c>
      <c r="B39" s="4" t="s">
        <v>151</v>
      </c>
      <c r="C39" s="5">
        <v>67</v>
      </c>
      <c r="D39" s="5">
        <v>49</v>
      </c>
      <c r="E39" s="8">
        <v>0.91</v>
      </c>
      <c r="F39" s="8">
        <v>0.96</v>
      </c>
      <c r="G39" s="8">
        <v>0.92</v>
      </c>
      <c r="H39" s="8">
        <v>0.79</v>
      </c>
      <c r="I39" s="9" t="s">
        <v>509</v>
      </c>
      <c r="J39" s="9" t="s">
        <v>389</v>
      </c>
      <c r="K39" s="9" t="s">
        <v>349</v>
      </c>
      <c r="L39" s="21">
        <v>2.4E-2</v>
      </c>
      <c r="M39">
        <f t="shared" si="1"/>
        <v>2</v>
      </c>
      <c r="N39">
        <f t="shared" si="1"/>
        <v>1</v>
      </c>
      <c r="O39">
        <f t="shared" si="1"/>
        <v>2</v>
      </c>
      <c r="P39">
        <f t="shared" si="1"/>
        <v>2</v>
      </c>
      <c r="Q39" s="49" t="s">
        <v>150</v>
      </c>
    </row>
    <row r="40" spans="1:17" x14ac:dyDescent="0.25">
      <c r="A40" s="9" t="s">
        <v>105</v>
      </c>
      <c r="B40" s="4" t="s">
        <v>106</v>
      </c>
      <c r="C40" s="5">
        <v>78</v>
      </c>
      <c r="D40" s="5">
        <v>67</v>
      </c>
      <c r="E40" s="8">
        <v>0.85</v>
      </c>
      <c r="F40" s="8">
        <v>0.99</v>
      </c>
      <c r="G40" s="8">
        <v>0.84</v>
      </c>
      <c r="H40" s="8">
        <v>0.97</v>
      </c>
      <c r="I40" s="9" t="s">
        <v>510</v>
      </c>
      <c r="J40" s="9" t="s">
        <v>357</v>
      </c>
      <c r="K40" s="9" t="s">
        <v>322</v>
      </c>
      <c r="L40" s="21">
        <v>4.0000000000000001E-3</v>
      </c>
      <c r="M40">
        <f t="shared" si="1"/>
        <v>2</v>
      </c>
      <c r="N40">
        <f t="shared" si="1"/>
        <v>2</v>
      </c>
      <c r="O40">
        <f t="shared" si="1"/>
        <v>1</v>
      </c>
      <c r="P40">
        <f t="shared" si="1"/>
        <v>4</v>
      </c>
      <c r="Q40" s="49" t="s">
        <v>105</v>
      </c>
    </row>
    <row r="41" spans="1:17" x14ac:dyDescent="0.25">
      <c r="A41" s="9" t="s">
        <v>15</v>
      </c>
      <c r="B41" s="4" t="s">
        <v>16</v>
      </c>
      <c r="C41" s="5">
        <v>29</v>
      </c>
      <c r="D41" s="5">
        <v>27</v>
      </c>
      <c r="E41" s="8">
        <v>0.9</v>
      </c>
      <c r="F41" s="8">
        <v>0.97</v>
      </c>
      <c r="G41" s="8">
        <v>0.89</v>
      </c>
      <c r="H41" s="8">
        <v>0.83</v>
      </c>
      <c r="I41" s="9" t="s">
        <v>511</v>
      </c>
      <c r="J41" s="9" t="s">
        <v>360</v>
      </c>
      <c r="K41" s="9" t="s">
        <v>233</v>
      </c>
      <c r="L41" s="21">
        <v>4.2999999999999997E-2</v>
      </c>
      <c r="M41">
        <f t="shared" si="1"/>
        <v>2</v>
      </c>
      <c r="N41">
        <f t="shared" si="1"/>
        <v>2</v>
      </c>
      <c r="O41">
        <f t="shared" si="1"/>
        <v>2</v>
      </c>
      <c r="P41">
        <f t="shared" si="1"/>
        <v>2</v>
      </c>
      <c r="Q41" s="49" t="s">
        <v>15</v>
      </c>
    </row>
    <row r="42" spans="1:17" x14ac:dyDescent="0.25">
      <c r="A42" s="9" t="s">
        <v>11</v>
      </c>
      <c r="B42" s="4" t="s">
        <v>12</v>
      </c>
      <c r="C42" s="5">
        <v>117</v>
      </c>
      <c r="D42" s="5">
        <v>69</v>
      </c>
      <c r="E42" s="8">
        <v>0.94</v>
      </c>
      <c r="F42" s="8">
        <v>0.97</v>
      </c>
      <c r="G42" s="8">
        <v>0.94</v>
      </c>
      <c r="H42" s="8">
        <v>0.97</v>
      </c>
      <c r="I42" s="9" t="s">
        <v>512</v>
      </c>
      <c r="J42" s="9" t="s">
        <v>389</v>
      </c>
      <c r="K42" s="9" t="s">
        <v>320</v>
      </c>
      <c r="L42" s="21">
        <v>7.0000000000000001E-3</v>
      </c>
      <c r="M42">
        <f t="shared" si="1"/>
        <v>3</v>
      </c>
      <c r="N42">
        <f t="shared" si="1"/>
        <v>2</v>
      </c>
      <c r="O42">
        <f t="shared" si="1"/>
        <v>3</v>
      </c>
      <c r="P42">
        <f t="shared" si="1"/>
        <v>4</v>
      </c>
      <c r="Q42" s="49" t="s">
        <v>11</v>
      </c>
    </row>
    <row r="43" spans="1:17" x14ac:dyDescent="0.25">
      <c r="A43" s="9" t="s">
        <v>95</v>
      </c>
      <c r="B43" s="4" t="s">
        <v>96</v>
      </c>
      <c r="C43" s="5">
        <v>23</v>
      </c>
      <c r="D43" s="5">
        <v>21</v>
      </c>
      <c r="E43" s="8">
        <v>0.87</v>
      </c>
      <c r="F43" s="8">
        <v>0.96</v>
      </c>
      <c r="G43" s="8">
        <v>0.94</v>
      </c>
      <c r="H43" s="8">
        <v>0.7</v>
      </c>
      <c r="I43" s="9" t="s">
        <v>513</v>
      </c>
      <c r="J43" s="9" t="s">
        <v>399</v>
      </c>
      <c r="K43" s="9" t="s">
        <v>322</v>
      </c>
      <c r="L43" s="21">
        <v>0</v>
      </c>
      <c r="M43">
        <f t="shared" si="1"/>
        <v>2</v>
      </c>
      <c r="N43">
        <f t="shared" si="1"/>
        <v>1</v>
      </c>
      <c r="O43">
        <f t="shared" si="1"/>
        <v>3</v>
      </c>
      <c r="P43">
        <f t="shared" si="1"/>
        <v>1</v>
      </c>
      <c r="Q43" s="49" t="s">
        <v>95</v>
      </c>
    </row>
    <row r="44" spans="1:17" x14ac:dyDescent="0.25">
      <c r="A44" s="9" t="s">
        <v>99</v>
      </c>
      <c r="B44" s="4" t="s">
        <v>100</v>
      </c>
      <c r="C44" s="5">
        <v>32</v>
      </c>
      <c r="D44" s="5">
        <v>22</v>
      </c>
      <c r="E44" s="8">
        <v>1</v>
      </c>
      <c r="F44" s="8">
        <v>0.97</v>
      </c>
      <c r="G44" s="8">
        <v>1</v>
      </c>
      <c r="H44" s="8">
        <v>0.94</v>
      </c>
      <c r="I44" s="9" t="s">
        <v>514</v>
      </c>
      <c r="J44" s="9" t="s">
        <v>515</v>
      </c>
      <c r="K44" s="9" t="s">
        <v>252</v>
      </c>
      <c r="L44" s="21">
        <v>0.01</v>
      </c>
      <c r="M44">
        <f t="shared" si="1"/>
        <v>4</v>
      </c>
      <c r="N44">
        <f t="shared" si="1"/>
        <v>2</v>
      </c>
      <c r="O44">
        <f t="shared" si="1"/>
        <v>4</v>
      </c>
      <c r="P44">
        <f t="shared" si="1"/>
        <v>3</v>
      </c>
      <c r="Q44" s="49" t="s">
        <v>99</v>
      </c>
    </row>
    <row r="45" spans="1:17" x14ac:dyDescent="0.25">
      <c r="A45" s="9" t="s">
        <v>113</v>
      </c>
      <c r="B45" s="4" t="s">
        <v>114</v>
      </c>
      <c r="C45" s="5">
        <v>62</v>
      </c>
      <c r="D45" s="5">
        <v>25</v>
      </c>
      <c r="E45" s="8">
        <v>0.92</v>
      </c>
      <c r="F45" s="8">
        <v>0.65</v>
      </c>
      <c r="G45" s="8">
        <v>0.92</v>
      </c>
      <c r="H45" s="8">
        <v>0.92</v>
      </c>
      <c r="I45" s="9" t="s">
        <v>516</v>
      </c>
      <c r="J45" s="9" t="s">
        <v>517</v>
      </c>
      <c r="K45" s="9" t="s">
        <v>349</v>
      </c>
      <c r="L45" s="21">
        <v>8.9999999999999993E-3</v>
      </c>
      <c r="M45">
        <f t="shared" si="1"/>
        <v>2</v>
      </c>
      <c r="N45">
        <f t="shared" si="1"/>
        <v>1</v>
      </c>
      <c r="O45">
        <f t="shared" si="1"/>
        <v>2</v>
      </c>
      <c r="P45">
        <f t="shared" si="1"/>
        <v>3</v>
      </c>
      <c r="Q45" s="49" t="s">
        <v>113</v>
      </c>
    </row>
    <row r="46" spans="1:17" x14ac:dyDescent="0.25">
      <c r="A46" s="9" t="s">
        <v>160</v>
      </c>
      <c r="B46" s="4" t="s">
        <v>161</v>
      </c>
      <c r="C46" s="5">
        <v>20</v>
      </c>
      <c r="D46" s="5">
        <v>15</v>
      </c>
      <c r="E46" s="8">
        <v>0.95</v>
      </c>
      <c r="F46" s="8">
        <v>0.95</v>
      </c>
      <c r="G46" s="8">
        <v>0.95</v>
      </c>
      <c r="H46" s="8">
        <v>1</v>
      </c>
      <c r="I46" s="9" t="s">
        <v>518</v>
      </c>
      <c r="J46" s="9" t="s">
        <v>455</v>
      </c>
      <c r="K46" s="9" t="s">
        <v>322</v>
      </c>
      <c r="L46" s="21">
        <v>2.1999999999999999E-2</v>
      </c>
      <c r="M46">
        <f t="shared" si="1"/>
        <v>3</v>
      </c>
      <c r="N46">
        <f t="shared" si="1"/>
        <v>1</v>
      </c>
      <c r="O46">
        <f t="shared" si="1"/>
        <v>3</v>
      </c>
      <c r="P46">
        <f t="shared" si="1"/>
        <v>4</v>
      </c>
      <c r="Q46" s="49" t="s">
        <v>160</v>
      </c>
    </row>
    <row r="47" spans="1:17" x14ac:dyDescent="0.25">
      <c r="A47" s="9" t="s">
        <v>176</v>
      </c>
      <c r="B47" s="4" t="s">
        <v>177</v>
      </c>
      <c r="C47" s="5">
        <v>11</v>
      </c>
      <c r="D47" s="5">
        <v>5</v>
      </c>
      <c r="E47" s="8">
        <v>1</v>
      </c>
      <c r="F47" s="8">
        <v>0.91</v>
      </c>
      <c r="G47" s="8">
        <v>1</v>
      </c>
      <c r="H47" s="8">
        <v>1</v>
      </c>
      <c r="I47" s="9" t="s">
        <v>519</v>
      </c>
      <c r="J47" s="9" t="s">
        <v>465</v>
      </c>
      <c r="K47" s="9" t="s">
        <v>236</v>
      </c>
      <c r="L47" s="21">
        <v>0</v>
      </c>
      <c r="M47">
        <f t="shared" si="1"/>
        <v>4</v>
      </c>
      <c r="N47">
        <f t="shared" si="1"/>
        <v>1</v>
      </c>
      <c r="O47">
        <f t="shared" si="1"/>
        <v>4</v>
      </c>
      <c r="P47">
        <f t="shared" si="1"/>
        <v>4</v>
      </c>
      <c r="Q47" s="49" t="s">
        <v>176</v>
      </c>
    </row>
    <row r="48" spans="1:17" x14ac:dyDescent="0.25">
      <c r="A48" s="9" t="s">
        <v>170</v>
      </c>
      <c r="B48" s="4" t="s">
        <v>171</v>
      </c>
      <c r="C48" s="5">
        <v>28</v>
      </c>
      <c r="D48" s="5">
        <v>25</v>
      </c>
      <c r="E48" s="8">
        <v>0.68</v>
      </c>
      <c r="F48" s="8">
        <v>1</v>
      </c>
      <c r="G48" s="8">
        <v>0.67</v>
      </c>
      <c r="H48" s="8">
        <v>0.64</v>
      </c>
      <c r="I48" s="9" t="s">
        <v>520</v>
      </c>
      <c r="J48" s="9" t="s">
        <v>399</v>
      </c>
      <c r="K48" s="9" t="s">
        <v>345</v>
      </c>
      <c r="L48" s="21">
        <v>0</v>
      </c>
      <c r="M48">
        <f t="shared" si="1"/>
        <v>1</v>
      </c>
      <c r="N48">
        <f t="shared" si="1"/>
        <v>4</v>
      </c>
      <c r="O48">
        <f t="shared" si="1"/>
        <v>1</v>
      </c>
      <c r="P48">
        <f t="shared" si="1"/>
        <v>1</v>
      </c>
      <c r="Q48" s="49" t="s">
        <v>170</v>
      </c>
    </row>
    <row r="49" spans="1:17" x14ac:dyDescent="0.25">
      <c r="A49" s="9" t="s">
        <v>164</v>
      </c>
      <c r="B49" s="4" t="s">
        <v>165</v>
      </c>
      <c r="C49" s="5">
        <v>60</v>
      </c>
      <c r="D49" s="5">
        <v>38</v>
      </c>
      <c r="E49" s="8">
        <v>0.95</v>
      </c>
      <c r="F49" s="8">
        <v>0.85</v>
      </c>
      <c r="G49" s="8">
        <v>0.95</v>
      </c>
      <c r="H49" s="8">
        <v>0.93</v>
      </c>
      <c r="I49" s="9" t="s">
        <v>521</v>
      </c>
      <c r="J49" s="9" t="s">
        <v>323</v>
      </c>
      <c r="K49" s="9" t="s">
        <v>242</v>
      </c>
      <c r="L49" s="21">
        <v>3.9E-2</v>
      </c>
      <c r="M49">
        <f t="shared" si="1"/>
        <v>3</v>
      </c>
      <c r="N49">
        <f t="shared" si="1"/>
        <v>1</v>
      </c>
      <c r="O49">
        <f t="shared" si="1"/>
        <v>3</v>
      </c>
      <c r="P49">
        <f t="shared" si="1"/>
        <v>3</v>
      </c>
      <c r="Q49" s="49" t="s">
        <v>164</v>
      </c>
    </row>
    <row r="50" spans="1:17" x14ac:dyDescent="0.25">
      <c r="A50" s="9" t="s">
        <v>166</v>
      </c>
      <c r="B50" s="4" t="s">
        <v>167</v>
      </c>
      <c r="C50" s="5">
        <v>24</v>
      </c>
      <c r="D50" s="5">
        <v>8</v>
      </c>
      <c r="E50" s="8">
        <v>1</v>
      </c>
      <c r="F50" s="8">
        <v>0.96</v>
      </c>
      <c r="G50" s="8">
        <v>1</v>
      </c>
      <c r="H50" s="8">
        <v>0.96</v>
      </c>
      <c r="I50" s="9" t="s">
        <v>522</v>
      </c>
      <c r="J50" s="9" t="s">
        <v>396</v>
      </c>
      <c r="K50" s="9" t="s">
        <v>236</v>
      </c>
      <c r="L50" s="21">
        <v>0</v>
      </c>
      <c r="M50">
        <f t="shared" si="1"/>
        <v>4</v>
      </c>
      <c r="N50">
        <f t="shared" si="1"/>
        <v>1</v>
      </c>
      <c r="O50">
        <f t="shared" si="1"/>
        <v>4</v>
      </c>
      <c r="P50">
        <f t="shared" si="1"/>
        <v>3</v>
      </c>
      <c r="Q50" s="49" t="s">
        <v>166</v>
      </c>
    </row>
    <row r="51" spans="1:17" x14ac:dyDescent="0.25">
      <c r="A51" s="9" t="s">
        <v>168</v>
      </c>
      <c r="B51" s="4" t="s">
        <v>169</v>
      </c>
      <c r="C51" s="5">
        <v>41</v>
      </c>
      <c r="D51" s="5">
        <v>31</v>
      </c>
      <c r="E51" s="8">
        <v>0.98</v>
      </c>
      <c r="F51" s="8">
        <v>0.98</v>
      </c>
      <c r="G51" s="8">
        <v>0.97</v>
      </c>
      <c r="H51" s="8">
        <v>0.98</v>
      </c>
      <c r="I51" s="9" t="s">
        <v>523</v>
      </c>
      <c r="J51" s="9" t="s">
        <v>326</v>
      </c>
      <c r="K51" s="9" t="s">
        <v>236</v>
      </c>
      <c r="L51" s="21">
        <v>0</v>
      </c>
      <c r="M51">
        <f t="shared" si="1"/>
        <v>4</v>
      </c>
      <c r="N51">
        <f t="shared" si="1"/>
        <v>2</v>
      </c>
      <c r="O51">
        <f t="shared" si="1"/>
        <v>3</v>
      </c>
      <c r="P51">
        <f t="shared" si="1"/>
        <v>4</v>
      </c>
      <c r="Q51" s="49" t="s">
        <v>168</v>
      </c>
    </row>
    <row r="52" spans="1:17" x14ac:dyDescent="0.25">
      <c r="A52" s="9" t="s">
        <v>172</v>
      </c>
      <c r="B52" s="4" t="s">
        <v>173</v>
      </c>
      <c r="C52" s="5">
        <v>42</v>
      </c>
      <c r="D52" s="5">
        <v>18</v>
      </c>
      <c r="E52" s="8">
        <v>0.9</v>
      </c>
      <c r="F52" s="8">
        <v>1</v>
      </c>
      <c r="G52" s="8">
        <v>0.89</v>
      </c>
      <c r="H52" s="8">
        <v>0.86</v>
      </c>
      <c r="I52" s="9" t="s">
        <v>524</v>
      </c>
      <c r="J52" s="9" t="s">
        <v>463</v>
      </c>
      <c r="K52" s="9" t="s">
        <v>226</v>
      </c>
      <c r="L52" s="21">
        <v>8.0000000000000002E-3</v>
      </c>
      <c r="M52">
        <f t="shared" si="1"/>
        <v>2</v>
      </c>
      <c r="N52">
        <f t="shared" si="1"/>
        <v>4</v>
      </c>
      <c r="O52">
        <f t="shared" si="1"/>
        <v>2</v>
      </c>
      <c r="P52">
        <f t="shared" si="1"/>
        <v>2</v>
      </c>
      <c r="Q52" s="49" t="s">
        <v>172</v>
      </c>
    </row>
    <row r="53" spans="1:17" x14ac:dyDescent="0.25">
      <c r="A53" s="9" t="s">
        <v>174</v>
      </c>
      <c r="B53" s="4" t="s">
        <v>175</v>
      </c>
      <c r="C53" s="5">
        <v>24</v>
      </c>
      <c r="D53" s="5">
        <v>18</v>
      </c>
      <c r="E53" s="8">
        <v>0.25</v>
      </c>
      <c r="F53" s="8">
        <v>1</v>
      </c>
      <c r="G53" s="8">
        <v>0.24</v>
      </c>
      <c r="H53" s="8">
        <v>0.21</v>
      </c>
      <c r="I53" s="9" t="s">
        <v>525</v>
      </c>
      <c r="J53" s="9" t="s">
        <v>526</v>
      </c>
      <c r="K53" s="9" t="s">
        <v>345</v>
      </c>
      <c r="L53" s="21">
        <v>0</v>
      </c>
      <c r="M53">
        <f t="shared" si="1"/>
        <v>1</v>
      </c>
      <c r="N53">
        <f t="shared" si="1"/>
        <v>4</v>
      </c>
      <c r="O53">
        <f t="shared" si="1"/>
        <v>1</v>
      </c>
      <c r="P53">
        <f t="shared" si="1"/>
        <v>1</v>
      </c>
      <c r="Q53" s="49" t="s">
        <v>174</v>
      </c>
    </row>
    <row r="54" spans="1:17" x14ac:dyDescent="0.25">
      <c r="A54" s="9" t="s">
        <v>83</v>
      </c>
      <c r="B54" s="4" t="s">
        <v>84</v>
      </c>
      <c r="C54" s="5">
        <v>85</v>
      </c>
      <c r="D54" s="5">
        <v>38</v>
      </c>
      <c r="E54" s="8">
        <v>0.79</v>
      </c>
      <c r="F54" s="8">
        <v>0.99</v>
      </c>
      <c r="G54" s="8">
        <v>0.77</v>
      </c>
      <c r="H54" s="8">
        <v>0.76</v>
      </c>
      <c r="I54" s="9" t="s">
        <v>527</v>
      </c>
      <c r="J54" s="9" t="s">
        <v>352</v>
      </c>
      <c r="K54" s="9" t="s">
        <v>320</v>
      </c>
      <c r="L54" s="21">
        <v>6.0000000000000001E-3</v>
      </c>
      <c r="M54">
        <f t="shared" si="1"/>
        <v>1</v>
      </c>
      <c r="N54">
        <f t="shared" si="1"/>
        <v>2</v>
      </c>
      <c r="O54">
        <f t="shared" si="1"/>
        <v>1</v>
      </c>
      <c r="P54">
        <f t="shared" si="1"/>
        <v>2</v>
      </c>
      <c r="Q54" s="49" t="s">
        <v>83</v>
      </c>
    </row>
    <row r="55" spans="1:17" x14ac:dyDescent="0.25">
      <c r="A55" s="9" t="s">
        <v>124</v>
      </c>
      <c r="B55" s="4" t="s">
        <v>125</v>
      </c>
      <c r="C55" s="5">
        <v>72</v>
      </c>
      <c r="D55" s="5">
        <v>47</v>
      </c>
      <c r="E55" s="8">
        <v>0.86</v>
      </c>
      <c r="F55" s="8">
        <v>1</v>
      </c>
      <c r="G55" s="8">
        <v>0.87</v>
      </c>
      <c r="H55" s="8">
        <v>0.83</v>
      </c>
      <c r="I55" s="9" t="s">
        <v>528</v>
      </c>
      <c r="J55" s="9" t="s">
        <v>338</v>
      </c>
      <c r="K55" s="9" t="s">
        <v>302</v>
      </c>
      <c r="L55" s="21">
        <v>2.1999999999999999E-2</v>
      </c>
      <c r="M55">
        <f t="shared" si="1"/>
        <v>2</v>
      </c>
      <c r="N55">
        <f t="shared" si="1"/>
        <v>4</v>
      </c>
      <c r="O55">
        <f t="shared" si="1"/>
        <v>2</v>
      </c>
      <c r="P55">
        <f t="shared" si="1"/>
        <v>2</v>
      </c>
      <c r="Q55" s="49" t="s">
        <v>124</v>
      </c>
    </row>
    <row r="56" spans="1:17" x14ac:dyDescent="0.25">
      <c r="A56" s="9" t="s">
        <v>89</v>
      </c>
      <c r="B56" s="4" t="s">
        <v>90</v>
      </c>
      <c r="C56" s="5">
        <v>39</v>
      </c>
      <c r="D56" s="5">
        <v>25</v>
      </c>
      <c r="E56" s="8">
        <v>0.79</v>
      </c>
      <c r="F56" s="8">
        <v>0.97</v>
      </c>
      <c r="G56" s="8">
        <v>0.79</v>
      </c>
      <c r="H56" s="8">
        <v>0.72</v>
      </c>
      <c r="I56" s="9" t="s">
        <v>529</v>
      </c>
      <c r="J56" s="9" t="s">
        <v>530</v>
      </c>
      <c r="K56" s="9" t="s">
        <v>242</v>
      </c>
      <c r="L56" s="21">
        <v>5.3999999999999999E-2</v>
      </c>
      <c r="M56">
        <f t="shared" si="1"/>
        <v>1</v>
      </c>
      <c r="N56">
        <f t="shared" si="1"/>
        <v>2</v>
      </c>
      <c r="O56">
        <f t="shared" si="1"/>
        <v>1</v>
      </c>
      <c r="P56">
        <f t="shared" si="1"/>
        <v>1</v>
      </c>
      <c r="Q56" s="49" t="s">
        <v>89</v>
      </c>
    </row>
    <row r="57" spans="1:17" x14ac:dyDescent="0.25">
      <c r="A57" s="9" t="s">
        <v>91</v>
      </c>
      <c r="B57" s="4" t="s">
        <v>92</v>
      </c>
      <c r="C57" s="5">
        <v>46</v>
      </c>
      <c r="D57" s="5">
        <v>37</v>
      </c>
      <c r="E57" s="8">
        <v>0.93</v>
      </c>
      <c r="F57" s="8">
        <v>0.96</v>
      </c>
      <c r="G57" s="8">
        <v>0.95</v>
      </c>
      <c r="H57" s="8">
        <v>0.78</v>
      </c>
      <c r="I57" s="9" t="s">
        <v>531</v>
      </c>
      <c r="J57" s="9" t="s">
        <v>482</v>
      </c>
      <c r="K57" s="9" t="s">
        <v>243</v>
      </c>
      <c r="L57" s="21">
        <v>7.0000000000000001E-3</v>
      </c>
      <c r="M57">
        <f t="shared" si="1"/>
        <v>3</v>
      </c>
      <c r="N57">
        <f t="shared" si="1"/>
        <v>1</v>
      </c>
      <c r="O57">
        <f t="shared" si="1"/>
        <v>3</v>
      </c>
      <c r="P57">
        <f t="shared" si="1"/>
        <v>2</v>
      </c>
      <c r="Q57" s="49" t="s">
        <v>91</v>
      </c>
    </row>
    <row r="58" spans="1:17" x14ac:dyDescent="0.25">
      <c r="A58" s="9" t="s">
        <v>144</v>
      </c>
      <c r="B58" s="4" t="s">
        <v>145</v>
      </c>
      <c r="C58" s="5">
        <v>68</v>
      </c>
      <c r="D58" s="5">
        <v>62</v>
      </c>
      <c r="E58" s="8">
        <v>0.99</v>
      </c>
      <c r="F58" s="8">
        <v>1</v>
      </c>
      <c r="G58" s="8">
        <v>0.98</v>
      </c>
      <c r="H58" s="8">
        <v>0.97</v>
      </c>
      <c r="I58" s="9" t="s">
        <v>532</v>
      </c>
      <c r="J58" s="9" t="s">
        <v>533</v>
      </c>
      <c r="K58" s="9" t="s">
        <v>320</v>
      </c>
      <c r="L58" s="21">
        <v>4.0000000000000001E-3</v>
      </c>
      <c r="M58">
        <f t="shared" si="1"/>
        <v>4</v>
      </c>
      <c r="N58">
        <f t="shared" si="1"/>
        <v>4</v>
      </c>
      <c r="O58">
        <f t="shared" si="1"/>
        <v>3</v>
      </c>
      <c r="P58">
        <f t="shared" si="1"/>
        <v>4</v>
      </c>
      <c r="Q58" s="49" t="s">
        <v>144</v>
      </c>
    </row>
    <row r="59" spans="1:17" x14ac:dyDescent="0.25">
      <c r="A59" s="9" t="s">
        <v>118</v>
      </c>
      <c r="B59" s="4" t="s">
        <v>119</v>
      </c>
      <c r="C59" s="5">
        <v>87</v>
      </c>
      <c r="D59" s="5">
        <v>46</v>
      </c>
      <c r="E59" s="8">
        <v>0.93</v>
      </c>
      <c r="F59" s="8">
        <v>0.99</v>
      </c>
      <c r="G59" s="8">
        <v>0.93</v>
      </c>
      <c r="H59" s="8">
        <v>0.89</v>
      </c>
      <c r="I59" s="9" t="s">
        <v>534</v>
      </c>
      <c r="J59" s="9" t="s">
        <v>359</v>
      </c>
      <c r="K59" s="9" t="s">
        <v>295</v>
      </c>
      <c r="L59" s="21">
        <v>1.2999999999999999E-2</v>
      </c>
      <c r="M59">
        <f t="shared" si="1"/>
        <v>3</v>
      </c>
      <c r="N59">
        <f t="shared" si="1"/>
        <v>2</v>
      </c>
      <c r="O59">
        <f t="shared" si="1"/>
        <v>3</v>
      </c>
      <c r="P59">
        <f t="shared" si="1"/>
        <v>3</v>
      </c>
      <c r="Q59" s="49" t="s">
        <v>118</v>
      </c>
    </row>
    <row r="60" spans="1:17" x14ac:dyDescent="0.25">
      <c r="A60" s="9" t="s">
        <v>128</v>
      </c>
      <c r="B60" s="4" t="s">
        <v>129</v>
      </c>
      <c r="C60" s="5">
        <v>51</v>
      </c>
      <c r="D60" s="5">
        <v>44</v>
      </c>
      <c r="E60" s="8">
        <v>0.98</v>
      </c>
      <c r="F60" s="8">
        <v>1</v>
      </c>
      <c r="G60" s="8">
        <v>1</v>
      </c>
      <c r="H60" s="8">
        <v>1</v>
      </c>
      <c r="I60" s="9" t="s">
        <v>535</v>
      </c>
      <c r="J60" s="9" t="s">
        <v>465</v>
      </c>
      <c r="K60" s="9" t="s">
        <v>345</v>
      </c>
      <c r="L60" s="21">
        <v>0.01</v>
      </c>
      <c r="M60">
        <f t="shared" si="1"/>
        <v>4</v>
      </c>
      <c r="N60">
        <f t="shared" si="1"/>
        <v>4</v>
      </c>
      <c r="O60">
        <f t="shared" si="1"/>
        <v>4</v>
      </c>
      <c r="P60">
        <f t="shared" si="1"/>
        <v>4</v>
      </c>
      <c r="Q60" s="49" t="s">
        <v>128</v>
      </c>
    </row>
    <row r="61" spans="1:17" x14ac:dyDescent="0.25">
      <c r="A61" s="9" t="s">
        <v>76</v>
      </c>
      <c r="B61" s="4" t="s">
        <v>430</v>
      </c>
      <c r="C61" s="5">
        <v>30</v>
      </c>
      <c r="D61" s="5">
        <v>20</v>
      </c>
      <c r="E61" s="8">
        <v>0.97</v>
      </c>
      <c r="F61" s="8">
        <v>0.97</v>
      </c>
      <c r="G61" s="8">
        <v>0.95</v>
      </c>
      <c r="H61" s="8">
        <v>1</v>
      </c>
      <c r="I61" s="9" t="s">
        <v>536</v>
      </c>
      <c r="J61" s="9" t="s">
        <v>537</v>
      </c>
      <c r="K61" s="9" t="s">
        <v>330</v>
      </c>
      <c r="L61" s="21">
        <v>4.3999999999999997E-2</v>
      </c>
      <c r="M61">
        <f t="shared" si="1"/>
        <v>3</v>
      </c>
      <c r="N61">
        <f t="shared" si="1"/>
        <v>2</v>
      </c>
      <c r="O61">
        <f t="shared" si="1"/>
        <v>3</v>
      </c>
      <c r="P61">
        <f t="shared" si="1"/>
        <v>4</v>
      </c>
      <c r="Q61" s="49" t="s">
        <v>76</v>
      </c>
    </row>
    <row r="62" spans="1:17" x14ac:dyDescent="0.25">
      <c r="A62" s="9" t="s">
        <v>62</v>
      </c>
      <c r="B62" s="4" t="s">
        <v>63</v>
      </c>
      <c r="C62" s="5">
        <v>15</v>
      </c>
      <c r="D62" s="5">
        <v>10</v>
      </c>
      <c r="E62" s="8">
        <v>0.93</v>
      </c>
      <c r="F62" s="8">
        <v>1</v>
      </c>
      <c r="G62" s="8">
        <v>0.92</v>
      </c>
      <c r="H62" s="8">
        <v>0.33</v>
      </c>
      <c r="I62" s="9" t="s">
        <v>538</v>
      </c>
      <c r="J62" s="9" t="s">
        <v>344</v>
      </c>
      <c r="K62" s="9" t="s">
        <v>254</v>
      </c>
      <c r="L62" s="21">
        <v>0</v>
      </c>
      <c r="M62">
        <f t="shared" si="1"/>
        <v>3</v>
      </c>
      <c r="N62">
        <f t="shared" si="1"/>
        <v>4</v>
      </c>
      <c r="O62">
        <f t="shared" si="1"/>
        <v>2</v>
      </c>
      <c r="P62">
        <f t="shared" si="1"/>
        <v>1</v>
      </c>
      <c r="Q62" s="49" t="s">
        <v>62</v>
      </c>
    </row>
    <row r="63" spans="1:17" x14ac:dyDescent="0.25">
      <c r="A63" s="9" t="s">
        <v>101</v>
      </c>
      <c r="B63" s="4" t="s">
        <v>102</v>
      </c>
      <c r="C63" s="5">
        <v>29</v>
      </c>
      <c r="D63" s="5">
        <v>24</v>
      </c>
      <c r="E63" s="8">
        <v>1</v>
      </c>
      <c r="F63" s="8">
        <v>0.97</v>
      </c>
      <c r="G63" s="8">
        <v>1</v>
      </c>
      <c r="H63" s="8">
        <v>0.83</v>
      </c>
      <c r="I63" s="9" t="s">
        <v>539</v>
      </c>
      <c r="J63" s="9" t="s">
        <v>364</v>
      </c>
      <c r="K63" s="9" t="s">
        <v>245</v>
      </c>
      <c r="L63" s="21">
        <v>5.0999999999999997E-2</v>
      </c>
      <c r="M63">
        <f t="shared" si="1"/>
        <v>4</v>
      </c>
      <c r="N63">
        <f t="shared" si="1"/>
        <v>2</v>
      </c>
      <c r="O63">
        <f t="shared" si="1"/>
        <v>4</v>
      </c>
      <c r="P63">
        <f t="shared" si="1"/>
        <v>2</v>
      </c>
      <c r="Q63" s="49" t="s">
        <v>101</v>
      </c>
    </row>
    <row r="64" spans="1:17" x14ac:dyDescent="0.25">
      <c r="A64" s="9" t="s">
        <v>42</v>
      </c>
      <c r="B64" s="4" t="s">
        <v>43</v>
      </c>
      <c r="C64" s="5">
        <v>78</v>
      </c>
      <c r="D64" s="5">
        <v>47</v>
      </c>
      <c r="E64" s="8">
        <v>0.81</v>
      </c>
      <c r="F64" s="8">
        <v>1</v>
      </c>
      <c r="G64" s="8">
        <v>0.82</v>
      </c>
      <c r="H64" s="8">
        <v>0.77</v>
      </c>
      <c r="I64" s="9" t="s">
        <v>540</v>
      </c>
      <c r="J64" s="9" t="s">
        <v>355</v>
      </c>
      <c r="K64" s="9" t="s">
        <v>320</v>
      </c>
      <c r="L64" s="21">
        <v>3.7999999999999999E-2</v>
      </c>
      <c r="M64">
        <f t="shared" si="1"/>
        <v>1</v>
      </c>
      <c r="N64">
        <f t="shared" si="1"/>
        <v>4</v>
      </c>
      <c r="O64">
        <f t="shared" si="1"/>
        <v>1</v>
      </c>
      <c r="P64">
        <f t="shared" si="1"/>
        <v>2</v>
      </c>
      <c r="Q64" s="49" t="s">
        <v>42</v>
      </c>
    </row>
    <row r="65" spans="1:17" x14ac:dyDescent="0.25">
      <c r="A65" s="9" t="s">
        <v>44</v>
      </c>
      <c r="B65" s="4" t="s">
        <v>45</v>
      </c>
      <c r="C65" s="5">
        <v>41</v>
      </c>
      <c r="D65" s="5">
        <v>28</v>
      </c>
      <c r="E65" s="8">
        <v>0.88</v>
      </c>
      <c r="F65" s="8">
        <v>0.93</v>
      </c>
      <c r="G65" s="8">
        <v>0.86</v>
      </c>
      <c r="H65" s="8">
        <v>0.54</v>
      </c>
      <c r="I65" s="9" t="s">
        <v>541</v>
      </c>
      <c r="J65" s="9" t="s">
        <v>542</v>
      </c>
      <c r="K65" s="9" t="s">
        <v>295</v>
      </c>
      <c r="L65" s="21">
        <v>0.02</v>
      </c>
      <c r="M65">
        <f t="shared" si="1"/>
        <v>2</v>
      </c>
      <c r="N65">
        <f t="shared" si="1"/>
        <v>1</v>
      </c>
      <c r="O65">
        <f t="shared" si="1"/>
        <v>2</v>
      </c>
      <c r="P65">
        <f t="shared" si="1"/>
        <v>1</v>
      </c>
      <c r="Q65" s="49" t="s">
        <v>44</v>
      </c>
    </row>
    <row r="66" spans="1:17" x14ac:dyDescent="0.25">
      <c r="A66" s="9" t="s">
        <v>56</v>
      </c>
      <c r="B66" s="4" t="s">
        <v>57</v>
      </c>
      <c r="C66" s="5">
        <v>19</v>
      </c>
      <c r="D66" s="5">
        <v>10</v>
      </c>
      <c r="E66" s="8">
        <v>1</v>
      </c>
      <c r="F66" s="8">
        <v>1</v>
      </c>
      <c r="G66" s="8">
        <v>1</v>
      </c>
      <c r="H66" s="8">
        <v>0.89</v>
      </c>
      <c r="I66" s="9" t="s">
        <v>543</v>
      </c>
      <c r="J66" s="9" t="s">
        <v>358</v>
      </c>
      <c r="K66" s="9" t="s">
        <v>302</v>
      </c>
      <c r="L66" s="21">
        <v>0</v>
      </c>
      <c r="M66">
        <f t="shared" si="1"/>
        <v>4</v>
      </c>
      <c r="N66">
        <f t="shared" si="1"/>
        <v>4</v>
      </c>
      <c r="O66">
        <f t="shared" si="1"/>
        <v>4</v>
      </c>
      <c r="P66">
        <f t="shared" si="1"/>
        <v>3</v>
      </c>
      <c r="Q66" s="49" t="s">
        <v>56</v>
      </c>
    </row>
    <row r="67" spans="1:17" x14ac:dyDescent="0.25">
      <c r="A67" s="9" t="s">
        <v>23</v>
      </c>
      <c r="B67" s="4" t="s">
        <v>24</v>
      </c>
      <c r="C67" s="5">
        <v>58</v>
      </c>
      <c r="D67" s="5">
        <v>43</v>
      </c>
      <c r="E67" s="8">
        <v>0.59</v>
      </c>
      <c r="F67" s="8">
        <v>1</v>
      </c>
      <c r="G67" s="8">
        <v>0.57999999999999996</v>
      </c>
      <c r="H67" s="8">
        <v>0.83</v>
      </c>
      <c r="I67" s="9" t="s">
        <v>544</v>
      </c>
      <c r="J67" s="9" t="s">
        <v>456</v>
      </c>
      <c r="K67" s="9" t="s">
        <v>242</v>
      </c>
      <c r="L67" s="21">
        <v>6.0000000000000001E-3</v>
      </c>
      <c r="M67">
        <f t="shared" si="1"/>
        <v>1</v>
      </c>
      <c r="N67">
        <f t="shared" si="1"/>
        <v>4</v>
      </c>
      <c r="O67">
        <f t="shared" si="1"/>
        <v>1</v>
      </c>
      <c r="P67">
        <f t="shared" si="1"/>
        <v>2</v>
      </c>
      <c r="Q67" s="49" t="s">
        <v>23</v>
      </c>
    </row>
    <row r="68" spans="1:17" x14ac:dyDescent="0.25">
      <c r="A68" s="9" t="s">
        <v>97</v>
      </c>
      <c r="B68" s="4" t="s">
        <v>98</v>
      </c>
      <c r="C68" s="5">
        <v>102</v>
      </c>
      <c r="D68" s="5">
        <v>54</v>
      </c>
      <c r="E68" s="8">
        <v>0.82</v>
      </c>
      <c r="F68" s="8">
        <v>0.98</v>
      </c>
      <c r="G68" s="8">
        <v>0.82</v>
      </c>
      <c r="H68" s="8">
        <v>0.59</v>
      </c>
      <c r="I68" s="9" t="s">
        <v>545</v>
      </c>
      <c r="J68" s="9" t="s">
        <v>546</v>
      </c>
      <c r="K68" s="9" t="s">
        <v>320</v>
      </c>
      <c r="L68" s="21">
        <v>0.02</v>
      </c>
      <c r="M68">
        <f t="shared" si="1"/>
        <v>1</v>
      </c>
      <c r="N68">
        <f t="shared" si="1"/>
        <v>2</v>
      </c>
      <c r="O68">
        <f t="shared" si="1"/>
        <v>1</v>
      </c>
      <c r="P68">
        <f t="shared" si="1"/>
        <v>1</v>
      </c>
      <c r="Q68" s="49" t="s">
        <v>97</v>
      </c>
    </row>
    <row r="69" spans="1:17" x14ac:dyDescent="0.25">
      <c r="A69" s="9" t="s">
        <v>60</v>
      </c>
      <c r="B69" s="4" t="s">
        <v>61</v>
      </c>
      <c r="C69" s="5">
        <v>50</v>
      </c>
      <c r="D69" s="5">
        <v>20</v>
      </c>
      <c r="E69" s="8">
        <v>0.8</v>
      </c>
      <c r="F69" s="8">
        <v>0.94</v>
      </c>
      <c r="G69" s="8">
        <v>0.8</v>
      </c>
      <c r="H69" s="8">
        <v>0.74</v>
      </c>
      <c r="I69" s="9" t="s">
        <v>547</v>
      </c>
      <c r="J69" s="9" t="s">
        <v>462</v>
      </c>
      <c r="K69" s="9" t="s">
        <v>309</v>
      </c>
      <c r="L69" s="21">
        <v>1.2E-2</v>
      </c>
      <c r="M69">
        <f t="shared" si="1"/>
        <v>1</v>
      </c>
      <c r="N69">
        <f t="shared" si="1"/>
        <v>1</v>
      </c>
      <c r="O69">
        <f t="shared" si="1"/>
        <v>1</v>
      </c>
      <c r="P69">
        <f t="shared" si="1"/>
        <v>1</v>
      </c>
      <c r="Q69" s="49" t="s">
        <v>60</v>
      </c>
    </row>
    <row r="70" spans="1:17" x14ac:dyDescent="0.25">
      <c r="A70" s="9" t="s">
        <v>156</v>
      </c>
      <c r="B70" s="4" t="s">
        <v>157</v>
      </c>
      <c r="C70" s="5">
        <v>42</v>
      </c>
      <c r="D70" s="5">
        <v>30</v>
      </c>
      <c r="E70" s="8">
        <v>0.93</v>
      </c>
      <c r="F70" s="8">
        <v>1</v>
      </c>
      <c r="G70" s="8">
        <v>1</v>
      </c>
      <c r="H70" s="8">
        <v>0.86</v>
      </c>
      <c r="I70" s="9" t="s">
        <v>548</v>
      </c>
      <c r="J70" s="9" t="s">
        <v>333</v>
      </c>
      <c r="K70" s="9" t="s">
        <v>330</v>
      </c>
      <c r="L70" s="21">
        <v>0</v>
      </c>
      <c r="M70">
        <f t="shared" si="1"/>
        <v>3</v>
      </c>
      <c r="N70">
        <f t="shared" si="1"/>
        <v>4</v>
      </c>
      <c r="O70">
        <f t="shared" si="1"/>
        <v>4</v>
      </c>
      <c r="P70">
        <f t="shared" si="1"/>
        <v>2</v>
      </c>
      <c r="Q70" s="49" t="s">
        <v>156</v>
      </c>
    </row>
    <row r="71" spans="1:17" x14ac:dyDescent="0.25">
      <c r="A71" s="9" t="s">
        <v>122</v>
      </c>
      <c r="B71" s="4" t="s">
        <v>123</v>
      </c>
      <c r="C71" s="5">
        <v>45</v>
      </c>
      <c r="D71" s="5">
        <v>30</v>
      </c>
      <c r="E71" s="8">
        <v>0.98</v>
      </c>
      <c r="F71" s="8">
        <v>0.98</v>
      </c>
      <c r="G71" s="8">
        <v>1</v>
      </c>
      <c r="H71" s="8">
        <v>0.96</v>
      </c>
      <c r="I71" s="9" t="s">
        <v>549</v>
      </c>
      <c r="J71" s="9" t="s">
        <v>360</v>
      </c>
      <c r="K71" s="9" t="s">
        <v>330</v>
      </c>
      <c r="L71" s="21">
        <v>0</v>
      </c>
      <c r="M71">
        <f t="shared" si="1"/>
        <v>4</v>
      </c>
      <c r="N71">
        <f t="shared" si="1"/>
        <v>2</v>
      </c>
      <c r="O71">
        <f t="shared" si="1"/>
        <v>4</v>
      </c>
      <c r="P71">
        <f t="shared" si="1"/>
        <v>3</v>
      </c>
      <c r="Q71" s="49" t="s">
        <v>122</v>
      </c>
    </row>
    <row r="72" spans="1:17" x14ac:dyDescent="0.25">
      <c r="A72" s="9" t="s">
        <v>21</v>
      </c>
      <c r="B72" s="4" t="s">
        <v>22</v>
      </c>
      <c r="C72" s="5">
        <v>34</v>
      </c>
      <c r="D72" s="5">
        <v>25</v>
      </c>
      <c r="E72" s="8">
        <v>0.97</v>
      </c>
      <c r="F72" s="8">
        <v>1</v>
      </c>
      <c r="G72" s="8">
        <v>0.97</v>
      </c>
      <c r="H72" s="8">
        <v>0.94</v>
      </c>
      <c r="I72" s="9" t="s">
        <v>550</v>
      </c>
      <c r="J72" s="9" t="s">
        <v>551</v>
      </c>
      <c r="K72" s="9" t="s">
        <v>243</v>
      </c>
      <c r="L72" s="21">
        <v>1.0999999999999999E-2</v>
      </c>
      <c r="M72">
        <f t="shared" si="1"/>
        <v>3</v>
      </c>
      <c r="N72">
        <f t="shared" si="1"/>
        <v>4</v>
      </c>
      <c r="O72">
        <f t="shared" si="1"/>
        <v>3</v>
      </c>
      <c r="P72">
        <f t="shared" ref="P72:P85" si="2">+IF(H72&lt;H$2,1,IF(H72&lt;H$3,2,IF(H72&lt;H$4,3,4)))</f>
        <v>3</v>
      </c>
      <c r="Q72" s="49" t="s">
        <v>21</v>
      </c>
    </row>
    <row r="73" spans="1:17" x14ac:dyDescent="0.25">
      <c r="A73" s="9" t="s">
        <v>68</v>
      </c>
      <c r="B73" s="4" t="s">
        <v>69</v>
      </c>
      <c r="C73" s="5">
        <v>83</v>
      </c>
      <c r="D73" s="5">
        <v>80</v>
      </c>
      <c r="E73" s="8">
        <v>0.69</v>
      </c>
      <c r="F73" s="8">
        <v>0.98</v>
      </c>
      <c r="G73" s="8">
        <v>0.7</v>
      </c>
      <c r="H73" s="8">
        <v>0.7</v>
      </c>
      <c r="I73" s="9" t="s">
        <v>552</v>
      </c>
      <c r="J73" s="9" t="s">
        <v>399</v>
      </c>
      <c r="K73" s="9" t="s">
        <v>236</v>
      </c>
      <c r="L73" s="21">
        <v>0</v>
      </c>
      <c r="M73">
        <f t="shared" ref="M73:O85" si="3">+IF(E73&lt;E$2,1,IF(E73&lt;E$3,2,IF(E73&lt;E$4,3,4)))</f>
        <v>1</v>
      </c>
      <c r="N73">
        <f t="shared" si="3"/>
        <v>2</v>
      </c>
      <c r="O73">
        <f t="shared" si="3"/>
        <v>1</v>
      </c>
      <c r="P73">
        <f t="shared" si="2"/>
        <v>1</v>
      </c>
      <c r="Q73" s="49" t="s">
        <v>68</v>
      </c>
    </row>
    <row r="74" spans="1:17" x14ac:dyDescent="0.25">
      <c r="A74" s="9" t="s">
        <v>25</v>
      </c>
      <c r="B74" s="4" t="s">
        <v>26</v>
      </c>
      <c r="C74" s="5">
        <v>72</v>
      </c>
      <c r="D74" s="5">
        <v>50</v>
      </c>
      <c r="E74" s="8">
        <v>0.97</v>
      </c>
      <c r="F74" s="8">
        <v>0.96</v>
      </c>
      <c r="G74" s="8">
        <v>0.99</v>
      </c>
      <c r="H74" s="8">
        <v>0.97</v>
      </c>
      <c r="I74" s="9" t="s">
        <v>553</v>
      </c>
      <c r="J74" s="9" t="s">
        <v>360</v>
      </c>
      <c r="K74" s="9" t="s">
        <v>320</v>
      </c>
      <c r="L74" s="21">
        <v>2.7E-2</v>
      </c>
      <c r="M74">
        <f t="shared" si="3"/>
        <v>3</v>
      </c>
      <c r="N74">
        <f t="shared" si="3"/>
        <v>1</v>
      </c>
      <c r="O74">
        <f t="shared" si="3"/>
        <v>3</v>
      </c>
      <c r="P74">
        <f t="shared" si="2"/>
        <v>4</v>
      </c>
      <c r="Q74" s="49" t="s">
        <v>25</v>
      </c>
    </row>
    <row r="75" spans="1:17" x14ac:dyDescent="0.25">
      <c r="A75" s="9" t="s">
        <v>87</v>
      </c>
      <c r="B75" s="4" t="s">
        <v>88</v>
      </c>
      <c r="C75" s="5">
        <v>76</v>
      </c>
      <c r="D75" s="5">
        <v>51</v>
      </c>
      <c r="E75" s="8">
        <v>0.84</v>
      </c>
      <c r="F75" s="8">
        <v>0.99</v>
      </c>
      <c r="G75" s="8">
        <v>0.85</v>
      </c>
      <c r="H75" s="8">
        <v>0.83</v>
      </c>
      <c r="I75" s="9" t="s">
        <v>554</v>
      </c>
      <c r="J75" s="9" t="s">
        <v>359</v>
      </c>
      <c r="K75" s="9" t="s">
        <v>322</v>
      </c>
      <c r="L75" s="21">
        <v>0</v>
      </c>
      <c r="M75">
        <f t="shared" si="3"/>
        <v>2</v>
      </c>
      <c r="N75">
        <f t="shared" si="3"/>
        <v>2</v>
      </c>
      <c r="O75">
        <f t="shared" si="3"/>
        <v>2</v>
      </c>
      <c r="P75">
        <f t="shared" si="2"/>
        <v>2</v>
      </c>
      <c r="Q75" s="49" t="s">
        <v>87</v>
      </c>
    </row>
    <row r="76" spans="1:17" x14ac:dyDescent="0.25">
      <c r="A76" s="9" t="s">
        <v>17</v>
      </c>
      <c r="B76" s="4" t="s">
        <v>18</v>
      </c>
      <c r="C76" s="5">
        <v>28</v>
      </c>
      <c r="D76" s="5">
        <v>19</v>
      </c>
      <c r="E76" s="8">
        <v>1</v>
      </c>
      <c r="F76" s="8">
        <v>1</v>
      </c>
      <c r="G76" s="8">
        <v>1</v>
      </c>
      <c r="H76" s="8">
        <v>0.96</v>
      </c>
      <c r="I76" s="9" t="s">
        <v>555</v>
      </c>
      <c r="J76" s="9" t="s">
        <v>256</v>
      </c>
      <c r="K76" s="9" t="s">
        <v>254</v>
      </c>
      <c r="L76" s="21">
        <v>1.2E-2</v>
      </c>
      <c r="M76">
        <f t="shared" si="3"/>
        <v>4</v>
      </c>
      <c r="N76">
        <f t="shared" si="3"/>
        <v>4</v>
      </c>
      <c r="O76">
        <f t="shared" si="3"/>
        <v>4</v>
      </c>
      <c r="P76">
        <f t="shared" si="2"/>
        <v>3</v>
      </c>
      <c r="Q76" s="49" t="s">
        <v>17</v>
      </c>
    </row>
    <row r="77" spans="1:17" x14ac:dyDescent="0.25">
      <c r="A77" s="9" t="s">
        <v>132</v>
      </c>
      <c r="B77" s="4" t="s">
        <v>133</v>
      </c>
      <c r="C77" s="5">
        <v>29</v>
      </c>
      <c r="D77" s="5">
        <v>14</v>
      </c>
      <c r="E77" s="8">
        <v>1</v>
      </c>
      <c r="F77" s="8">
        <v>1</v>
      </c>
      <c r="G77" s="8">
        <v>1</v>
      </c>
      <c r="H77" s="8">
        <v>0.97</v>
      </c>
      <c r="I77" s="9" t="s">
        <v>556</v>
      </c>
      <c r="J77" s="9" t="s">
        <v>537</v>
      </c>
      <c r="K77" s="9" t="s">
        <v>464</v>
      </c>
      <c r="L77" s="21">
        <v>5.3999999999999999E-2</v>
      </c>
      <c r="M77">
        <f t="shared" si="3"/>
        <v>4</v>
      </c>
      <c r="N77">
        <f t="shared" si="3"/>
        <v>4</v>
      </c>
      <c r="O77">
        <f t="shared" si="3"/>
        <v>4</v>
      </c>
      <c r="P77">
        <f t="shared" si="2"/>
        <v>4</v>
      </c>
      <c r="Q77" s="49" t="s">
        <v>132</v>
      </c>
    </row>
    <row r="78" spans="1:17" x14ac:dyDescent="0.25">
      <c r="A78" s="9" t="s">
        <v>70</v>
      </c>
      <c r="B78" s="4" t="s">
        <v>71</v>
      </c>
      <c r="C78" s="5">
        <v>131</v>
      </c>
      <c r="D78" s="5">
        <v>72</v>
      </c>
      <c r="E78" s="8">
        <v>1</v>
      </c>
      <c r="F78" s="8">
        <v>0.99</v>
      </c>
      <c r="G78" s="8">
        <v>1</v>
      </c>
      <c r="H78" s="8">
        <v>0.98</v>
      </c>
      <c r="I78" s="9" t="s">
        <v>557</v>
      </c>
      <c r="J78" s="9" t="s">
        <v>361</v>
      </c>
      <c r="K78" s="9" t="s">
        <v>320</v>
      </c>
      <c r="L78" s="21">
        <v>2.1999999999999999E-2</v>
      </c>
      <c r="M78">
        <f t="shared" si="3"/>
        <v>4</v>
      </c>
      <c r="N78">
        <f t="shared" si="3"/>
        <v>2</v>
      </c>
      <c r="O78">
        <f t="shared" si="3"/>
        <v>4</v>
      </c>
      <c r="P78">
        <f t="shared" si="2"/>
        <v>4</v>
      </c>
      <c r="Q78" s="49" t="s">
        <v>70</v>
      </c>
    </row>
    <row r="79" spans="1:17" x14ac:dyDescent="0.25">
      <c r="A79" s="9" t="s">
        <v>58</v>
      </c>
      <c r="B79" s="4" t="s">
        <v>59</v>
      </c>
      <c r="C79" s="5">
        <v>95</v>
      </c>
      <c r="D79" s="5">
        <v>61</v>
      </c>
      <c r="E79" s="8">
        <v>0.96</v>
      </c>
      <c r="F79" s="8">
        <v>0.99</v>
      </c>
      <c r="G79" s="8">
        <v>0.98</v>
      </c>
      <c r="H79" s="8">
        <v>0.97</v>
      </c>
      <c r="I79" s="9" t="s">
        <v>558</v>
      </c>
      <c r="J79" s="9" t="s">
        <v>559</v>
      </c>
      <c r="K79" s="9" t="s">
        <v>254</v>
      </c>
      <c r="L79" s="21">
        <v>8.0000000000000002E-3</v>
      </c>
      <c r="M79">
        <f t="shared" si="3"/>
        <v>3</v>
      </c>
      <c r="N79">
        <f t="shared" si="3"/>
        <v>2</v>
      </c>
      <c r="O79">
        <f t="shared" si="3"/>
        <v>3</v>
      </c>
      <c r="P79">
        <f t="shared" si="2"/>
        <v>4</v>
      </c>
      <c r="Q79" s="49" t="s">
        <v>58</v>
      </c>
    </row>
    <row r="80" spans="1:17" x14ac:dyDescent="0.25">
      <c r="A80" s="9" t="s">
        <v>107</v>
      </c>
      <c r="B80" s="4" t="s">
        <v>108</v>
      </c>
      <c r="C80" s="5">
        <v>63</v>
      </c>
      <c r="D80" s="5">
        <v>54</v>
      </c>
      <c r="E80" s="8">
        <v>0.98</v>
      </c>
      <c r="F80" s="8">
        <v>1</v>
      </c>
      <c r="G80" s="8">
        <v>1</v>
      </c>
      <c r="H80" s="8">
        <v>0.97</v>
      </c>
      <c r="I80" s="9" t="s">
        <v>560</v>
      </c>
      <c r="J80" s="9" t="s">
        <v>275</v>
      </c>
      <c r="K80" s="9" t="s">
        <v>321</v>
      </c>
      <c r="L80" s="21">
        <v>2.1999999999999999E-2</v>
      </c>
      <c r="M80">
        <f t="shared" si="3"/>
        <v>4</v>
      </c>
      <c r="N80">
        <f t="shared" si="3"/>
        <v>4</v>
      </c>
      <c r="O80">
        <f t="shared" si="3"/>
        <v>4</v>
      </c>
      <c r="P80">
        <f t="shared" si="2"/>
        <v>4</v>
      </c>
      <c r="Q80" s="49" t="s">
        <v>107</v>
      </c>
    </row>
    <row r="81" spans="1:17" x14ac:dyDescent="0.25">
      <c r="A81" s="9" t="s">
        <v>77</v>
      </c>
      <c r="B81" s="4" t="s">
        <v>78</v>
      </c>
      <c r="C81" s="5">
        <v>46</v>
      </c>
      <c r="D81" s="5">
        <v>30</v>
      </c>
      <c r="E81" s="8">
        <v>0.87</v>
      </c>
      <c r="F81" s="8">
        <v>1</v>
      </c>
      <c r="G81" s="8">
        <v>0.86</v>
      </c>
      <c r="H81" s="8">
        <v>0.83</v>
      </c>
      <c r="I81" s="9" t="s">
        <v>561</v>
      </c>
      <c r="J81" s="9" t="s">
        <v>357</v>
      </c>
      <c r="K81" s="9" t="s">
        <v>320</v>
      </c>
      <c r="L81" s="21">
        <v>0.02</v>
      </c>
      <c r="M81">
        <f t="shared" si="3"/>
        <v>2</v>
      </c>
      <c r="N81">
        <f t="shared" si="3"/>
        <v>4</v>
      </c>
      <c r="O81">
        <f t="shared" si="3"/>
        <v>2</v>
      </c>
      <c r="P81">
        <f t="shared" si="2"/>
        <v>2</v>
      </c>
      <c r="Q81" s="49" t="s">
        <v>77</v>
      </c>
    </row>
    <row r="82" spans="1:17" x14ac:dyDescent="0.25">
      <c r="A82" s="9" t="s">
        <v>134</v>
      </c>
      <c r="B82" s="4" t="s">
        <v>135</v>
      </c>
      <c r="C82" s="5">
        <v>61</v>
      </c>
      <c r="D82" s="5">
        <v>38</v>
      </c>
      <c r="E82" s="8">
        <v>0.62</v>
      </c>
      <c r="F82" s="8">
        <v>1</v>
      </c>
      <c r="G82" s="8">
        <v>0.66</v>
      </c>
      <c r="H82" s="8">
        <v>0.34</v>
      </c>
      <c r="I82" s="9" t="s">
        <v>562</v>
      </c>
      <c r="J82" s="9" t="s">
        <v>366</v>
      </c>
      <c r="K82" s="9" t="s">
        <v>345</v>
      </c>
      <c r="L82" s="21">
        <v>6.0000000000000001E-3</v>
      </c>
      <c r="M82">
        <f t="shared" si="3"/>
        <v>1</v>
      </c>
      <c r="N82">
        <f t="shared" si="3"/>
        <v>4</v>
      </c>
      <c r="O82">
        <f t="shared" si="3"/>
        <v>1</v>
      </c>
      <c r="P82">
        <f t="shared" si="2"/>
        <v>1</v>
      </c>
      <c r="Q82" s="49" t="s">
        <v>134</v>
      </c>
    </row>
    <row r="83" spans="1:17" x14ac:dyDescent="0.25">
      <c r="A83" s="9" t="s">
        <v>136</v>
      </c>
      <c r="B83" s="4" t="s">
        <v>137</v>
      </c>
      <c r="C83" s="5">
        <v>45</v>
      </c>
      <c r="D83" s="5">
        <v>33</v>
      </c>
      <c r="E83" s="8">
        <v>0.96</v>
      </c>
      <c r="F83" s="8">
        <v>1</v>
      </c>
      <c r="G83" s="8">
        <v>0.94</v>
      </c>
      <c r="H83" s="8">
        <v>0.87</v>
      </c>
      <c r="I83" s="9" t="s">
        <v>563</v>
      </c>
      <c r="J83" s="9" t="s">
        <v>357</v>
      </c>
      <c r="K83" s="9" t="s">
        <v>242</v>
      </c>
      <c r="L83" s="21">
        <v>1.7000000000000001E-2</v>
      </c>
      <c r="M83">
        <f t="shared" si="3"/>
        <v>3</v>
      </c>
      <c r="N83">
        <f t="shared" si="3"/>
        <v>4</v>
      </c>
      <c r="O83">
        <f t="shared" si="3"/>
        <v>3</v>
      </c>
      <c r="P83">
        <f t="shared" si="2"/>
        <v>3</v>
      </c>
      <c r="Q83" s="49" t="s">
        <v>136</v>
      </c>
    </row>
    <row r="84" spans="1:17" x14ac:dyDescent="0.25">
      <c r="A84" s="9" t="s">
        <v>140</v>
      </c>
      <c r="B84" s="4" t="s">
        <v>141</v>
      </c>
      <c r="C84" s="5">
        <v>77</v>
      </c>
      <c r="D84" s="5">
        <v>49</v>
      </c>
      <c r="E84" s="8">
        <v>1</v>
      </c>
      <c r="F84" s="8">
        <v>1</v>
      </c>
      <c r="G84" s="8">
        <v>1</v>
      </c>
      <c r="H84" s="8">
        <v>0.66</v>
      </c>
      <c r="I84" s="9" t="s">
        <v>564</v>
      </c>
      <c r="J84" s="9" t="s">
        <v>461</v>
      </c>
      <c r="K84" s="9" t="s">
        <v>242</v>
      </c>
      <c r="L84" s="21">
        <v>0.01</v>
      </c>
      <c r="M84">
        <f t="shared" si="3"/>
        <v>4</v>
      </c>
      <c r="N84">
        <f t="shared" si="3"/>
        <v>4</v>
      </c>
      <c r="O84">
        <f t="shared" si="3"/>
        <v>4</v>
      </c>
      <c r="P84">
        <f t="shared" si="2"/>
        <v>1</v>
      </c>
      <c r="Q84" s="49" t="s">
        <v>140</v>
      </c>
    </row>
    <row r="85" spans="1:17" x14ac:dyDescent="0.25">
      <c r="A85" s="9" t="s">
        <v>35</v>
      </c>
      <c r="B85" s="4" t="s">
        <v>36</v>
      </c>
      <c r="C85" s="5">
        <v>60</v>
      </c>
      <c r="D85" s="5">
        <v>21</v>
      </c>
      <c r="E85" s="8">
        <v>0.73</v>
      </c>
      <c r="F85" s="8">
        <v>0.98</v>
      </c>
      <c r="G85" s="8">
        <v>0.73</v>
      </c>
      <c r="H85" s="8">
        <v>0.73</v>
      </c>
      <c r="I85" s="9" t="s">
        <v>565</v>
      </c>
      <c r="J85" s="9" t="s">
        <v>546</v>
      </c>
      <c r="K85" s="9" t="s">
        <v>343</v>
      </c>
      <c r="L85" s="21">
        <v>1.0999999999999999E-2</v>
      </c>
      <c r="M85">
        <f t="shared" si="3"/>
        <v>1</v>
      </c>
      <c r="N85">
        <f t="shared" si="3"/>
        <v>2</v>
      </c>
      <c r="O85">
        <f t="shared" si="3"/>
        <v>1</v>
      </c>
      <c r="P85">
        <f t="shared" si="2"/>
        <v>1</v>
      </c>
      <c r="Q85" s="49" t="s">
        <v>35</v>
      </c>
    </row>
    <row r="87" spans="1:17" x14ac:dyDescent="0.25">
      <c r="A87" s="50"/>
      <c r="B87" s="23"/>
      <c r="I87" s="50"/>
      <c r="J87" s="50"/>
      <c r="K87" s="50"/>
      <c r="L87" s="50"/>
      <c r="M87" s="50"/>
      <c r="N87" s="50"/>
      <c r="O87" s="50"/>
      <c r="P87" s="5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5" workbookViewId="0">
      <selection activeCell="F2" sqref="F2"/>
    </sheetView>
  </sheetViews>
  <sheetFormatPr defaultRowHeight="15" x14ac:dyDescent="0.25"/>
  <sheetData>
    <row r="1" spans="1:6" x14ac:dyDescent="0.25">
      <c r="A1" t="s">
        <v>415</v>
      </c>
      <c r="B1" t="s">
        <v>416</v>
      </c>
      <c r="C1" t="s">
        <v>418</v>
      </c>
      <c r="D1" t="s">
        <v>419</v>
      </c>
      <c r="E1" t="s">
        <v>1077</v>
      </c>
      <c r="F1" t="s">
        <v>1078</v>
      </c>
    </row>
    <row r="2" spans="1:6" x14ac:dyDescent="0.25">
      <c r="A2" t="s">
        <v>442</v>
      </c>
      <c r="B2">
        <v>0</v>
      </c>
      <c r="C2">
        <v>50</v>
      </c>
      <c r="D2">
        <v>1.4</v>
      </c>
      <c r="E2" s="104">
        <v>50</v>
      </c>
      <c r="F2" s="104"/>
    </row>
    <row r="3" spans="1:6" x14ac:dyDescent="0.25">
      <c r="A3" t="s">
        <v>442</v>
      </c>
      <c r="B3">
        <v>5</v>
      </c>
      <c r="C3">
        <v>49.369959999999999</v>
      </c>
      <c r="D3">
        <v>1.4</v>
      </c>
      <c r="E3" s="104">
        <v>32.920439999999999</v>
      </c>
      <c r="F3" s="104"/>
    </row>
    <row r="4" spans="1:6" x14ac:dyDescent="0.25">
      <c r="A4" t="s">
        <v>442</v>
      </c>
      <c r="B4">
        <v>15</v>
      </c>
      <c r="C4">
        <v>20.400890000000004</v>
      </c>
      <c r="D4">
        <v>1.4</v>
      </c>
      <c r="E4" s="104">
        <v>13.05222</v>
      </c>
      <c r="F4" s="104"/>
    </row>
    <row r="5" spans="1:6" x14ac:dyDescent="0.25">
      <c r="A5" t="s">
        <v>442</v>
      </c>
      <c r="B5">
        <v>16</v>
      </c>
      <c r="C5">
        <v>20.231520000000003</v>
      </c>
      <c r="D5">
        <v>1.4</v>
      </c>
      <c r="E5" s="104">
        <v>12.3316</v>
      </c>
      <c r="F5" s="104"/>
    </row>
    <row r="6" spans="1:6" x14ac:dyDescent="0.25">
      <c r="A6" t="s">
        <v>442</v>
      </c>
      <c r="B6">
        <v>18</v>
      </c>
      <c r="C6">
        <v>19.350309999999993</v>
      </c>
      <c r="D6">
        <v>1.4</v>
      </c>
      <c r="E6" s="104">
        <v>11.16924</v>
      </c>
      <c r="F6" s="104"/>
    </row>
    <row r="7" spans="1:6" x14ac:dyDescent="0.25">
      <c r="A7" t="s">
        <v>442</v>
      </c>
      <c r="B7">
        <v>24</v>
      </c>
      <c r="C7">
        <v>15.947379999999995</v>
      </c>
      <c r="D7">
        <v>1.4</v>
      </c>
      <c r="E7" s="104">
        <v>10.278980000000001</v>
      </c>
      <c r="F7" s="104"/>
    </row>
    <row r="8" spans="1:6" x14ac:dyDescent="0.25">
      <c r="A8" t="s">
        <v>442</v>
      </c>
      <c r="B8">
        <v>26</v>
      </c>
      <c r="C8">
        <v>14.94341</v>
      </c>
      <c r="D8">
        <v>1.4</v>
      </c>
      <c r="E8" s="104">
        <v>9.8444350000000007</v>
      </c>
      <c r="F8" s="104"/>
    </row>
    <row r="9" spans="1:6" x14ac:dyDescent="0.25">
      <c r="A9" t="s">
        <v>442</v>
      </c>
      <c r="B9">
        <v>55</v>
      </c>
      <c r="C9">
        <v>9.0875680000000045</v>
      </c>
      <c r="D9">
        <v>1.4</v>
      </c>
      <c r="E9" s="104">
        <v>6.3048909999999996</v>
      </c>
      <c r="F9" s="104"/>
    </row>
    <row r="10" spans="1:6" x14ac:dyDescent="0.25">
      <c r="A10" t="s">
        <v>442</v>
      </c>
      <c r="B10">
        <v>56</v>
      </c>
      <c r="C10">
        <v>9.0668189999999953</v>
      </c>
      <c r="D10">
        <v>1.4</v>
      </c>
      <c r="E10" s="104">
        <v>6.2543049999999996</v>
      </c>
      <c r="F10" s="104"/>
    </row>
    <row r="11" spans="1:6" x14ac:dyDescent="0.25">
      <c r="A11" t="s">
        <v>442</v>
      </c>
      <c r="B11">
        <v>57</v>
      </c>
      <c r="C11">
        <v>9.0514689999999973</v>
      </c>
      <c r="D11">
        <v>1.4</v>
      </c>
      <c r="E11" s="104">
        <v>6.2022310000000003</v>
      </c>
      <c r="F11" s="104"/>
    </row>
    <row r="12" spans="1:6" x14ac:dyDescent="0.25">
      <c r="A12" t="s">
        <v>442</v>
      </c>
      <c r="B12">
        <v>65</v>
      </c>
      <c r="C12">
        <v>8.6241509999999977</v>
      </c>
      <c r="D12">
        <v>1.4</v>
      </c>
      <c r="E12" s="104">
        <v>5.7642230000000003</v>
      </c>
      <c r="F12" s="104"/>
    </row>
    <row r="13" spans="1:6" x14ac:dyDescent="0.25">
      <c r="A13" t="s">
        <v>442</v>
      </c>
      <c r="B13">
        <v>73</v>
      </c>
      <c r="C13">
        <v>8.0041980000000024</v>
      </c>
      <c r="D13">
        <v>1.4</v>
      </c>
      <c r="E13" s="104">
        <v>5.3400949999999998</v>
      </c>
      <c r="F13" s="104"/>
    </row>
    <row r="14" spans="1:6" x14ac:dyDescent="0.25">
      <c r="A14" t="s">
        <v>442</v>
      </c>
      <c r="B14">
        <v>79</v>
      </c>
      <c r="C14">
        <v>7.5386139999999955</v>
      </c>
      <c r="D14">
        <v>1.4</v>
      </c>
      <c r="E14" s="104">
        <v>5.0492569999999999</v>
      </c>
      <c r="F14" s="104"/>
    </row>
    <row r="15" spans="1:6" x14ac:dyDescent="0.25">
      <c r="A15" t="s">
        <v>442</v>
      </c>
      <c r="B15">
        <v>80</v>
      </c>
      <c r="C15">
        <v>7.4635530000000045</v>
      </c>
      <c r="D15">
        <v>1.4</v>
      </c>
      <c r="E15" s="104">
        <v>5.012372</v>
      </c>
      <c r="F15" s="104"/>
    </row>
    <row r="16" spans="1:6" x14ac:dyDescent="0.25">
      <c r="A16" t="s">
        <v>442</v>
      </c>
      <c r="B16">
        <v>86</v>
      </c>
      <c r="C16">
        <v>7.2757799999999975</v>
      </c>
      <c r="D16">
        <v>1.4</v>
      </c>
      <c r="E16" s="104">
        <v>4.9673870000000004</v>
      </c>
      <c r="F16" s="104"/>
    </row>
    <row r="17" spans="1:6" x14ac:dyDescent="0.25">
      <c r="A17" t="s">
        <v>442</v>
      </c>
      <c r="B17">
        <v>88</v>
      </c>
      <c r="C17">
        <v>7.230401999999998</v>
      </c>
      <c r="D17">
        <v>1.4</v>
      </c>
      <c r="E17" s="104">
        <v>4.9370510000000003</v>
      </c>
      <c r="F17" s="104"/>
    </row>
    <row r="18" spans="1:6" x14ac:dyDescent="0.25">
      <c r="A18" t="s">
        <v>442</v>
      </c>
      <c r="B18">
        <v>89</v>
      </c>
      <c r="C18">
        <v>7.2027599999999978</v>
      </c>
      <c r="D18">
        <v>1.4</v>
      </c>
      <c r="E18" s="104">
        <v>4.9198579999999996</v>
      </c>
      <c r="F18" s="104"/>
    </row>
    <row r="19" spans="1:6" x14ac:dyDescent="0.25">
      <c r="A19" t="s">
        <v>442</v>
      </c>
      <c r="B19">
        <v>90</v>
      </c>
      <c r="C19">
        <v>7.1723659999999967</v>
      </c>
      <c r="D19">
        <v>1.4</v>
      </c>
      <c r="E19" s="104">
        <v>4.9015120000000003</v>
      </c>
      <c r="F19" s="104"/>
    </row>
    <row r="20" spans="1:6" x14ac:dyDescent="0.25">
      <c r="A20" t="s">
        <v>442</v>
      </c>
      <c r="B20">
        <v>93</v>
      </c>
      <c r="C20">
        <v>7.0680399999999963</v>
      </c>
      <c r="D20">
        <v>1.4</v>
      </c>
      <c r="E20" s="104">
        <v>4.8407809999999998</v>
      </c>
      <c r="F20" s="104"/>
    </row>
    <row r="21" spans="1:6" x14ac:dyDescent="0.25">
      <c r="A21" t="s">
        <v>442</v>
      </c>
      <c r="B21">
        <v>94</v>
      </c>
      <c r="C21">
        <v>7.0298279999999949</v>
      </c>
      <c r="D21">
        <v>1.4</v>
      </c>
      <c r="E21" s="104">
        <v>4.8189970000000004</v>
      </c>
      <c r="F21" s="104"/>
    </row>
    <row r="22" spans="1:6" x14ac:dyDescent="0.25">
      <c r="A22" t="s">
        <v>442</v>
      </c>
      <c r="B22">
        <v>96</v>
      </c>
      <c r="C22">
        <v>6.9496359999999981</v>
      </c>
      <c r="D22">
        <v>1.4</v>
      </c>
      <c r="E22" s="104">
        <v>4.7736619999999998</v>
      </c>
      <c r="F22" s="104"/>
    </row>
    <row r="23" spans="1:6" x14ac:dyDescent="0.25">
      <c r="A23" t="s">
        <v>442</v>
      </c>
      <c r="B23">
        <v>98</v>
      </c>
      <c r="C23">
        <v>6.8656469999999956</v>
      </c>
      <c r="D23">
        <v>1.4</v>
      </c>
      <c r="E23" s="104">
        <v>4.7264650000000001</v>
      </c>
      <c r="F23" s="104"/>
    </row>
    <row r="24" spans="1:6" x14ac:dyDescent="0.25">
      <c r="A24" t="s">
        <v>442</v>
      </c>
      <c r="B24">
        <v>101</v>
      </c>
      <c r="C24">
        <v>6.7351110000000034</v>
      </c>
      <c r="D24">
        <v>1.4</v>
      </c>
      <c r="E24" s="104">
        <v>4.6532619999999998</v>
      </c>
      <c r="F24" s="104"/>
    </row>
    <row r="25" spans="1:6" x14ac:dyDescent="0.25">
      <c r="A25" t="s">
        <v>442</v>
      </c>
      <c r="B25">
        <v>104</v>
      </c>
      <c r="C25">
        <v>6.6017669999999953</v>
      </c>
      <c r="D25">
        <v>1.4</v>
      </c>
      <c r="E25" s="104">
        <v>4.5783430000000003</v>
      </c>
      <c r="F25" s="104"/>
    </row>
    <row r="26" spans="1:6" x14ac:dyDescent="0.25">
      <c r="A26" t="s">
        <v>442</v>
      </c>
      <c r="B26">
        <v>106</v>
      </c>
      <c r="C26">
        <v>6.5124179999999967</v>
      </c>
      <c r="D26">
        <v>1.4</v>
      </c>
      <c r="E26" s="104">
        <v>4.5279559999999996</v>
      </c>
      <c r="F26" s="104"/>
    </row>
    <row r="27" spans="1:6" x14ac:dyDescent="0.25">
      <c r="A27" t="s">
        <v>442</v>
      </c>
      <c r="B27">
        <v>107</v>
      </c>
      <c r="C27">
        <v>6.4677980000000019</v>
      </c>
      <c r="D27">
        <v>1.4</v>
      </c>
      <c r="E27" s="104">
        <v>4.5027229999999996</v>
      </c>
      <c r="F27" s="104"/>
    </row>
    <row r="28" spans="1:6" x14ac:dyDescent="0.25">
      <c r="A28" t="s">
        <v>442</v>
      </c>
      <c r="B28">
        <v>108</v>
      </c>
      <c r="C28">
        <v>6.4232820000000004</v>
      </c>
      <c r="D28">
        <v>1.4</v>
      </c>
      <c r="E28" s="104">
        <v>4.4774989999999999</v>
      </c>
      <c r="F28" s="104"/>
    </row>
    <row r="29" spans="1:6" x14ac:dyDescent="0.25">
      <c r="A29" t="s">
        <v>442</v>
      </c>
      <c r="B29">
        <v>110</v>
      </c>
      <c r="C29">
        <v>6.3347370000000041</v>
      </c>
      <c r="D29">
        <v>1.4</v>
      </c>
      <c r="E29" s="104">
        <v>4.4271630000000002</v>
      </c>
      <c r="F29" s="104"/>
    </row>
    <row r="30" spans="1:6" x14ac:dyDescent="0.25">
      <c r="A30" t="s">
        <v>442</v>
      </c>
      <c r="B30">
        <v>113</v>
      </c>
      <c r="C30">
        <v>6.2365350000000035</v>
      </c>
      <c r="D30">
        <v>1.4</v>
      </c>
      <c r="E30" s="104">
        <v>4.3522299999999996</v>
      </c>
      <c r="F30" s="104"/>
    </row>
    <row r="31" spans="1:6" x14ac:dyDescent="0.25">
      <c r="A31" t="s">
        <v>442</v>
      </c>
      <c r="B31">
        <v>114</v>
      </c>
      <c r="C31">
        <v>6.2336899999999957</v>
      </c>
      <c r="D31">
        <v>1.4</v>
      </c>
      <c r="E31" s="104">
        <v>4.3274679999999996</v>
      </c>
      <c r="F31" s="104"/>
    </row>
    <row r="32" spans="1:6" x14ac:dyDescent="0.25">
      <c r="A32" t="s">
        <v>442</v>
      </c>
      <c r="B32">
        <v>116</v>
      </c>
      <c r="C32">
        <v>6.2197359999999975</v>
      </c>
      <c r="D32">
        <v>1.4</v>
      </c>
      <c r="E32" s="104">
        <v>4.2783439999999997</v>
      </c>
      <c r="F32" s="104"/>
    </row>
    <row r="33" spans="1:6" x14ac:dyDescent="0.25">
      <c r="A33" t="s">
        <v>442</v>
      </c>
      <c r="B33">
        <v>118</v>
      </c>
      <c r="C33">
        <v>6.1964470000000063</v>
      </c>
      <c r="D33">
        <v>1.4</v>
      </c>
      <c r="E33" s="104">
        <v>4.2298220000000004</v>
      </c>
      <c r="F33" s="104"/>
    </row>
    <row r="34" spans="1:6" x14ac:dyDescent="0.25">
      <c r="A34" t="s">
        <v>442</v>
      </c>
      <c r="B34">
        <v>119</v>
      </c>
      <c r="C34">
        <v>6.1818509999999947</v>
      </c>
      <c r="D34">
        <v>1.4</v>
      </c>
      <c r="E34" s="104">
        <v>4.2144870000000001</v>
      </c>
      <c r="F34" s="104"/>
    </row>
    <row r="35" spans="1:6" x14ac:dyDescent="0.25">
      <c r="A35" t="s">
        <v>442</v>
      </c>
      <c r="B35">
        <v>130</v>
      </c>
      <c r="C35">
        <v>5.9391470000000055</v>
      </c>
      <c r="D35">
        <v>1.4</v>
      </c>
      <c r="E35" s="104">
        <v>4.1523000000000003</v>
      </c>
      <c r="F35" s="104"/>
    </row>
    <row r="36" spans="1:6" x14ac:dyDescent="0.25">
      <c r="A36" t="s">
        <v>442</v>
      </c>
      <c r="B36">
        <v>131</v>
      </c>
      <c r="C36">
        <v>5.9124970000000019</v>
      </c>
      <c r="D36">
        <v>1.4</v>
      </c>
      <c r="E36" s="104">
        <v>4.1422400000000001</v>
      </c>
      <c r="F36" s="104"/>
    </row>
    <row r="37" spans="1:6" x14ac:dyDescent="0.25">
      <c r="A37" t="s">
        <v>442</v>
      </c>
      <c r="B37">
        <v>133</v>
      </c>
      <c r="C37">
        <v>5.8580060000000032</v>
      </c>
      <c r="D37">
        <v>1.4</v>
      </c>
      <c r="E37" s="104">
        <v>4.120654</v>
      </c>
      <c r="F37" s="104"/>
    </row>
    <row r="38" spans="1:6" x14ac:dyDescent="0.25">
      <c r="A38" t="s">
        <v>442</v>
      </c>
      <c r="B38">
        <v>138</v>
      </c>
      <c r="C38">
        <v>5.7171960000000013</v>
      </c>
      <c r="D38">
        <v>1.4</v>
      </c>
      <c r="E38" s="104">
        <v>4.0598830000000001</v>
      </c>
      <c r="F38" s="104"/>
    </row>
    <row r="39" spans="1:6" x14ac:dyDescent="0.25">
      <c r="A39" t="s">
        <v>442</v>
      </c>
      <c r="B39">
        <v>146</v>
      </c>
      <c r="C39">
        <v>5.5131839999999954</v>
      </c>
      <c r="D39">
        <v>1.4</v>
      </c>
      <c r="E39" s="104">
        <v>3.9498389999999999</v>
      </c>
      <c r="F39" s="104"/>
    </row>
    <row r="40" spans="1:6" x14ac:dyDescent="0.25">
      <c r="A40" t="s">
        <v>442</v>
      </c>
      <c r="B40">
        <v>150</v>
      </c>
      <c r="C40">
        <v>5.4963139999999981</v>
      </c>
      <c r="D40">
        <v>1.4</v>
      </c>
      <c r="E40" s="104">
        <v>3.8917109999999999</v>
      </c>
      <c r="F40" s="104"/>
    </row>
    <row r="41" spans="1:6" x14ac:dyDescent="0.25">
      <c r="A41" t="s">
        <v>442</v>
      </c>
      <c r="B41">
        <v>164</v>
      </c>
      <c r="C41">
        <v>5.3082490000000035</v>
      </c>
      <c r="D41">
        <v>1.4</v>
      </c>
      <c r="E41" s="104">
        <v>3.7308629999999998</v>
      </c>
      <c r="F41" s="104"/>
    </row>
    <row r="42" spans="1:6" x14ac:dyDescent="0.25">
      <c r="A42" t="s">
        <v>442</v>
      </c>
      <c r="B42">
        <v>168</v>
      </c>
      <c r="C42">
        <v>5.2351249999999965</v>
      </c>
      <c r="D42">
        <v>1.4</v>
      </c>
      <c r="E42" s="104">
        <v>3.7188400000000001</v>
      </c>
      <c r="F42" s="104"/>
    </row>
    <row r="43" spans="1:6" x14ac:dyDescent="0.25">
      <c r="A43" t="s">
        <v>442</v>
      </c>
      <c r="B43">
        <v>169</v>
      </c>
      <c r="C43">
        <v>5.2161720000000003</v>
      </c>
      <c r="D43">
        <v>1.4</v>
      </c>
      <c r="E43" s="104">
        <v>3.7146219999999999</v>
      </c>
      <c r="F43" s="104"/>
    </row>
    <row r="44" spans="1:6" x14ac:dyDescent="0.25">
      <c r="A44" t="s">
        <v>442</v>
      </c>
      <c r="B44">
        <v>171</v>
      </c>
      <c r="C44">
        <v>5.1776559999999989</v>
      </c>
      <c r="D44">
        <v>1.4</v>
      </c>
      <c r="E44" s="104">
        <v>3.7049280000000002</v>
      </c>
      <c r="F44" s="104"/>
    </row>
    <row r="45" spans="1:6" x14ac:dyDescent="0.25">
      <c r="A45" t="s">
        <v>442</v>
      </c>
      <c r="B45">
        <v>172</v>
      </c>
      <c r="C45">
        <v>5.1581410000000005</v>
      </c>
      <c r="D45">
        <v>1.4</v>
      </c>
      <c r="E45" s="104">
        <v>3.6995049999999998</v>
      </c>
      <c r="F45" s="104"/>
    </row>
    <row r="46" spans="1:6" x14ac:dyDescent="0.25">
      <c r="A46" t="s">
        <v>442</v>
      </c>
      <c r="B46">
        <v>175</v>
      </c>
      <c r="C46">
        <v>5.0988289999999949</v>
      </c>
      <c r="D46">
        <v>1.4</v>
      </c>
      <c r="E46" s="104">
        <v>3.6812019999999999</v>
      </c>
      <c r="F46" s="104"/>
    </row>
    <row r="47" spans="1:6" x14ac:dyDescent="0.25">
      <c r="A47" t="s">
        <v>442</v>
      </c>
      <c r="B47">
        <v>179</v>
      </c>
      <c r="C47">
        <v>5.0186199999999985</v>
      </c>
      <c r="D47">
        <v>1.4</v>
      </c>
      <c r="E47" s="104">
        <v>3.6528070000000001</v>
      </c>
      <c r="F47" s="104"/>
    </row>
    <row r="48" spans="1:6" x14ac:dyDescent="0.25">
      <c r="A48" t="s">
        <v>442</v>
      </c>
      <c r="B48">
        <v>180</v>
      </c>
      <c r="C48">
        <v>4.9984680000000026</v>
      </c>
      <c r="D48">
        <v>1.4</v>
      </c>
      <c r="E48" s="104">
        <v>3.6451129999999998</v>
      </c>
      <c r="F48" s="104"/>
    </row>
    <row r="49" spans="1:6" x14ac:dyDescent="0.25">
      <c r="A49" t="s">
        <v>442</v>
      </c>
      <c r="B49">
        <v>182</v>
      </c>
      <c r="C49">
        <v>4.9933070000000015</v>
      </c>
      <c r="D49">
        <v>1.4</v>
      </c>
      <c r="E49" s="104">
        <v>3.6291199999999999</v>
      </c>
      <c r="F49" s="104"/>
    </row>
    <row r="50" spans="1:6" x14ac:dyDescent="0.25">
      <c r="A50" t="s">
        <v>442</v>
      </c>
      <c r="B50">
        <v>184</v>
      </c>
      <c r="C50">
        <v>4.9880449999999996</v>
      </c>
      <c r="D50">
        <v>1.4</v>
      </c>
      <c r="E50" s="104">
        <v>3.6124100000000001</v>
      </c>
      <c r="F50" s="104"/>
    </row>
    <row r="51" spans="1:6" x14ac:dyDescent="0.25">
      <c r="A51" t="s">
        <v>442</v>
      </c>
      <c r="B51">
        <v>186</v>
      </c>
      <c r="C51">
        <v>4.9790480000000059</v>
      </c>
      <c r="D51">
        <v>1.4</v>
      </c>
      <c r="E51" s="104">
        <v>3.5950799999999998</v>
      </c>
      <c r="F51" s="104"/>
    </row>
    <row r="52" spans="1:6" x14ac:dyDescent="0.25">
      <c r="A52" t="s">
        <v>442</v>
      </c>
      <c r="B52">
        <v>187</v>
      </c>
      <c r="C52">
        <v>4.9733030000000014</v>
      </c>
      <c r="D52">
        <v>1.4</v>
      </c>
      <c r="E52" s="104">
        <v>3.5862120000000002</v>
      </c>
      <c r="F52" s="104"/>
    </row>
    <row r="53" spans="1:6" x14ac:dyDescent="0.25">
      <c r="A53" t="s">
        <v>442</v>
      </c>
      <c r="B53">
        <v>188</v>
      </c>
      <c r="C53">
        <v>4.9668029999999987</v>
      </c>
      <c r="D53">
        <v>1.4</v>
      </c>
      <c r="E53" s="104">
        <v>3.5772210000000002</v>
      </c>
      <c r="F53" s="104"/>
    </row>
    <row r="54" spans="1:6" x14ac:dyDescent="0.25">
      <c r="A54" t="s">
        <v>442</v>
      </c>
      <c r="B54">
        <v>190</v>
      </c>
      <c r="C54">
        <v>4.9517349999999993</v>
      </c>
      <c r="D54">
        <v>1.4</v>
      </c>
      <c r="E54" s="104">
        <v>3.5589110000000002</v>
      </c>
      <c r="F54" s="104"/>
    </row>
    <row r="55" spans="1:6" x14ac:dyDescent="0.25">
      <c r="A55" t="s">
        <v>442</v>
      </c>
      <c r="B55">
        <v>195</v>
      </c>
      <c r="C55">
        <v>4.9040739999999943</v>
      </c>
      <c r="D55">
        <v>1.4</v>
      </c>
      <c r="E55" s="104">
        <v>3.5116139999999998</v>
      </c>
      <c r="F55" s="104"/>
    </row>
    <row r="56" spans="1:6" x14ac:dyDescent="0.25">
      <c r="A56" t="s">
        <v>442</v>
      </c>
      <c r="B56">
        <v>200</v>
      </c>
      <c r="C56">
        <v>4.8457310000000007</v>
      </c>
      <c r="D56">
        <v>1.4</v>
      </c>
      <c r="E56" s="104">
        <v>3.4628549999999998</v>
      </c>
      <c r="F56" s="104"/>
    </row>
    <row r="57" spans="1:6" x14ac:dyDescent="0.25">
      <c r="A57" t="s">
        <v>442</v>
      </c>
      <c r="B57">
        <v>204</v>
      </c>
      <c r="C57">
        <v>4.7937179999999984</v>
      </c>
      <c r="D57">
        <v>1.4</v>
      </c>
      <c r="E57" s="104">
        <v>3.4232770000000001</v>
      </c>
      <c r="F57" s="104"/>
    </row>
    <row r="58" spans="1:6" x14ac:dyDescent="0.25">
      <c r="A58" t="s">
        <v>442</v>
      </c>
      <c r="B58">
        <v>214</v>
      </c>
      <c r="C58">
        <v>4.651527999999999</v>
      </c>
      <c r="D58">
        <v>1.4</v>
      </c>
      <c r="E58" s="104">
        <v>3.3980990000000002</v>
      </c>
      <c r="F58" s="104"/>
    </row>
    <row r="59" spans="1:6" x14ac:dyDescent="0.25">
      <c r="A59" t="s">
        <v>442</v>
      </c>
      <c r="B59">
        <v>219</v>
      </c>
      <c r="C59">
        <v>4.6032440000000037</v>
      </c>
      <c r="D59">
        <v>1.4</v>
      </c>
      <c r="E59" s="104">
        <v>3.3802949999999998</v>
      </c>
      <c r="F59" s="104"/>
    </row>
    <row r="60" spans="1:6" x14ac:dyDescent="0.25">
      <c r="A60" t="s">
        <v>442</v>
      </c>
      <c r="B60">
        <v>220</v>
      </c>
      <c r="C60">
        <v>4.6017989999999998</v>
      </c>
      <c r="D60">
        <v>1.4</v>
      </c>
      <c r="E60" s="104">
        <v>3.3760509999999999</v>
      </c>
      <c r="F60" s="104"/>
    </row>
    <row r="61" spans="1:6" x14ac:dyDescent="0.25">
      <c r="A61" t="s">
        <v>442</v>
      </c>
      <c r="B61">
        <v>226</v>
      </c>
      <c r="C61">
        <v>4.5799669999999963</v>
      </c>
      <c r="D61">
        <v>1.4</v>
      </c>
      <c r="E61" s="104">
        <v>3.3467319999999998</v>
      </c>
      <c r="F61" s="104"/>
    </row>
    <row r="62" spans="1:6" x14ac:dyDescent="0.25">
      <c r="A62" t="s">
        <v>442</v>
      </c>
      <c r="B62">
        <v>235</v>
      </c>
      <c r="C62">
        <v>4.5162739999999957</v>
      </c>
      <c r="D62">
        <v>1.4</v>
      </c>
      <c r="E62" s="104">
        <v>3.29345</v>
      </c>
      <c r="F62" s="104"/>
    </row>
    <row r="63" spans="1:6" x14ac:dyDescent="0.25">
      <c r="A63" t="s">
        <v>442</v>
      </c>
      <c r="B63">
        <v>252</v>
      </c>
      <c r="C63">
        <v>4.3431530000000009</v>
      </c>
      <c r="D63">
        <v>1.4</v>
      </c>
      <c r="E63" s="104">
        <v>3.179252</v>
      </c>
      <c r="F63" s="104"/>
    </row>
    <row r="64" spans="1:6" x14ac:dyDescent="0.25">
      <c r="A64" t="s">
        <v>442</v>
      </c>
      <c r="B64">
        <v>256</v>
      </c>
      <c r="C64">
        <v>4.299443999999994</v>
      </c>
      <c r="D64">
        <v>1.4</v>
      </c>
      <c r="E64" s="104">
        <v>3.1770779999999998</v>
      </c>
      <c r="F64" s="104"/>
    </row>
    <row r="65" spans="1:6" x14ac:dyDescent="0.25">
      <c r="A65" t="s">
        <v>442</v>
      </c>
      <c r="B65">
        <v>259</v>
      </c>
      <c r="C65">
        <v>4.297386000000003</v>
      </c>
      <c r="D65">
        <v>1.4</v>
      </c>
      <c r="E65" s="104">
        <v>3.1729289999999999</v>
      </c>
      <c r="F65" s="104"/>
    </row>
    <row r="66" spans="1:6" x14ac:dyDescent="0.25">
      <c r="A66" t="s">
        <v>442</v>
      </c>
      <c r="B66">
        <v>266</v>
      </c>
      <c r="C66">
        <v>4.2765050000000002</v>
      </c>
      <c r="D66">
        <v>1.4</v>
      </c>
      <c r="E66" s="104">
        <v>3.1563940000000001</v>
      </c>
      <c r="F66" s="104">
        <v>1.4084E-3</v>
      </c>
    </row>
    <row r="67" spans="1:6" x14ac:dyDescent="0.25">
      <c r="A67" t="s">
        <v>442</v>
      </c>
      <c r="B67">
        <v>270</v>
      </c>
      <c r="C67">
        <v>4.2566960000000051</v>
      </c>
      <c r="D67">
        <v>1.4</v>
      </c>
      <c r="E67" s="104">
        <v>3.143443</v>
      </c>
      <c r="F67" s="104">
        <v>7.0486999999999998E-3</v>
      </c>
    </row>
    <row r="68" spans="1:6" x14ac:dyDescent="0.25">
      <c r="A68" t="s">
        <v>442</v>
      </c>
      <c r="B68">
        <v>306</v>
      </c>
      <c r="C68">
        <v>4.0380300000000062</v>
      </c>
      <c r="D68">
        <v>1.4</v>
      </c>
      <c r="E68" s="104">
        <v>3.0001030000000002</v>
      </c>
      <c r="F68" s="104">
        <v>5.8624200000000001E-2</v>
      </c>
    </row>
    <row r="69" spans="1:6" x14ac:dyDescent="0.25">
      <c r="A69" t="s">
        <v>442</v>
      </c>
      <c r="B69">
        <v>314</v>
      </c>
      <c r="C69">
        <v>4.0044479999999965</v>
      </c>
      <c r="D69">
        <v>1.4</v>
      </c>
      <c r="E69" s="104">
        <v>2.9869870000000001</v>
      </c>
      <c r="F69" s="104">
        <v>7.0756799999999995E-2</v>
      </c>
    </row>
    <row r="70" spans="1:6" x14ac:dyDescent="0.25">
      <c r="A70" t="s">
        <v>442</v>
      </c>
      <c r="B70">
        <v>340</v>
      </c>
      <c r="C70">
        <v>3.8535459999999944</v>
      </c>
      <c r="D70">
        <v>1.4</v>
      </c>
      <c r="E70" s="104">
        <v>2.9026179999999999</v>
      </c>
      <c r="F70" s="104">
        <v>0.1135785</v>
      </c>
    </row>
    <row r="71" spans="1:6" x14ac:dyDescent="0.25">
      <c r="A71" t="s">
        <v>442</v>
      </c>
      <c r="B71">
        <v>343</v>
      </c>
      <c r="C71">
        <v>3.8501449999999977</v>
      </c>
      <c r="D71">
        <v>1.4</v>
      </c>
      <c r="E71" s="104">
        <v>2.8904529999999999</v>
      </c>
      <c r="F71" s="104">
        <v>0.11894540000000001</v>
      </c>
    </row>
    <row r="72" spans="1:6" x14ac:dyDescent="0.25">
      <c r="A72" t="s">
        <v>442</v>
      </c>
      <c r="B72">
        <v>362</v>
      </c>
      <c r="C72">
        <v>3.7853199999999987</v>
      </c>
      <c r="D72">
        <v>1.4</v>
      </c>
      <c r="E72" s="104">
        <v>2.8549890000000002</v>
      </c>
      <c r="F72" s="104">
        <v>0.1555994</v>
      </c>
    </row>
    <row r="73" spans="1:6" x14ac:dyDescent="0.25">
      <c r="A73" t="s">
        <v>442</v>
      </c>
      <c r="B73">
        <v>375</v>
      </c>
      <c r="C73">
        <v>3.715059999999994</v>
      </c>
      <c r="D73">
        <v>1.4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2"/>
  <sheetViews>
    <sheetView workbookViewId="0">
      <pane xSplit="1" ySplit="7" topLeftCell="B8" activePane="bottomRight" state="frozen"/>
      <selection pane="topRight" activeCell="B1" sqref="B1"/>
      <selection pane="bottomLeft" activeCell="A2" sqref="A2"/>
      <selection pane="bottomRight" activeCell="J8" sqref="J8"/>
    </sheetView>
  </sheetViews>
  <sheetFormatPr defaultRowHeight="15" x14ac:dyDescent="0.25"/>
  <cols>
    <col min="1" max="1" width="10.85546875" customWidth="1"/>
    <col min="2" max="2" width="63.7109375" bestFit="1" customWidth="1"/>
    <col min="3" max="3" width="11.85546875" customWidth="1"/>
    <col min="4" max="4" width="13.42578125" customWidth="1"/>
    <col min="5" max="5" width="12.5703125" customWidth="1"/>
    <col min="6" max="6" width="16.42578125" customWidth="1"/>
    <col min="7" max="7" width="22" customWidth="1"/>
    <col min="8" max="8" width="13.28515625" customWidth="1"/>
    <col min="9" max="9" width="19.85546875" customWidth="1"/>
    <col min="10" max="12" width="15.5703125" bestFit="1" customWidth="1"/>
    <col min="13" max="13" width="20.85546875" customWidth="1"/>
    <col min="14" max="14" width="18.28515625" customWidth="1"/>
    <col min="15" max="15" width="17.42578125" customWidth="1"/>
    <col min="16" max="16" width="10.85546875" customWidth="1"/>
    <col min="37" max="37" width="22" customWidth="1"/>
  </cols>
  <sheetData>
    <row r="1" spans="1:37" x14ac:dyDescent="0.25">
      <c r="A1">
        <v>0</v>
      </c>
      <c r="B1" t="s">
        <v>445</v>
      </c>
      <c r="E1">
        <f t="shared" ref="E1:H5" si="0">QUARTILE(E$8:E$82,$A1)</f>
        <v>0.28000000000000003</v>
      </c>
      <c r="F1">
        <f t="shared" si="0"/>
        <v>0</v>
      </c>
      <c r="G1">
        <f t="shared" si="0"/>
        <v>0.31</v>
      </c>
      <c r="H1">
        <f t="shared" si="0"/>
        <v>0.24</v>
      </c>
    </row>
    <row r="2" spans="1:37" x14ac:dyDescent="0.25">
      <c r="A2">
        <v>1</v>
      </c>
      <c r="B2" t="s">
        <v>446</v>
      </c>
      <c r="E2">
        <f t="shared" si="0"/>
        <v>0.88</v>
      </c>
      <c r="F2">
        <f t="shared" si="0"/>
        <v>0.96499999999999997</v>
      </c>
      <c r="G2">
        <f t="shared" si="0"/>
        <v>0.88500000000000001</v>
      </c>
      <c r="H2">
        <f t="shared" si="0"/>
        <v>0.79</v>
      </c>
    </row>
    <row r="3" spans="1:37" x14ac:dyDescent="0.25">
      <c r="A3">
        <v>2</v>
      </c>
      <c r="B3" t="s">
        <v>447</v>
      </c>
      <c r="E3">
        <f t="shared" si="0"/>
        <v>0.94</v>
      </c>
      <c r="F3">
        <f t="shared" si="0"/>
        <v>0.99</v>
      </c>
      <c r="G3">
        <f t="shared" si="0"/>
        <v>0.95</v>
      </c>
      <c r="H3">
        <f t="shared" si="0"/>
        <v>0.9</v>
      </c>
    </row>
    <row r="4" spans="1:37" x14ac:dyDescent="0.25">
      <c r="A4">
        <v>3</v>
      </c>
      <c r="B4" t="s">
        <v>448</v>
      </c>
      <c r="E4">
        <f t="shared" si="0"/>
        <v>0.98</v>
      </c>
      <c r="F4">
        <f t="shared" si="0"/>
        <v>1</v>
      </c>
      <c r="G4">
        <f t="shared" si="0"/>
        <v>0.99</v>
      </c>
      <c r="H4">
        <f t="shared" si="0"/>
        <v>0.95499999999999996</v>
      </c>
    </row>
    <row r="5" spans="1:37" x14ac:dyDescent="0.25">
      <c r="A5">
        <v>4</v>
      </c>
      <c r="B5" t="s">
        <v>449</v>
      </c>
      <c r="E5">
        <f t="shared" si="0"/>
        <v>1</v>
      </c>
      <c r="F5">
        <f t="shared" si="0"/>
        <v>1</v>
      </c>
      <c r="G5">
        <f t="shared" si="0"/>
        <v>1</v>
      </c>
      <c r="H5">
        <f t="shared" si="0"/>
        <v>1</v>
      </c>
    </row>
    <row r="6" spans="1:37" ht="15.75" thickBot="1" x14ac:dyDescent="0.3"/>
    <row r="7" spans="1:37" ht="75.75" thickBot="1" x14ac:dyDescent="0.3">
      <c r="A7" s="11" t="s">
        <v>189</v>
      </c>
      <c r="B7" s="11" t="s">
        <v>183</v>
      </c>
      <c r="C7" s="10" t="s">
        <v>197</v>
      </c>
      <c r="D7" s="10" t="s">
        <v>198</v>
      </c>
      <c r="E7" s="11" t="s">
        <v>205</v>
      </c>
      <c r="F7" s="10" t="s">
        <v>199</v>
      </c>
      <c r="G7" s="10" t="s">
        <v>200</v>
      </c>
      <c r="H7" s="10" t="s">
        <v>201</v>
      </c>
      <c r="I7" s="11" t="s">
        <v>202</v>
      </c>
      <c r="J7" s="27" t="s">
        <v>1135</v>
      </c>
      <c r="K7" s="11" t="s">
        <v>1079</v>
      </c>
      <c r="L7" s="11" t="s">
        <v>1080</v>
      </c>
      <c r="M7" s="11" t="s">
        <v>203</v>
      </c>
      <c r="N7" s="11" t="s">
        <v>204</v>
      </c>
      <c r="O7" s="11" t="s">
        <v>347</v>
      </c>
      <c r="P7" s="11" t="s">
        <v>189</v>
      </c>
      <c r="Q7" s="27" t="s">
        <v>450</v>
      </c>
      <c r="R7" s="47" t="s">
        <v>451</v>
      </c>
      <c r="S7" s="47" t="s">
        <v>452</v>
      </c>
      <c r="T7" s="47" t="s">
        <v>453</v>
      </c>
      <c r="U7" s="47" t="s">
        <v>471</v>
      </c>
      <c r="V7" s="47" t="s">
        <v>585</v>
      </c>
      <c r="W7" s="38" t="s">
        <v>1081</v>
      </c>
      <c r="X7" s="38" t="s">
        <v>1082</v>
      </c>
      <c r="Y7" s="38" t="s">
        <v>1085</v>
      </c>
      <c r="Z7" s="37" t="s">
        <v>423</v>
      </c>
      <c r="AA7" s="37" t="s">
        <v>440</v>
      </c>
      <c r="AB7" s="37" t="s">
        <v>441</v>
      </c>
      <c r="AC7" s="39" t="s">
        <v>413</v>
      </c>
      <c r="AD7" s="37" t="s">
        <v>414</v>
      </c>
      <c r="AE7" s="45" t="s">
        <v>425</v>
      </c>
      <c r="AF7" s="38" t="s">
        <v>1083</v>
      </c>
      <c r="AG7" s="52" t="s">
        <v>588</v>
      </c>
      <c r="AH7" s="52" t="s">
        <v>590</v>
      </c>
      <c r="AI7" s="52" t="s">
        <v>591</v>
      </c>
      <c r="AJ7" s="52" t="s">
        <v>1084</v>
      </c>
      <c r="AK7" s="30" t="s">
        <v>1134</v>
      </c>
    </row>
    <row r="8" spans="1:37" x14ac:dyDescent="0.25">
      <c r="A8" t="s">
        <v>9</v>
      </c>
      <c r="B8" t="s">
        <v>10</v>
      </c>
      <c r="C8" s="96">
        <v>44</v>
      </c>
      <c r="D8" s="96">
        <v>28</v>
      </c>
      <c r="E8" s="97">
        <v>0.98</v>
      </c>
      <c r="F8" s="97">
        <v>0.95</v>
      </c>
      <c r="G8" s="97">
        <v>0.97</v>
      </c>
      <c r="H8" s="97">
        <v>0.91</v>
      </c>
      <c r="I8" s="42" t="s">
        <v>895</v>
      </c>
      <c r="J8">
        <v>44.2</v>
      </c>
      <c r="K8">
        <v>29.099999999999998</v>
      </c>
      <c r="L8">
        <v>60.099999999999994</v>
      </c>
      <c r="M8" s="42" t="s">
        <v>833</v>
      </c>
      <c r="N8" s="42" t="s">
        <v>254</v>
      </c>
      <c r="O8" s="98">
        <v>1.6E-2</v>
      </c>
      <c r="P8" s="42" t="str">
        <f>A8</f>
        <v>7A6</v>
      </c>
      <c r="Q8" s="40">
        <f t="shared" ref="Q8:Q39" si="1">+IF(E8&lt;E$2,1,IF(E8&lt;E$3,2,IF(E8&lt;E$4,3,4)))</f>
        <v>4</v>
      </c>
      <c r="R8" s="40">
        <f t="shared" ref="R8:R39" si="2">+IF(F8&lt;F$2,1,IF(F8&lt;F$3,2,IF(F8&lt;F$4,3,4)))</f>
        <v>1</v>
      </c>
      <c r="S8" s="40">
        <f t="shared" ref="S8:S39" si="3">+IF(G8&lt;G$2,1,IF(G8&lt;G$3,2,IF(G8&lt;G$4,3,4)))</f>
        <v>3</v>
      </c>
      <c r="T8" s="40">
        <f t="shared" ref="T8:T71" si="4">+IF(H8&lt;H$2,1,IF(H8&lt;H$3,2,IF(H8&lt;H$4,3,4)))</f>
        <v>3</v>
      </c>
      <c r="U8" s="91">
        <f>IF('AAA Summary'!$L$35=4, RANK(H8,H$8:H$82,1)+COUNTIF($H$8:H8,H8)-1, IF('AAA Summary'!$L$35=3, RANK(G8,G$8:G$82,1)+COUNTIF($G$8:G8,G8)-1, IF('AAA Summary'!$L$35=2, RANK(F8,F$8:F$82,1)+COUNTIF($F$8:F8,F8)-1, IF('AAA Summary'!$L$35=1, RANK(E8,E$8:E$82,1)+COUNTIF($E$8:E8,E8)-1))))</f>
        <v>42</v>
      </c>
      <c r="V8" s="54">
        <f>IF('AAA Summary'!$L$35=4, H8, IF('AAA Summary'!$L$35=3, G8, IF('AAA Summary'!$L$35=2, F8, IF('AAA Summary'!$L$35=1, E8))))</f>
        <v>0.91</v>
      </c>
      <c r="W8" s="25">
        <f>J8-K8</f>
        <v>15.100000000000005</v>
      </c>
      <c r="X8" s="25">
        <f>L8-J8</f>
        <v>15.899999999999991</v>
      </c>
      <c r="Y8" s="25">
        <v>80</v>
      </c>
      <c r="Z8" s="25">
        <v>67</v>
      </c>
      <c r="AA8" s="25">
        <v>41</v>
      </c>
      <c r="AB8" s="25">
        <v>99</v>
      </c>
      <c r="AC8" s="25">
        <f t="shared" ref="AC8:AC28" si="5">Z8-AA8</f>
        <v>26</v>
      </c>
      <c r="AD8" s="25">
        <f>AB8-Z8</f>
        <v>32</v>
      </c>
      <c r="AE8" s="25">
        <v>56</v>
      </c>
      <c r="AF8">
        <v>38</v>
      </c>
      <c r="AG8" s="91">
        <f>IF('AAA Summary'!$L$4=2, J8, IF('AAA Summary'!$L$4=1, Z8))</f>
        <v>67</v>
      </c>
      <c r="AH8" s="91">
        <f>IF('AAA Summary'!$L$4=2, W8, IF('AAA Summary'!$L$4=1, AC8))</f>
        <v>26</v>
      </c>
      <c r="AI8" s="91">
        <f>IF('AAA Summary'!$L$4=2, X8, IF('AAA Summary'!$L$4=1, AD8))</f>
        <v>32</v>
      </c>
      <c r="AJ8" s="91">
        <f>IF('AAA Summary'!$L$4=2, Y8, IF('AAA Summary'!$L$4=1, AE8))</f>
        <v>56</v>
      </c>
      <c r="AK8" s="19">
        <v>0.442</v>
      </c>
    </row>
    <row r="9" spans="1:37" x14ac:dyDescent="0.25">
      <c r="A9" t="s">
        <v>120</v>
      </c>
      <c r="B9" t="s">
        <v>612</v>
      </c>
      <c r="C9" s="96">
        <v>30</v>
      </c>
      <c r="D9" s="96">
        <v>23</v>
      </c>
      <c r="E9" s="97">
        <v>0.97</v>
      </c>
      <c r="F9" s="97">
        <v>0.93</v>
      </c>
      <c r="G9" s="97">
        <v>1</v>
      </c>
      <c r="H9" s="97">
        <v>0.9</v>
      </c>
      <c r="I9" s="42" t="s">
        <v>896</v>
      </c>
      <c r="J9">
        <v>20.7</v>
      </c>
      <c r="K9">
        <v>8</v>
      </c>
      <c r="L9">
        <v>39.700000000000003</v>
      </c>
      <c r="M9" s="42" t="s">
        <v>359</v>
      </c>
      <c r="N9" s="42" t="s">
        <v>243</v>
      </c>
      <c r="O9" s="98">
        <v>0</v>
      </c>
      <c r="P9" s="42" t="str">
        <f t="shared" ref="P9:P72" si="6">A9</f>
        <v>RTK</v>
      </c>
      <c r="Q9" s="40">
        <f t="shared" si="1"/>
        <v>3</v>
      </c>
      <c r="R9" s="40">
        <f t="shared" si="2"/>
        <v>1</v>
      </c>
      <c r="S9" s="40">
        <f t="shared" si="3"/>
        <v>4</v>
      </c>
      <c r="T9" s="40">
        <f t="shared" si="4"/>
        <v>3</v>
      </c>
      <c r="U9" s="91">
        <f>IF('AAA Summary'!$L$35=4, RANK(H9,H$8:H$82,1)+COUNTIF($H$8:H9,H9)-1, IF('AAA Summary'!$L$35=3, RANK(G9,G$8:G$82,1)+COUNTIF($G$8:G9,G9)-1, IF('AAA Summary'!$L$35=2, RANK(F9,F$8:F$82,1)+COUNTIF($F$8:F9,F9)-1, IF('AAA Summary'!$L$35=1, RANK(E9,E$8:E$82,1)+COUNTIF($E$8:E9,E9)-1))))</f>
        <v>36</v>
      </c>
      <c r="V9" s="54">
        <f>IF('AAA Summary'!$L$35=4, H9, IF('AAA Summary'!$L$35=3, G9, IF('AAA Summary'!$L$35=2, F9, IF('AAA Summary'!$L$35=1, E9))))</f>
        <v>0.9</v>
      </c>
      <c r="W9" s="25">
        <f t="shared" ref="W9:W72" si="7">J9-K9</f>
        <v>12.7</v>
      </c>
      <c r="X9" s="25">
        <f t="shared" ref="X9:X72" si="8">L9-J9</f>
        <v>19.000000000000004</v>
      </c>
      <c r="Y9" s="25">
        <v>80</v>
      </c>
      <c r="Z9" s="25">
        <v>108</v>
      </c>
      <c r="AA9" s="25">
        <v>76</v>
      </c>
      <c r="AB9" s="25">
        <v>174</v>
      </c>
      <c r="AC9" s="25">
        <f t="shared" si="5"/>
        <v>32</v>
      </c>
      <c r="AD9" s="25">
        <f t="shared" ref="AD9:AD72" si="9">AB9-Z9</f>
        <v>66</v>
      </c>
      <c r="AE9" s="25">
        <v>56</v>
      </c>
      <c r="AF9">
        <v>68</v>
      </c>
      <c r="AG9" s="91">
        <f>IF('AAA Summary'!$L$4=2, J9, IF('AAA Summary'!$L$4=1, Z9))</f>
        <v>108</v>
      </c>
      <c r="AH9" s="91">
        <f>IF('AAA Summary'!$L$4=2, W9, IF('AAA Summary'!$L$4=1, AC9))</f>
        <v>32</v>
      </c>
      <c r="AI9" s="91">
        <f>IF('AAA Summary'!$L$4=2, X9, IF('AAA Summary'!$L$4=1, AD9))</f>
        <v>66</v>
      </c>
      <c r="AJ9" s="91">
        <f>IF('AAA Summary'!$L$4=2, Y9, IF('AAA Summary'!$L$4=1, AE9))</f>
        <v>56</v>
      </c>
      <c r="AK9" s="19">
        <v>0.20699999999999999</v>
      </c>
    </row>
    <row r="10" spans="1:37" x14ac:dyDescent="0.25">
      <c r="A10" t="s">
        <v>48</v>
      </c>
      <c r="B10" t="s">
        <v>613</v>
      </c>
      <c r="C10" s="96">
        <v>20</v>
      </c>
      <c r="D10" s="96">
        <v>19</v>
      </c>
      <c r="E10" s="97">
        <v>1</v>
      </c>
      <c r="F10" s="97">
        <v>1</v>
      </c>
      <c r="G10" s="97">
        <v>1</v>
      </c>
      <c r="H10" s="97">
        <v>0.9</v>
      </c>
      <c r="I10" s="42" t="s">
        <v>897</v>
      </c>
      <c r="J10">
        <v>35</v>
      </c>
      <c r="K10">
        <v>15.4</v>
      </c>
      <c r="L10">
        <v>59.199999999999996</v>
      </c>
      <c r="M10" s="42" t="s">
        <v>384</v>
      </c>
      <c r="N10" s="42" t="s">
        <v>320</v>
      </c>
      <c r="O10" s="98">
        <v>1.2E-2</v>
      </c>
      <c r="P10" s="42" t="str">
        <f t="shared" si="6"/>
        <v>RF4</v>
      </c>
      <c r="Q10" s="40">
        <f t="shared" si="1"/>
        <v>4</v>
      </c>
      <c r="R10" s="40">
        <f t="shared" si="2"/>
        <v>4</v>
      </c>
      <c r="S10" s="40">
        <f t="shared" si="3"/>
        <v>4</v>
      </c>
      <c r="T10" s="40">
        <f t="shared" si="4"/>
        <v>3</v>
      </c>
      <c r="U10" s="91">
        <f>IF('AAA Summary'!$L$35=4, RANK(H10,H$8:H$82,1)+COUNTIF($H$8:H10,H10)-1, IF('AAA Summary'!$L$35=3, RANK(G10,G$8:G$82,1)+COUNTIF($G$8:G10,G10)-1, IF('AAA Summary'!$L$35=2, RANK(F10,F$8:F$82,1)+COUNTIF($F$8:F10,F10)-1, IF('AAA Summary'!$L$35=1, RANK(E10,E$8:E$82,1)+COUNTIF($E$8:E10,E10)-1))))</f>
        <v>37</v>
      </c>
      <c r="V10" s="54">
        <f>IF('AAA Summary'!$L$35=4, H10, IF('AAA Summary'!$L$35=3, G10, IF('AAA Summary'!$L$35=2, F10, IF('AAA Summary'!$L$35=1, E10))))</f>
        <v>0.9</v>
      </c>
      <c r="W10" s="25">
        <f t="shared" si="7"/>
        <v>19.600000000000001</v>
      </c>
      <c r="X10" s="25">
        <f t="shared" si="8"/>
        <v>24.199999999999996</v>
      </c>
      <c r="Y10" s="25">
        <v>80</v>
      </c>
      <c r="Z10" s="25">
        <v>72</v>
      </c>
      <c r="AA10" s="25">
        <v>46</v>
      </c>
      <c r="AB10" s="25">
        <v>128</v>
      </c>
      <c r="AC10" s="25">
        <f t="shared" si="5"/>
        <v>26</v>
      </c>
      <c r="AD10" s="25">
        <f t="shared" si="9"/>
        <v>56</v>
      </c>
      <c r="AE10" s="25">
        <v>56</v>
      </c>
      <c r="AF10">
        <v>41</v>
      </c>
      <c r="AG10" s="91">
        <f>IF('AAA Summary'!$L$4=2, J10, IF('AAA Summary'!$L$4=1, Z10))</f>
        <v>72</v>
      </c>
      <c r="AH10" s="91">
        <f>IF('AAA Summary'!$L$4=2, W10, IF('AAA Summary'!$L$4=1, AC10))</f>
        <v>26</v>
      </c>
      <c r="AI10" s="91">
        <f>IF('AAA Summary'!$L$4=2, X10, IF('AAA Summary'!$L$4=1, AD10))</f>
        <v>56</v>
      </c>
      <c r="AJ10" s="91">
        <f>IF('AAA Summary'!$L$4=2, Y10, IF('AAA Summary'!$L$4=1, AE10))</f>
        <v>56</v>
      </c>
      <c r="AK10" s="19">
        <v>0.35</v>
      </c>
    </row>
    <row r="11" spans="1:37" x14ac:dyDescent="0.25">
      <c r="A11" t="s">
        <v>13</v>
      </c>
      <c r="B11" t="s">
        <v>14</v>
      </c>
      <c r="C11" s="96">
        <v>29</v>
      </c>
      <c r="D11" s="96">
        <v>14</v>
      </c>
      <c r="E11" s="97">
        <v>0.9</v>
      </c>
      <c r="F11" s="97">
        <v>1</v>
      </c>
      <c r="G11" s="97">
        <v>0.9</v>
      </c>
      <c r="H11" s="97">
        <v>0.93</v>
      </c>
      <c r="I11" s="42" t="s">
        <v>898</v>
      </c>
      <c r="J11">
        <v>57.699999999999996</v>
      </c>
      <c r="K11">
        <v>36.9</v>
      </c>
      <c r="L11">
        <v>76.599999999999994</v>
      </c>
      <c r="M11" s="42" t="s">
        <v>899</v>
      </c>
      <c r="N11" s="42" t="s">
        <v>236</v>
      </c>
      <c r="O11" s="98">
        <v>4.5999999999999999E-2</v>
      </c>
      <c r="P11" s="42" t="str">
        <f t="shared" si="6"/>
        <v>R1H</v>
      </c>
      <c r="Q11" s="40">
        <f t="shared" si="1"/>
        <v>2</v>
      </c>
      <c r="R11" s="40">
        <f t="shared" si="2"/>
        <v>4</v>
      </c>
      <c r="S11" s="40">
        <f t="shared" si="3"/>
        <v>2</v>
      </c>
      <c r="T11" s="40">
        <f t="shared" si="4"/>
        <v>3</v>
      </c>
      <c r="U11" s="91">
        <f>IF('AAA Summary'!$L$35=4, RANK(H11,H$8:H$82,1)+COUNTIF($H$8:H11,H11)-1, IF('AAA Summary'!$L$35=3, RANK(G11,G$8:G$82,1)+COUNTIF($G$8:G11,G11)-1, IF('AAA Summary'!$L$35=2, RANK(F11,F$8:F$82,1)+COUNTIF($F$8:F11,F11)-1, IF('AAA Summary'!$L$35=1, RANK(E11,E$8:E$82,1)+COUNTIF($E$8:E11,E11)-1))))</f>
        <v>48</v>
      </c>
      <c r="V11" s="54">
        <f>IF('AAA Summary'!$L$35=4, H11, IF('AAA Summary'!$L$35=3, G11, IF('AAA Summary'!$L$35=2, F11, IF('AAA Summary'!$L$35=1, E11))))</f>
        <v>0.93</v>
      </c>
      <c r="W11" s="25">
        <f t="shared" si="7"/>
        <v>20.799999999999997</v>
      </c>
      <c r="X11" s="25">
        <f t="shared" si="8"/>
        <v>18.899999999999999</v>
      </c>
      <c r="Y11" s="25">
        <v>80</v>
      </c>
      <c r="Z11" s="25">
        <v>48</v>
      </c>
      <c r="AA11" s="25">
        <v>28</v>
      </c>
      <c r="AB11" s="25">
        <v>103</v>
      </c>
      <c r="AC11" s="25">
        <f t="shared" si="5"/>
        <v>20</v>
      </c>
      <c r="AD11" s="25">
        <f t="shared" si="9"/>
        <v>55</v>
      </c>
      <c r="AE11" s="25">
        <v>56</v>
      </c>
      <c r="AF11">
        <v>14</v>
      </c>
      <c r="AG11" s="91">
        <f>IF('AAA Summary'!$L$4=2, J11, IF('AAA Summary'!$L$4=1, Z11))</f>
        <v>48</v>
      </c>
      <c r="AH11" s="91">
        <f>IF('AAA Summary'!$L$4=2, W11, IF('AAA Summary'!$L$4=1, AC11))</f>
        <v>20</v>
      </c>
      <c r="AI11" s="91">
        <f>IF('AAA Summary'!$L$4=2, X11, IF('AAA Summary'!$L$4=1, AD11))</f>
        <v>55</v>
      </c>
      <c r="AJ11" s="91">
        <f>IF('AAA Summary'!$L$4=2, Y11, IF('AAA Summary'!$L$4=1, AE11))</f>
        <v>56</v>
      </c>
      <c r="AK11" s="19">
        <v>0.57699999999999996</v>
      </c>
    </row>
    <row r="12" spans="1:37" x14ac:dyDescent="0.25">
      <c r="A12" t="s">
        <v>37</v>
      </c>
      <c r="B12" t="s">
        <v>38</v>
      </c>
      <c r="C12" s="96">
        <v>37</v>
      </c>
      <c r="D12" s="96">
        <v>31</v>
      </c>
      <c r="E12" s="97">
        <v>0.43</v>
      </c>
      <c r="F12" s="97">
        <v>0.95</v>
      </c>
      <c r="G12" s="97">
        <v>0.42</v>
      </c>
      <c r="H12" s="97">
        <v>0.32</v>
      </c>
      <c r="I12" s="42" t="s">
        <v>900</v>
      </c>
      <c r="J12">
        <v>43.8</v>
      </c>
      <c r="K12">
        <v>19.8</v>
      </c>
      <c r="L12">
        <v>70.099999999999994</v>
      </c>
      <c r="M12" s="42" t="s">
        <v>901</v>
      </c>
      <c r="N12" s="42" t="s">
        <v>295</v>
      </c>
      <c r="O12" s="98">
        <v>2.2000000000000002E-2</v>
      </c>
      <c r="P12" s="42" t="str">
        <f t="shared" si="6"/>
        <v>RDD</v>
      </c>
      <c r="Q12" s="40">
        <f t="shared" si="1"/>
        <v>1</v>
      </c>
      <c r="R12" s="40">
        <f t="shared" si="2"/>
        <v>1</v>
      </c>
      <c r="S12" s="40">
        <f t="shared" si="3"/>
        <v>1</v>
      </c>
      <c r="T12" s="40">
        <f t="shared" si="4"/>
        <v>1</v>
      </c>
      <c r="U12" s="91">
        <f>IF('AAA Summary'!$L$35=4, RANK(H12,H$8:H$82,1)+COUNTIF($H$8:H12,H12)-1, IF('AAA Summary'!$L$35=3, RANK(G12,G$8:G$82,1)+COUNTIF($G$8:G12,G12)-1, IF('AAA Summary'!$L$35=2, RANK(F12,F$8:F$82,1)+COUNTIF($F$8:F12,F12)-1, IF('AAA Summary'!$L$35=1, RANK(E12,E$8:E$82,1)+COUNTIF($E$8:E12,E12)-1))))</f>
        <v>3</v>
      </c>
      <c r="V12" s="54">
        <f>IF('AAA Summary'!$L$35=4, H12, IF('AAA Summary'!$L$35=3, G12, IF('AAA Summary'!$L$35=2, F12, IF('AAA Summary'!$L$35=1, E12))))</f>
        <v>0.32</v>
      </c>
      <c r="W12" s="25">
        <f t="shared" si="7"/>
        <v>23.999999999999996</v>
      </c>
      <c r="X12" s="25">
        <f t="shared" si="8"/>
        <v>26.299999999999997</v>
      </c>
      <c r="Y12" s="25">
        <v>80</v>
      </c>
      <c r="Z12" s="25">
        <v>94</v>
      </c>
      <c r="AA12" s="25">
        <v>40</v>
      </c>
      <c r="AB12" s="25">
        <v>132</v>
      </c>
      <c r="AC12" s="25">
        <f t="shared" si="5"/>
        <v>54</v>
      </c>
      <c r="AD12" s="25">
        <f t="shared" si="9"/>
        <v>38</v>
      </c>
      <c r="AE12" s="25">
        <v>56</v>
      </c>
      <c r="AF12">
        <v>65</v>
      </c>
      <c r="AG12" s="91">
        <f>IF('AAA Summary'!$L$4=2, J12, IF('AAA Summary'!$L$4=1, Z12))</f>
        <v>94</v>
      </c>
      <c r="AH12" s="91">
        <f>IF('AAA Summary'!$L$4=2, W12, IF('AAA Summary'!$L$4=1, AC12))</f>
        <v>54</v>
      </c>
      <c r="AI12" s="91">
        <f>IF('AAA Summary'!$L$4=2, X12, IF('AAA Summary'!$L$4=1, AD12))</f>
        <v>38</v>
      </c>
      <c r="AJ12" s="91">
        <f>IF('AAA Summary'!$L$4=2, Y12, IF('AAA Summary'!$L$4=1, AE12))</f>
        <v>56</v>
      </c>
      <c r="AK12" s="19">
        <v>0.438</v>
      </c>
    </row>
    <row r="13" spans="1:37" x14ac:dyDescent="0.25">
      <c r="A13" t="s">
        <v>33</v>
      </c>
      <c r="B13" t="s">
        <v>34</v>
      </c>
      <c r="C13" s="96">
        <v>59</v>
      </c>
      <c r="D13" s="96">
        <v>58</v>
      </c>
      <c r="E13" s="97">
        <v>0.95</v>
      </c>
      <c r="F13" s="97">
        <v>1</v>
      </c>
      <c r="G13" s="97">
        <v>0.96</v>
      </c>
      <c r="H13" s="97">
        <v>0.85</v>
      </c>
      <c r="I13" s="42" t="s">
        <v>902</v>
      </c>
      <c r="J13">
        <v>50</v>
      </c>
      <c r="K13">
        <v>36.299999999999997</v>
      </c>
      <c r="L13">
        <v>63.7</v>
      </c>
      <c r="M13" s="42" t="s">
        <v>384</v>
      </c>
      <c r="N13" s="42" t="s">
        <v>322</v>
      </c>
      <c r="O13" s="98">
        <v>1.4999999999999999E-2</v>
      </c>
      <c r="P13" s="42" t="str">
        <f t="shared" si="6"/>
        <v>RC1</v>
      </c>
      <c r="Q13" s="40">
        <f t="shared" si="1"/>
        <v>3</v>
      </c>
      <c r="R13" s="40">
        <f t="shared" si="2"/>
        <v>4</v>
      </c>
      <c r="S13" s="40">
        <f t="shared" si="3"/>
        <v>3</v>
      </c>
      <c r="T13" s="40">
        <f t="shared" si="4"/>
        <v>2</v>
      </c>
      <c r="U13" s="91">
        <f>IF('AAA Summary'!$L$35=4, RANK(H13,H$8:H$82,1)+COUNTIF($H$8:H13,H13)-1, IF('AAA Summary'!$L$35=3, RANK(G13,G$8:G$82,1)+COUNTIF($G$8:G13,G13)-1, IF('AAA Summary'!$L$35=2, RANK(F13,F$8:F$82,1)+COUNTIF($F$8:F13,F13)-1, IF('AAA Summary'!$L$35=1, RANK(E13,E$8:E$82,1)+COUNTIF($E$8:E13,E13)-1))))</f>
        <v>26</v>
      </c>
      <c r="V13" s="54">
        <f>IF('AAA Summary'!$L$35=4, H13, IF('AAA Summary'!$L$35=3, G13, IF('AAA Summary'!$L$35=2, F13, IF('AAA Summary'!$L$35=1, E13))))</f>
        <v>0.85</v>
      </c>
      <c r="W13" s="25">
        <f t="shared" si="7"/>
        <v>13.700000000000003</v>
      </c>
      <c r="X13" s="25">
        <f t="shared" si="8"/>
        <v>13.700000000000003</v>
      </c>
      <c r="Y13" s="25">
        <v>80</v>
      </c>
      <c r="Z13" s="25">
        <v>59</v>
      </c>
      <c r="AA13" s="25">
        <v>31</v>
      </c>
      <c r="AB13" s="25">
        <v>102</v>
      </c>
      <c r="AC13" s="25">
        <f t="shared" si="5"/>
        <v>28</v>
      </c>
      <c r="AD13" s="25">
        <f t="shared" si="9"/>
        <v>43</v>
      </c>
      <c r="AE13" s="25">
        <v>56</v>
      </c>
      <c r="AF13">
        <v>26</v>
      </c>
      <c r="AG13" s="91">
        <f>IF('AAA Summary'!$L$4=2, J13, IF('AAA Summary'!$L$4=1, Z13))</f>
        <v>59</v>
      </c>
      <c r="AH13" s="91">
        <f>IF('AAA Summary'!$L$4=2, W13, IF('AAA Summary'!$L$4=1, AC13))</f>
        <v>28</v>
      </c>
      <c r="AI13" s="91">
        <f>IF('AAA Summary'!$L$4=2, X13, IF('AAA Summary'!$L$4=1, AD13))</f>
        <v>43</v>
      </c>
      <c r="AJ13" s="91">
        <f>IF('AAA Summary'!$L$4=2, Y13, IF('AAA Summary'!$L$4=1, AE13))</f>
        <v>56</v>
      </c>
      <c r="AK13" s="19">
        <v>0.5</v>
      </c>
    </row>
    <row r="14" spans="1:37" x14ac:dyDescent="0.25">
      <c r="A14" t="s">
        <v>180</v>
      </c>
      <c r="B14" t="s">
        <v>181</v>
      </c>
      <c r="C14" s="96">
        <v>113</v>
      </c>
      <c r="D14" s="96">
        <v>59</v>
      </c>
      <c r="E14" s="97">
        <v>0.96</v>
      </c>
      <c r="F14" s="97">
        <v>0.99</v>
      </c>
      <c r="G14" s="97">
        <v>0.96</v>
      </c>
      <c r="H14" s="97">
        <v>0.94</v>
      </c>
      <c r="I14" s="42" t="s">
        <v>903</v>
      </c>
      <c r="J14">
        <v>17.399999999999999</v>
      </c>
      <c r="K14">
        <v>10.8</v>
      </c>
      <c r="L14">
        <v>25.900000000000002</v>
      </c>
      <c r="M14" s="42" t="s">
        <v>904</v>
      </c>
      <c r="N14" s="42" t="s">
        <v>226</v>
      </c>
      <c r="O14" s="98">
        <v>6.0000000000000001E-3</v>
      </c>
      <c r="P14" s="42" t="str">
        <f t="shared" si="6"/>
        <v>ZT001</v>
      </c>
      <c r="Q14" s="40">
        <f t="shared" si="1"/>
        <v>3</v>
      </c>
      <c r="R14" s="40">
        <f t="shared" si="2"/>
        <v>3</v>
      </c>
      <c r="S14" s="40">
        <f t="shared" si="3"/>
        <v>3</v>
      </c>
      <c r="T14" s="40">
        <f t="shared" si="4"/>
        <v>3</v>
      </c>
      <c r="U14" s="91">
        <f>IF('AAA Summary'!$L$35=4, RANK(H14,H$8:H$82,1)+COUNTIF($H$8:H14,H14)-1, IF('AAA Summary'!$L$35=3, RANK(G14,G$8:G$82,1)+COUNTIF($G$8:G14,G14)-1, IF('AAA Summary'!$L$35=2, RANK(F14,F$8:F$82,1)+COUNTIF($F$8:F14,F14)-1, IF('AAA Summary'!$L$35=1, RANK(E14,E$8:E$82,1)+COUNTIF($E$8:E14,E14)-1))))</f>
        <v>52</v>
      </c>
      <c r="V14" s="54">
        <f>IF('AAA Summary'!$L$35=4, H14, IF('AAA Summary'!$L$35=3, G14, IF('AAA Summary'!$L$35=2, F14, IF('AAA Summary'!$L$35=1, E14))))</f>
        <v>0.94</v>
      </c>
      <c r="W14" s="25">
        <f t="shared" si="7"/>
        <v>6.5999999999999979</v>
      </c>
      <c r="X14" s="25">
        <f t="shared" si="8"/>
        <v>8.5000000000000036</v>
      </c>
      <c r="Y14" s="25">
        <v>80</v>
      </c>
      <c r="Z14" s="25">
        <v>114</v>
      </c>
      <c r="AA14" s="25">
        <v>67</v>
      </c>
      <c r="AB14" s="25">
        <v>212</v>
      </c>
      <c r="AC14" s="25">
        <f t="shared" si="5"/>
        <v>47</v>
      </c>
      <c r="AD14" s="25">
        <f t="shared" si="9"/>
        <v>98</v>
      </c>
      <c r="AE14" s="25">
        <v>56</v>
      </c>
      <c r="AF14">
        <v>70</v>
      </c>
      <c r="AG14" s="91">
        <f>IF('AAA Summary'!$L$4=2, J14, IF('AAA Summary'!$L$4=1, Z14))</f>
        <v>114</v>
      </c>
      <c r="AH14" s="91">
        <f>IF('AAA Summary'!$L$4=2, W14, IF('AAA Summary'!$L$4=1, AC14))</f>
        <v>47</v>
      </c>
      <c r="AI14" s="91">
        <f>IF('AAA Summary'!$L$4=2, X14, IF('AAA Summary'!$L$4=1, AD14))</f>
        <v>98</v>
      </c>
      <c r="AJ14" s="91">
        <f>IF('AAA Summary'!$L$4=2, Y14, IF('AAA Summary'!$L$4=1, AE14))</f>
        <v>56</v>
      </c>
      <c r="AK14" s="19">
        <v>0.17399999999999999</v>
      </c>
    </row>
    <row r="15" spans="1:37" x14ac:dyDescent="0.25">
      <c r="A15" t="s">
        <v>0</v>
      </c>
      <c r="B15" t="s">
        <v>1</v>
      </c>
      <c r="C15" s="96">
        <v>35</v>
      </c>
      <c r="D15" s="96">
        <v>21</v>
      </c>
      <c r="E15" s="97">
        <v>0.94</v>
      </c>
      <c r="F15" s="97">
        <v>0.97</v>
      </c>
      <c r="G15" s="97">
        <v>0.94</v>
      </c>
      <c r="H15" s="97">
        <v>0.8</v>
      </c>
      <c r="I15" s="42" t="s">
        <v>905</v>
      </c>
      <c r="J15">
        <v>24.2</v>
      </c>
      <c r="K15">
        <v>11.1</v>
      </c>
      <c r="L15">
        <v>42.3</v>
      </c>
      <c r="M15" s="42" t="s">
        <v>366</v>
      </c>
      <c r="N15" s="42" t="s">
        <v>242</v>
      </c>
      <c r="O15" s="98">
        <v>9.0000000000000011E-3</v>
      </c>
      <c r="P15" s="42" t="str">
        <f t="shared" si="6"/>
        <v>7A1</v>
      </c>
      <c r="Q15" s="40">
        <f t="shared" si="1"/>
        <v>3</v>
      </c>
      <c r="R15" s="40">
        <f t="shared" si="2"/>
        <v>2</v>
      </c>
      <c r="S15" s="40">
        <f t="shared" si="3"/>
        <v>2</v>
      </c>
      <c r="T15" s="40">
        <f t="shared" si="4"/>
        <v>2</v>
      </c>
      <c r="U15" s="91">
        <f>IF('AAA Summary'!$L$35=4, RANK(H15,H$8:H$82,1)+COUNTIF($H$8:H15,H15)-1, IF('AAA Summary'!$L$35=3, RANK(G15,G$8:G$82,1)+COUNTIF($G$8:G15,G15)-1, IF('AAA Summary'!$L$35=2, RANK(F15,F$8:F$82,1)+COUNTIF($F$8:F15,F15)-1, IF('AAA Summary'!$L$35=1, RANK(E15,E$8:E$82,1)+COUNTIF($E$8:E15,E15)-1))))</f>
        <v>20</v>
      </c>
      <c r="V15" s="54">
        <f>IF('AAA Summary'!$L$35=4, H15, IF('AAA Summary'!$L$35=3, G15, IF('AAA Summary'!$L$35=2, F15, IF('AAA Summary'!$L$35=1, E15))))</f>
        <v>0.8</v>
      </c>
      <c r="W15" s="25">
        <f t="shared" si="7"/>
        <v>13.1</v>
      </c>
      <c r="X15" s="25">
        <f t="shared" si="8"/>
        <v>18.099999999999998</v>
      </c>
      <c r="Y15" s="25">
        <v>80</v>
      </c>
      <c r="Z15" s="25">
        <v>89</v>
      </c>
      <c r="AA15" s="25">
        <v>60</v>
      </c>
      <c r="AB15" s="25">
        <v>158</v>
      </c>
      <c r="AC15" s="25">
        <f t="shared" si="5"/>
        <v>29</v>
      </c>
      <c r="AD15" s="25">
        <f t="shared" si="9"/>
        <v>69</v>
      </c>
      <c r="AE15" s="25">
        <v>56</v>
      </c>
      <c r="AF15">
        <v>62</v>
      </c>
      <c r="AG15" s="91">
        <f>IF('AAA Summary'!$L$4=2, J15, IF('AAA Summary'!$L$4=1, Z15))</f>
        <v>89</v>
      </c>
      <c r="AH15" s="91">
        <f>IF('AAA Summary'!$L$4=2, W15, IF('AAA Summary'!$L$4=1, AC15))</f>
        <v>29</v>
      </c>
      <c r="AI15" s="91">
        <f>IF('AAA Summary'!$L$4=2, X15, IF('AAA Summary'!$L$4=1, AD15))</f>
        <v>69</v>
      </c>
      <c r="AJ15" s="91">
        <f>IF('AAA Summary'!$L$4=2, Y15, IF('AAA Summary'!$L$4=1, AE15))</f>
        <v>56</v>
      </c>
      <c r="AK15" s="19">
        <v>0.24199999999999999</v>
      </c>
    </row>
    <row r="16" spans="1:37" x14ac:dyDescent="0.25">
      <c r="A16" t="s">
        <v>19</v>
      </c>
      <c r="B16" t="s">
        <v>20</v>
      </c>
      <c r="C16" s="96">
        <v>25</v>
      </c>
      <c r="D16" s="96">
        <v>14</v>
      </c>
      <c r="E16" s="97">
        <v>0.96</v>
      </c>
      <c r="F16" s="97">
        <v>0.96</v>
      </c>
      <c r="G16" s="97">
        <v>1</v>
      </c>
      <c r="H16" s="97">
        <v>0.96</v>
      </c>
      <c r="I16" s="42" t="s">
        <v>906</v>
      </c>
      <c r="J16">
        <v>58.3</v>
      </c>
      <c r="K16">
        <v>36.6</v>
      </c>
      <c r="L16">
        <v>77.900000000000006</v>
      </c>
      <c r="M16" s="42" t="s">
        <v>907</v>
      </c>
      <c r="N16" s="42" t="s">
        <v>225</v>
      </c>
      <c r="O16" s="98">
        <v>1.1000000000000001E-2</v>
      </c>
      <c r="P16" s="42" t="str">
        <f t="shared" si="6"/>
        <v>RAE</v>
      </c>
      <c r="Q16" s="40">
        <f t="shared" si="1"/>
        <v>3</v>
      </c>
      <c r="R16" s="40">
        <f t="shared" si="2"/>
        <v>1</v>
      </c>
      <c r="S16" s="40">
        <f t="shared" si="3"/>
        <v>4</v>
      </c>
      <c r="T16" s="40">
        <f t="shared" si="4"/>
        <v>4</v>
      </c>
      <c r="U16" s="91">
        <f>IF('AAA Summary'!$L$35=4, RANK(H16,H$8:H$82,1)+COUNTIF($H$8:H16,H16)-1, IF('AAA Summary'!$L$35=3, RANK(G16,G$8:G$82,1)+COUNTIF($G$8:G16,G16)-1, IF('AAA Summary'!$L$35=2, RANK(F16,F$8:F$82,1)+COUNTIF($F$8:F16,F16)-1, IF('AAA Summary'!$L$35=1, RANK(E16,E$8:E$82,1)+COUNTIF($E$8:E16,E16)-1))))</f>
        <v>57</v>
      </c>
      <c r="V16" s="54">
        <f>IF('AAA Summary'!$L$35=4, H16, IF('AAA Summary'!$L$35=3, G16, IF('AAA Summary'!$L$35=2, F16, IF('AAA Summary'!$L$35=1, E16))))</f>
        <v>0.96</v>
      </c>
      <c r="W16" s="25">
        <f t="shared" si="7"/>
        <v>21.699999999999996</v>
      </c>
      <c r="X16" s="25">
        <f t="shared" si="8"/>
        <v>19.600000000000009</v>
      </c>
      <c r="Y16" s="25">
        <v>80</v>
      </c>
      <c r="Z16" s="25">
        <v>48</v>
      </c>
      <c r="AA16" s="25">
        <v>29</v>
      </c>
      <c r="AB16" s="25">
        <v>104</v>
      </c>
      <c r="AC16" s="25">
        <f t="shared" si="5"/>
        <v>19</v>
      </c>
      <c r="AD16" s="25">
        <f t="shared" si="9"/>
        <v>56</v>
      </c>
      <c r="AE16" s="25">
        <v>56</v>
      </c>
      <c r="AF16">
        <v>15</v>
      </c>
      <c r="AG16" s="91">
        <f>IF('AAA Summary'!$L$4=2, J16, IF('AAA Summary'!$L$4=1, Z16))</f>
        <v>48</v>
      </c>
      <c r="AH16" s="91">
        <f>IF('AAA Summary'!$L$4=2, W16, IF('AAA Summary'!$L$4=1, AC16))</f>
        <v>19</v>
      </c>
      <c r="AI16" s="91">
        <f>IF('AAA Summary'!$L$4=2, X16, IF('AAA Summary'!$L$4=1, AD16))</f>
        <v>56</v>
      </c>
      <c r="AJ16" s="91">
        <f>IF('AAA Summary'!$L$4=2, Y16, IF('AAA Summary'!$L$4=1, AE16))</f>
        <v>56</v>
      </c>
      <c r="AK16" s="19">
        <v>0.58299999999999996</v>
      </c>
    </row>
    <row r="17" spans="1:37" x14ac:dyDescent="0.25">
      <c r="A17" t="s">
        <v>148</v>
      </c>
      <c r="B17" t="s">
        <v>149</v>
      </c>
      <c r="C17" s="96">
        <v>63</v>
      </c>
      <c r="D17" s="96">
        <v>49</v>
      </c>
      <c r="E17" s="97">
        <v>0.98</v>
      </c>
      <c r="F17" s="97">
        <v>0.98</v>
      </c>
      <c r="G17" s="97">
        <v>0.98</v>
      </c>
      <c r="H17" s="97">
        <v>0.87</v>
      </c>
      <c r="I17" s="42" t="s">
        <v>908</v>
      </c>
      <c r="J17">
        <v>35.5</v>
      </c>
      <c r="K17">
        <v>23.7</v>
      </c>
      <c r="L17">
        <v>48.699999999999996</v>
      </c>
      <c r="M17" s="42" t="s">
        <v>241</v>
      </c>
      <c r="N17" s="42" t="s">
        <v>295</v>
      </c>
      <c r="O17" s="98">
        <v>0.01</v>
      </c>
      <c r="P17" s="42" t="str">
        <f t="shared" si="6"/>
        <v>RXH</v>
      </c>
      <c r="Q17" s="40">
        <f t="shared" si="1"/>
        <v>4</v>
      </c>
      <c r="R17" s="40">
        <f t="shared" si="2"/>
        <v>2</v>
      </c>
      <c r="S17" s="40">
        <f t="shared" si="3"/>
        <v>3</v>
      </c>
      <c r="T17" s="40">
        <f t="shared" si="4"/>
        <v>2</v>
      </c>
      <c r="U17" s="91">
        <f>IF('AAA Summary'!$L$35=4, RANK(H17,H$8:H$82,1)+COUNTIF($H$8:H17,H17)-1, IF('AAA Summary'!$L$35=3, RANK(G17,G$8:G$82,1)+COUNTIF($G$8:G17,G17)-1, IF('AAA Summary'!$L$35=2, RANK(F17,F$8:F$82,1)+COUNTIF($F$8:F17,F17)-1, IF('AAA Summary'!$L$35=1, RANK(E17,E$8:E$82,1)+COUNTIF($E$8:E17,E17)-1))))</f>
        <v>28</v>
      </c>
      <c r="V17" s="54">
        <f>IF('AAA Summary'!$L$35=4, H17, IF('AAA Summary'!$L$35=3, G17, IF('AAA Summary'!$L$35=2, F17, IF('AAA Summary'!$L$35=1, E17))))</f>
        <v>0.87</v>
      </c>
      <c r="W17" s="25">
        <f t="shared" si="7"/>
        <v>11.8</v>
      </c>
      <c r="X17" s="25">
        <f t="shared" si="8"/>
        <v>13.199999999999996</v>
      </c>
      <c r="Y17" s="25">
        <v>80</v>
      </c>
      <c r="Z17" s="25">
        <v>80</v>
      </c>
      <c r="AA17" s="25">
        <v>47</v>
      </c>
      <c r="AB17" s="25">
        <v>163</v>
      </c>
      <c r="AC17" s="25">
        <f t="shared" si="5"/>
        <v>33</v>
      </c>
      <c r="AD17" s="25">
        <f t="shared" si="9"/>
        <v>83</v>
      </c>
      <c r="AE17" s="25">
        <v>56</v>
      </c>
      <c r="AF17">
        <v>54</v>
      </c>
      <c r="AG17" s="91">
        <f>IF('AAA Summary'!$L$4=2, J17, IF('AAA Summary'!$L$4=1, Z17))</f>
        <v>80</v>
      </c>
      <c r="AH17" s="91">
        <f>IF('AAA Summary'!$L$4=2, W17, IF('AAA Summary'!$L$4=1, AC17))</f>
        <v>33</v>
      </c>
      <c r="AI17" s="91">
        <f>IF('AAA Summary'!$L$4=2, X17, IF('AAA Summary'!$L$4=1, AD17))</f>
        <v>83</v>
      </c>
      <c r="AJ17" s="91">
        <f>IF('AAA Summary'!$L$4=2, Y17, IF('AAA Summary'!$L$4=1, AE17))</f>
        <v>56</v>
      </c>
      <c r="AK17" s="19">
        <v>0.35499999999999998</v>
      </c>
    </row>
    <row r="18" spans="1:37" x14ac:dyDescent="0.25">
      <c r="A18" t="s">
        <v>142</v>
      </c>
      <c r="B18" t="s">
        <v>143</v>
      </c>
      <c r="C18" s="96">
        <v>20</v>
      </c>
      <c r="D18" s="96">
        <v>7</v>
      </c>
      <c r="E18" s="97">
        <v>0.95</v>
      </c>
      <c r="F18" s="97">
        <v>1</v>
      </c>
      <c r="G18" s="97">
        <v>0.95</v>
      </c>
      <c r="H18" s="97">
        <v>0.7</v>
      </c>
      <c r="I18" s="42" t="s">
        <v>909</v>
      </c>
      <c r="J18">
        <v>63.2</v>
      </c>
      <c r="K18">
        <v>38.4</v>
      </c>
      <c r="L18">
        <v>83.7</v>
      </c>
      <c r="M18" s="42" t="s">
        <v>466</v>
      </c>
      <c r="N18" s="42" t="s">
        <v>910</v>
      </c>
      <c r="O18" s="98">
        <v>0</v>
      </c>
      <c r="P18" s="42" t="str">
        <f t="shared" si="6"/>
        <v>RWY</v>
      </c>
      <c r="Q18" s="40">
        <f t="shared" si="1"/>
        <v>3</v>
      </c>
      <c r="R18" s="40">
        <f t="shared" si="2"/>
        <v>4</v>
      </c>
      <c r="S18" s="40">
        <f t="shared" si="3"/>
        <v>3</v>
      </c>
      <c r="T18" s="40">
        <f t="shared" si="4"/>
        <v>1</v>
      </c>
      <c r="U18" s="91">
        <f>IF('AAA Summary'!$L$35=4, RANK(H18,H$8:H$82,1)+COUNTIF($H$8:H18,H18)-1, IF('AAA Summary'!$L$35=3, RANK(G18,G$8:G$82,1)+COUNTIF($G$8:G18,G18)-1, IF('AAA Summary'!$L$35=2, RANK(F18,F$8:F$82,1)+COUNTIF($F$8:F18,F18)-1, IF('AAA Summary'!$L$35=1, RANK(E18,E$8:E$82,1)+COUNTIF($E$8:E18,E18)-1))))</f>
        <v>9</v>
      </c>
      <c r="V18" s="54">
        <f>IF('AAA Summary'!$L$35=4, H18, IF('AAA Summary'!$L$35=3, G18, IF('AAA Summary'!$L$35=2, F18, IF('AAA Summary'!$L$35=1, E18))))</f>
        <v>0.7</v>
      </c>
      <c r="W18" s="25">
        <f t="shared" si="7"/>
        <v>24.800000000000004</v>
      </c>
      <c r="X18" s="25">
        <f t="shared" si="8"/>
        <v>20.5</v>
      </c>
      <c r="Y18" s="25">
        <v>80</v>
      </c>
      <c r="Z18" s="25">
        <v>45</v>
      </c>
      <c r="AA18" s="25">
        <v>27</v>
      </c>
      <c r="AB18" s="25">
        <v>84</v>
      </c>
      <c r="AC18" s="25">
        <f t="shared" si="5"/>
        <v>18</v>
      </c>
      <c r="AD18" s="25">
        <f t="shared" si="9"/>
        <v>39</v>
      </c>
      <c r="AE18" s="25">
        <v>56</v>
      </c>
      <c r="AF18">
        <v>6</v>
      </c>
      <c r="AG18" s="91">
        <f>IF('AAA Summary'!$L$4=2, J18, IF('AAA Summary'!$L$4=1, Z18))</f>
        <v>45</v>
      </c>
      <c r="AH18" s="91">
        <f>IF('AAA Summary'!$L$4=2, W18, IF('AAA Summary'!$L$4=1, AC18))</f>
        <v>18</v>
      </c>
      <c r="AI18" s="91">
        <f>IF('AAA Summary'!$L$4=2, X18, IF('AAA Summary'!$L$4=1, AD18))</f>
        <v>39</v>
      </c>
      <c r="AJ18" s="91">
        <f>IF('AAA Summary'!$L$4=2, Y18, IF('AAA Summary'!$L$4=1, AE18))</f>
        <v>56</v>
      </c>
      <c r="AK18" s="19">
        <v>0.63200000000000001</v>
      </c>
    </row>
    <row r="19" spans="1:37" x14ac:dyDescent="0.25">
      <c r="A19" t="s">
        <v>54</v>
      </c>
      <c r="B19" t="s">
        <v>55</v>
      </c>
      <c r="C19" s="96">
        <v>93</v>
      </c>
      <c r="D19" s="96">
        <v>55</v>
      </c>
      <c r="E19" s="97">
        <v>0.7</v>
      </c>
      <c r="F19" s="97">
        <v>0.99</v>
      </c>
      <c r="G19" s="97">
        <v>0.71</v>
      </c>
      <c r="H19" s="97">
        <v>0.84</v>
      </c>
      <c r="I19" s="42" t="s">
        <v>911</v>
      </c>
      <c r="J19">
        <v>30.8</v>
      </c>
      <c r="K19">
        <v>19.900000000000002</v>
      </c>
      <c r="L19">
        <v>43.4</v>
      </c>
      <c r="M19" s="42" t="s">
        <v>366</v>
      </c>
      <c r="N19" s="42" t="s">
        <v>321</v>
      </c>
      <c r="O19" s="98">
        <v>3.0000000000000001E-3</v>
      </c>
      <c r="P19" s="42" t="str">
        <f t="shared" si="6"/>
        <v>RGT</v>
      </c>
      <c r="Q19" s="40">
        <f t="shared" si="1"/>
        <v>1</v>
      </c>
      <c r="R19" s="40">
        <f t="shared" si="2"/>
        <v>3</v>
      </c>
      <c r="S19" s="40">
        <f t="shared" si="3"/>
        <v>1</v>
      </c>
      <c r="T19" s="40">
        <f t="shared" si="4"/>
        <v>2</v>
      </c>
      <c r="U19" s="91">
        <f>IF('AAA Summary'!$L$35=4, RANK(H19,H$8:H$82,1)+COUNTIF($H$8:H19,H19)-1, IF('AAA Summary'!$L$35=3, RANK(G19,G$8:G$82,1)+COUNTIF($G$8:G19,G19)-1, IF('AAA Summary'!$L$35=2, RANK(F19,F$8:F$82,1)+COUNTIF($F$8:F19,F19)-1, IF('AAA Summary'!$L$35=1, RANK(E19,E$8:E$82,1)+COUNTIF($E$8:E19,E19)-1))))</f>
        <v>24</v>
      </c>
      <c r="V19" s="54">
        <f>IF('AAA Summary'!$L$35=4, H19, IF('AAA Summary'!$L$35=3, G19, IF('AAA Summary'!$L$35=2, F19, IF('AAA Summary'!$L$35=1, E19))))</f>
        <v>0.84</v>
      </c>
      <c r="W19" s="25">
        <f t="shared" si="7"/>
        <v>10.899999999999999</v>
      </c>
      <c r="X19" s="25">
        <f t="shared" si="8"/>
        <v>12.599999999999998</v>
      </c>
      <c r="Y19" s="25">
        <v>80</v>
      </c>
      <c r="Z19" s="25">
        <v>77</v>
      </c>
      <c r="AA19" s="25">
        <v>42</v>
      </c>
      <c r="AB19" s="25">
        <v>128</v>
      </c>
      <c r="AC19" s="25">
        <f t="shared" si="5"/>
        <v>35</v>
      </c>
      <c r="AD19" s="25">
        <f t="shared" si="9"/>
        <v>51</v>
      </c>
      <c r="AE19" s="25">
        <v>56</v>
      </c>
      <c r="AF19">
        <v>50</v>
      </c>
      <c r="AG19" s="91">
        <f>IF('AAA Summary'!$L$4=2, J19, IF('AAA Summary'!$L$4=1, Z19))</f>
        <v>77</v>
      </c>
      <c r="AH19" s="91">
        <f>IF('AAA Summary'!$L$4=2, W19, IF('AAA Summary'!$L$4=1, AC19))</f>
        <v>35</v>
      </c>
      <c r="AI19" s="91">
        <f>IF('AAA Summary'!$L$4=2, X19, IF('AAA Summary'!$L$4=1, AD19))</f>
        <v>51</v>
      </c>
      <c r="AJ19" s="91">
        <f>IF('AAA Summary'!$L$4=2, Y19, IF('AAA Summary'!$L$4=1, AE19))</f>
        <v>56</v>
      </c>
      <c r="AK19" s="19">
        <v>0.308</v>
      </c>
    </row>
    <row r="20" spans="1:37" x14ac:dyDescent="0.25">
      <c r="A20" t="s">
        <v>5</v>
      </c>
      <c r="B20" t="s">
        <v>6</v>
      </c>
      <c r="C20" s="96">
        <v>21</v>
      </c>
      <c r="D20" s="96">
        <v>13</v>
      </c>
      <c r="E20" s="97">
        <v>1</v>
      </c>
      <c r="F20" s="97">
        <v>1</v>
      </c>
      <c r="G20" s="97">
        <v>1</v>
      </c>
      <c r="H20" s="97">
        <v>0.9</v>
      </c>
      <c r="I20" s="42" t="s">
        <v>912</v>
      </c>
      <c r="J20">
        <v>38.1</v>
      </c>
      <c r="K20">
        <v>18.099999999999998</v>
      </c>
      <c r="L20">
        <v>61.6</v>
      </c>
      <c r="M20" s="42" t="s">
        <v>454</v>
      </c>
      <c r="N20" s="42" t="s">
        <v>345</v>
      </c>
      <c r="O20" s="98">
        <v>5.5999999999999994E-2</v>
      </c>
      <c r="P20" s="42" t="str">
        <f t="shared" si="6"/>
        <v>7A4</v>
      </c>
      <c r="Q20" s="40">
        <f t="shared" si="1"/>
        <v>4</v>
      </c>
      <c r="R20" s="40">
        <f t="shared" si="2"/>
        <v>4</v>
      </c>
      <c r="S20" s="40">
        <f t="shared" si="3"/>
        <v>4</v>
      </c>
      <c r="T20" s="40">
        <f t="shared" si="4"/>
        <v>3</v>
      </c>
      <c r="U20" s="91">
        <f>IF('AAA Summary'!$L$35=4, RANK(H20,H$8:H$82,1)+COUNTIF($H$8:H20,H20)-1, IF('AAA Summary'!$L$35=3, RANK(G20,G$8:G$82,1)+COUNTIF($G$8:G20,G20)-1, IF('AAA Summary'!$L$35=2, RANK(F20,F$8:F$82,1)+COUNTIF($F$8:F20,F20)-1, IF('AAA Summary'!$L$35=1, RANK(E20,E$8:E$82,1)+COUNTIF($E$8:E20,E20)-1))))</f>
        <v>38</v>
      </c>
      <c r="V20" s="54">
        <f>IF('AAA Summary'!$L$35=4, H20, IF('AAA Summary'!$L$35=3, G20, IF('AAA Summary'!$L$35=2, F20, IF('AAA Summary'!$L$35=1, E20))))</f>
        <v>0.9</v>
      </c>
      <c r="W20" s="25">
        <f t="shared" si="7"/>
        <v>20.000000000000004</v>
      </c>
      <c r="X20" s="25">
        <f t="shared" si="8"/>
        <v>23.5</v>
      </c>
      <c r="Y20" s="25">
        <v>80</v>
      </c>
      <c r="Z20" s="25">
        <v>68</v>
      </c>
      <c r="AA20" s="25">
        <v>52</v>
      </c>
      <c r="AB20" s="25">
        <v>106</v>
      </c>
      <c r="AC20" s="25">
        <f t="shared" si="5"/>
        <v>16</v>
      </c>
      <c r="AD20" s="25">
        <f t="shared" si="9"/>
        <v>38</v>
      </c>
      <c r="AE20" s="25">
        <v>56</v>
      </c>
      <c r="AF20">
        <v>39</v>
      </c>
      <c r="AG20" s="91">
        <f>IF('AAA Summary'!$L$4=2, J20, IF('AAA Summary'!$L$4=1, Z20))</f>
        <v>68</v>
      </c>
      <c r="AH20" s="91">
        <f>IF('AAA Summary'!$L$4=2, W20, IF('AAA Summary'!$L$4=1, AC20))</f>
        <v>16</v>
      </c>
      <c r="AI20" s="91">
        <f>IF('AAA Summary'!$L$4=2, X20, IF('AAA Summary'!$L$4=1, AD20))</f>
        <v>38</v>
      </c>
      <c r="AJ20" s="91">
        <f>IF('AAA Summary'!$L$4=2, Y20, IF('AAA Summary'!$L$4=1, AE20))</f>
        <v>56</v>
      </c>
      <c r="AK20" s="19">
        <v>0.38100000000000001</v>
      </c>
    </row>
    <row r="21" spans="1:37" x14ac:dyDescent="0.25">
      <c r="A21" t="s">
        <v>81</v>
      </c>
      <c r="B21" t="s">
        <v>82</v>
      </c>
      <c r="C21" s="96">
        <v>48</v>
      </c>
      <c r="D21" s="96">
        <v>38</v>
      </c>
      <c r="E21" s="97">
        <v>0.88</v>
      </c>
      <c r="F21" s="97">
        <v>1</v>
      </c>
      <c r="G21" s="97">
        <v>0.93</v>
      </c>
      <c r="H21" s="97">
        <v>1</v>
      </c>
      <c r="I21" s="42" t="s">
        <v>913</v>
      </c>
      <c r="J21">
        <v>64.3</v>
      </c>
      <c r="K21">
        <v>48</v>
      </c>
      <c r="L21">
        <v>78.400000000000006</v>
      </c>
      <c r="M21" s="42" t="s">
        <v>275</v>
      </c>
      <c r="N21" s="42" t="s">
        <v>320</v>
      </c>
      <c r="O21" s="98">
        <v>2.7999999999999997E-2</v>
      </c>
      <c r="P21" s="42" t="str">
        <f t="shared" si="6"/>
        <v>RLN</v>
      </c>
      <c r="Q21" s="40">
        <f t="shared" si="1"/>
        <v>2</v>
      </c>
      <c r="R21" s="40">
        <f t="shared" si="2"/>
        <v>4</v>
      </c>
      <c r="S21" s="40">
        <f t="shared" si="3"/>
        <v>2</v>
      </c>
      <c r="T21" s="40">
        <f t="shared" si="4"/>
        <v>4</v>
      </c>
      <c r="U21" s="91">
        <f>IF('AAA Summary'!$L$35=4, RANK(H21,H$8:H$82,1)+COUNTIF($H$8:H21,H21)-1, IF('AAA Summary'!$L$35=3, RANK(G21,G$8:G$82,1)+COUNTIF($G$8:G21,G21)-1, IF('AAA Summary'!$L$35=2, RANK(F21,F$8:F$82,1)+COUNTIF($F$8:F21,F21)-1, IF('AAA Summary'!$L$35=1, RANK(E21,E$8:E$82,1)+COUNTIF($E$8:E21,E21)-1))))</f>
        <v>65</v>
      </c>
      <c r="V21" s="54">
        <f>IF('AAA Summary'!$L$35=4, H21, IF('AAA Summary'!$L$35=3, G21, IF('AAA Summary'!$L$35=2, F21, IF('AAA Summary'!$L$35=1, E21))))</f>
        <v>1</v>
      </c>
      <c r="W21" s="25">
        <f t="shared" si="7"/>
        <v>16.299999999999997</v>
      </c>
      <c r="X21" s="25">
        <f t="shared" si="8"/>
        <v>14.100000000000009</v>
      </c>
      <c r="Y21" s="25">
        <v>80</v>
      </c>
      <c r="Z21" s="25">
        <v>47</v>
      </c>
      <c r="AA21" s="25">
        <v>25</v>
      </c>
      <c r="AB21" s="25">
        <v>82</v>
      </c>
      <c r="AC21" s="25">
        <f t="shared" si="5"/>
        <v>22</v>
      </c>
      <c r="AD21" s="25">
        <f t="shared" si="9"/>
        <v>35</v>
      </c>
      <c r="AE21" s="25">
        <v>56</v>
      </c>
      <c r="AF21">
        <v>11</v>
      </c>
      <c r="AG21" s="91">
        <f>IF('AAA Summary'!$L$4=2, J21, IF('AAA Summary'!$L$4=1, Z21))</f>
        <v>47</v>
      </c>
      <c r="AH21" s="91">
        <f>IF('AAA Summary'!$L$4=2, W21, IF('AAA Summary'!$L$4=1, AC21))</f>
        <v>22</v>
      </c>
      <c r="AI21" s="91">
        <f>IF('AAA Summary'!$L$4=2, X21, IF('AAA Summary'!$L$4=1, AD21))</f>
        <v>35</v>
      </c>
      <c r="AJ21" s="91">
        <f>IF('AAA Summary'!$L$4=2, Y21, IF('AAA Summary'!$L$4=1, AE21))</f>
        <v>56</v>
      </c>
      <c r="AK21" s="19">
        <v>0.64300000000000002</v>
      </c>
    </row>
    <row r="22" spans="1:37" x14ac:dyDescent="0.25">
      <c r="A22" t="s">
        <v>72</v>
      </c>
      <c r="B22" t="s">
        <v>73</v>
      </c>
      <c r="C22" s="96">
        <v>72</v>
      </c>
      <c r="D22" s="96">
        <v>65</v>
      </c>
      <c r="E22" s="97">
        <v>0.97</v>
      </c>
      <c r="F22" s="97">
        <v>0.99</v>
      </c>
      <c r="G22" s="97">
        <v>0.97</v>
      </c>
      <c r="H22" s="97">
        <v>0.9</v>
      </c>
      <c r="I22" s="42" t="s">
        <v>914</v>
      </c>
      <c r="J22">
        <v>37.1</v>
      </c>
      <c r="K22">
        <v>25.900000000000002</v>
      </c>
      <c r="L22">
        <v>49.5</v>
      </c>
      <c r="M22" s="42" t="s">
        <v>915</v>
      </c>
      <c r="N22" s="42" t="s">
        <v>322</v>
      </c>
      <c r="O22" s="98">
        <v>1.3000000000000001E-2</v>
      </c>
      <c r="P22" s="42" t="str">
        <f t="shared" si="6"/>
        <v>RJR</v>
      </c>
      <c r="Q22" s="40">
        <f t="shared" si="1"/>
        <v>3</v>
      </c>
      <c r="R22" s="40">
        <f t="shared" si="2"/>
        <v>3</v>
      </c>
      <c r="S22" s="40">
        <f t="shared" si="3"/>
        <v>3</v>
      </c>
      <c r="T22" s="40">
        <f t="shared" si="4"/>
        <v>3</v>
      </c>
      <c r="U22" s="91">
        <f>IF('AAA Summary'!$L$35=4, RANK(H22,H$8:H$82,1)+COUNTIF($H$8:H22,H22)-1, IF('AAA Summary'!$L$35=3, RANK(G22,G$8:G$82,1)+COUNTIF($G$8:G22,G22)-1, IF('AAA Summary'!$L$35=2, RANK(F22,F$8:F$82,1)+COUNTIF($F$8:F22,F22)-1, IF('AAA Summary'!$L$35=1, RANK(E22,E$8:E$82,1)+COUNTIF($E$8:E22,E22)-1))))</f>
        <v>39</v>
      </c>
      <c r="V22" s="54">
        <f>IF('AAA Summary'!$L$35=4, H22, IF('AAA Summary'!$L$35=3, G22, IF('AAA Summary'!$L$35=2, F22, IF('AAA Summary'!$L$35=1, E22))))</f>
        <v>0.9</v>
      </c>
      <c r="W22" s="25">
        <f t="shared" si="7"/>
        <v>11.2</v>
      </c>
      <c r="X22" s="25">
        <f t="shared" si="8"/>
        <v>12.399999999999999</v>
      </c>
      <c r="Y22" s="25">
        <v>80</v>
      </c>
      <c r="Z22" s="25">
        <v>76</v>
      </c>
      <c r="AA22" s="25">
        <v>36</v>
      </c>
      <c r="AB22" s="25">
        <v>128</v>
      </c>
      <c r="AC22" s="25">
        <f t="shared" si="5"/>
        <v>40</v>
      </c>
      <c r="AD22" s="25">
        <f t="shared" si="9"/>
        <v>52</v>
      </c>
      <c r="AE22" s="25">
        <v>56</v>
      </c>
      <c r="AF22">
        <v>49</v>
      </c>
      <c r="AG22" s="91">
        <f>IF('AAA Summary'!$L$4=2, J22, IF('AAA Summary'!$L$4=1, Z22))</f>
        <v>76</v>
      </c>
      <c r="AH22" s="91">
        <f>IF('AAA Summary'!$L$4=2, W22, IF('AAA Summary'!$L$4=1, AC22))</f>
        <v>40</v>
      </c>
      <c r="AI22" s="91">
        <f>IF('AAA Summary'!$L$4=2, X22, IF('AAA Summary'!$L$4=1, AD22))</f>
        <v>52</v>
      </c>
      <c r="AJ22" s="91">
        <f>IF('AAA Summary'!$L$4=2, Y22, IF('AAA Summary'!$L$4=1, AE22))</f>
        <v>56</v>
      </c>
      <c r="AK22" s="19">
        <v>0.371</v>
      </c>
    </row>
    <row r="23" spans="1:37" x14ac:dyDescent="0.25">
      <c r="A23" t="s">
        <v>7</v>
      </c>
      <c r="B23" t="s">
        <v>616</v>
      </c>
      <c r="C23" s="96">
        <v>15</v>
      </c>
      <c r="D23" s="96">
        <v>9</v>
      </c>
      <c r="E23" s="97">
        <v>0.93</v>
      </c>
      <c r="F23" s="97">
        <v>0.93</v>
      </c>
      <c r="G23" s="97">
        <v>0.92</v>
      </c>
      <c r="H23" s="97">
        <v>0.93</v>
      </c>
      <c r="I23" s="42" t="s">
        <v>916</v>
      </c>
      <c r="J23">
        <v>28.599999999999998</v>
      </c>
      <c r="K23">
        <v>8.4</v>
      </c>
      <c r="L23">
        <v>58.099999999999994</v>
      </c>
      <c r="M23" s="42" t="s">
        <v>467</v>
      </c>
      <c r="N23" s="42" t="s">
        <v>349</v>
      </c>
      <c r="O23" s="98">
        <v>1.8000000000000002E-2</v>
      </c>
      <c r="P23" s="42" t="str">
        <f t="shared" si="6"/>
        <v>7A5</v>
      </c>
      <c r="Q23" s="40">
        <f t="shared" si="1"/>
        <v>2</v>
      </c>
      <c r="R23" s="40">
        <f t="shared" si="2"/>
        <v>1</v>
      </c>
      <c r="S23" s="40">
        <f t="shared" si="3"/>
        <v>2</v>
      </c>
      <c r="T23" s="40">
        <f t="shared" si="4"/>
        <v>3</v>
      </c>
      <c r="U23" s="91">
        <f>IF('AAA Summary'!$L$35=4, RANK(H23,H$8:H$82,1)+COUNTIF($H$8:H23,H23)-1, IF('AAA Summary'!$L$35=3, RANK(G23,G$8:G$82,1)+COUNTIF($G$8:G23,G23)-1, IF('AAA Summary'!$L$35=2, RANK(F23,F$8:F$82,1)+COUNTIF($F$8:F23,F23)-1, IF('AAA Summary'!$L$35=1, RANK(E23,E$8:E$82,1)+COUNTIF($E$8:E23,E23)-1))))</f>
        <v>49</v>
      </c>
      <c r="V23" s="54">
        <f>IF('AAA Summary'!$L$35=4, H23, IF('AAA Summary'!$L$35=3, G23, IF('AAA Summary'!$L$35=2, F23, IF('AAA Summary'!$L$35=1, E23))))</f>
        <v>0.93</v>
      </c>
      <c r="W23" s="25">
        <f t="shared" si="7"/>
        <v>20.199999999999996</v>
      </c>
      <c r="X23" s="25">
        <f t="shared" si="8"/>
        <v>29.499999999999996</v>
      </c>
      <c r="Y23" s="25">
        <v>80</v>
      </c>
      <c r="Z23" s="25">
        <v>111</v>
      </c>
      <c r="AA23" s="25">
        <v>42</v>
      </c>
      <c r="AB23" s="25">
        <v>148</v>
      </c>
      <c r="AC23" s="25">
        <f t="shared" si="5"/>
        <v>69</v>
      </c>
      <c r="AD23" s="25">
        <f t="shared" si="9"/>
        <v>37</v>
      </c>
      <c r="AE23" s="25">
        <v>56</v>
      </c>
      <c r="AF23">
        <v>69</v>
      </c>
      <c r="AG23" s="91">
        <f>IF('AAA Summary'!$L$4=2, J23, IF('AAA Summary'!$L$4=1, Z23))</f>
        <v>111</v>
      </c>
      <c r="AH23" s="91">
        <f>IF('AAA Summary'!$L$4=2, W23, IF('AAA Summary'!$L$4=1, AC23))</f>
        <v>69</v>
      </c>
      <c r="AI23" s="91">
        <f>IF('AAA Summary'!$L$4=2, X23, IF('AAA Summary'!$L$4=1, AD23))</f>
        <v>37</v>
      </c>
      <c r="AJ23" s="91">
        <f>IF('AAA Summary'!$L$4=2, Y23, IF('AAA Summary'!$L$4=1, AE23))</f>
        <v>56</v>
      </c>
      <c r="AK23" s="19">
        <v>0.28599999999999998</v>
      </c>
    </row>
    <row r="24" spans="1:37" x14ac:dyDescent="0.25">
      <c r="A24" t="s">
        <v>93</v>
      </c>
      <c r="B24" t="s">
        <v>617</v>
      </c>
      <c r="C24" s="96">
        <v>33</v>
      </c>
      <c r="D24" s="96">
        <v>18</v>
      </c>
      <c r="E24" s="97">
        <v>1</v>
      </c>
      <c r="F24" s="97">
        <v>0.94</v>
      </c>
      <c r="G24" s="97">
        <v>1</v>
      </c>
      <c r="H24" s="97">
        <v>0.88</v>
      </c>
      <c r="I24" s="42" t="s">
        <v>917</v>
      </c>
      <c r="J24">
        <v>51.5</v>
      </c>
      <c r="K24">
        <v>33.5</v>
      </c>
      <c r="L24">
        <v>69.199999999999989</v>
      </c>
      <c r="M24" s="42" t="s">
        <v>355</v>
      </c>
      <c r="N24" s="42" t="s">
        <v>321</v>
      </c>
      <c r="O24" s="98">
        <v>9.0000000000000011E-3</v>
      </c>
      <c r="P24" s="42" t="str">
        <f t="shared" si="6"/>
        <v>RP5</v>
      </c>
      <c r="Q24" s="40">
        <f t="shared" si="1"/>
        <v>4</v>
      </c>
      <c r="R24" s="40">
        <f t="shared" si="2"/>
        <v>1</v>
      </c>
      <c r="S24" s="40">
        <f t="shared" si="3"/>
        <v>4</v>
      </c>
      <c r="T24" s="40">
        <f t="shared" si="4"/>
        <v>2</v>
      </c>
      <c r="U24" s="91">
        <f>IF('AAA Summary'!$L$35=4, RANK(H24,H$8:H$82,1)+COUNTIF($H$8:H24,H24)-1, IF('AAA Summary'!$L$35=3, RANK(G24,G$8:G$82,1)+COUNTIF($G$8:G24,G24)-1, IF('AAA Summary'!$L$35=2, RANK(F24,F$8:F$82,1)+COUNTIF($F$8:F24,F24)-1, IF('AAA Summary'!$L$35=1, RANK(E24,E$8:E$82,1)+COUNTIF($E$8:E24,E24)-1))))</f>
        <v>31</v>
      </c>
      <c r="V24" s="54">
        <f>IF('AAA Summary'!$L$35=4, H24, IF('AAA Summary'!$L$35=3, G24, IF('AAA Summary'!$L$35=2, F24, IF('AAA Summary'!$L$35=1, E24))))</f>
        <v>0.88</v>
      </c>
      <c r="W24" s="25">
        <f t="shared" si="7"/>
        <v>18</v>
      </c>
      <c r="X24" s="25">
        <f t="shared" si="8"/>
        <v>17.699999999999989</v>
      </c>
      <c r="Y24" s="25">
        <v>80</v>
      </c>
      <c r="Z24" s="25">
        <v>56</v>
      </c>
      <c r="AA24" s="25">
        <v>35</v>
      </c>
      <c r="AB24" s="25">
        <v>110</v>
      </c>
      <c r="AC24" s="25">
        <f t="shared" si="5"/>
        <v>21</v>
      </c>
      <c r="AD24" s="25">
        <f t="shared" si="9"/>
        <v>54</v>
      </c>
      <c r="AE24" s="25">
        <v>56</v>
      </c>
      <c r="AF24">
        <v>24</v>
      </c>
      <c r="AG24" s="91">
        <f>IF('AAA Summary'!$L$4=2, J24, IF('AAA Summary'!$L$4=1, Z24))</f>
        <v>56</v>
      </c>
      <c r="AH24" s="91">
        <f>IF('AAA Summary'!$L$4=2, W24, IF('AAA Summary'!$L$4=1, AC24))</f>
        <v>21</v>
      </c>
      <c r="AI24" s="91">
        <f>IF('AAA Summary'!$L$4=2, X24, IF('AAA Summary'!$L$4=1, AD24))</f>
        <v>54</v>
      </c>
      <c r="AJ24" s="91">
        <f>IF('AAA Summary'!$L$4=2, Y24, IF('AAA Summary'!$L$4=1, AE24))</f>
        <v>56</v>
      </c>
      <c r="AK24" s="19">
        <v>0.51500000000000001</v>
      </c>
    </row>
    <row r="25" spans="1:37" x14ac:dyDescent="0.25">
      <c r="A25" t="s">
        <v>138</v>
      </c>
      <c r="B25" t="s">
        <v>139</v>
      </c>
      <c r="C25" s="96">
        <v>21</v>
      </c>
      <c r="D25" s="96">
        <v>13</v>
      </c>
      <c r="E25" s="97">
        <v>1</v>
      </c>
      <c r="F25" s="97">
        <v>1</v>
      </c>
      <c r="G25" s="97">
        <v>1</v>
      </c>
      <c r="H25" s="97">
        <v>0.9</v>
      </c>
      <c r="I25" s="42" t="s">
        <v>918</v>
      </c>
      <c r="J25">
        <v>42.9</v>
      </c>
      <c r="K25">
        <v>21.8</v>
      </c>
      <c r="L25">
        <v>66</v>
      </c>
      <c r="M25" s="42" t="s">
        <v>365</v>
      </c>
      <c r="N25" s="42" t="s">
        <v>295</v>
      </c>
      <c r="O25" s="98">
        <v>0</v>
      </c>
      <c r="P25" s="42" t="str">
        <f t="shared" si="6"/>
        <v>RWH</v>
      </c>
      <c r="Q25" s="40">
        <f t="shared" si="1"/>
        <v>4</v>
      </c>
      <c r="R25" s="40">
        <f t="shared" si="2"/>
        <v>4</v>
      </c>
      <c r="S25" s="40">
        <f t="shared" si="3"/>
        <v>4</v>
      </c>
      <c r="T25" s="40">
        <f t="shared" si="4"/>
        <v>3</v>
      </c>
      <c r="U25" s="91">
        <f>IF('AAA Summary'!$L$35=4, RANK(H25,H$8:H$82,1)+COUNTIF($H$8:H25,H25)-1, IF('AAA Summary'!$L$35=3, RANK(G25,G$8:G$82,1)+COUNTIF($G$8:G25,G25)-1, IF('AAA Summary'!$L$35=2, RANK(F25,F$8:F$82,1)+COUNTIF($F$8:F25,F25)-1, IF('AAA Summary'!$L$35=1, RANK(E25,E$8:E$82,1)+COUNTIF($E$8:E25,E25)-1))))</f>
        <v>40</v>
      </c>
      <c r="V25" s="54">
        <f>IF('AAA Summary'!$L$35=4, H25, IF('AAA Summary'!$L$35=3, G25, IF('AAA Summary'!$L$35=2, F25, IF('AAA Summary'!$L$35=1, E25))))</f>
        <v>0.9</v>
      </c>
      <c r="W25" s="25">
        <f t="shared" si="7"/>
        <v>21.099999999999998</v>
      </c>
      <c r="X25" s="25">
        <f t="shared" si="8"/>
        <v>23.1</v>
      </c>
      <c r="Y25" s="25">
        <v>80</v>
      </c>
      <c r="Z25" s="25">
        <v>67</v>
      </c>
      <c r="AA25" s="25">
        <v>35</v>
      </c>
      <c r="AB25" s="25">
        <v>95</v>
      </c>
      <c r="AC25" s="25">
        <f t="shared" si="5"/>
        <v>32</v>
      </c>
      <c r="AD25" s="25">
        <f t="shared" si="9"/>
        <v>28</v>
      </c>
      <c r="AE25" s="25">
        <v>56</v>
      </c>
      <c r="AF25">
        <v>37</v>
      </c>
      <c r="AG25" s="91">
        <f>IF('AAA Summary'!$L$4=2, J25, IF('AAA Summary'!$L$4=1, Z25))</f>
        <v>67</v>
      </c>
      <c r="AH25" s="91">
        <f>IF('AAA Summary'!$L$4=2, W25, IF('AAA Summary'!$L$4=1, AC25))</f>
        <v>32</v>
      </c>
      <c r="AI25" s="91">
        <f>IF('AAA Summary'!$L$4=2, X25, IF('AAA Summary'!$L$4=1, AD25))</f>
        <v>28</v>
      </c>
      <c r="AJ25" s="91">
        <f>IF('AAA Summary'!$L$4=2, Y25, IF('AAA Summary'!$L$4=1, AE25))</f>
        <v>56</v>
      </c>
      <c r="AK25" s="19">
        <v>0.42899999999999999</v>
      </c>
    </row>
    <row r="26" spans="1:37" x14ac:dyDescent="0.25">
      <c r="A26" t="s">
        <v>126</v>
      </c>
      <c r="B26" t="s">
        <v>127</v>
      </c>
      <c r="C26" s="96">
        <v>53</v>
      </c>
      <c r="D26" s="96">
        <v>28</v>
      </c>
      <c r="E26" s="97">
        <v>0.87</v>
      </c>
      <c r="F26" s="97">
        <v>0.98</v>
      </c>
      <c r="G26" s="97">
        <v>0.86</v>
      </c>
      <c r="H26" s="97">
        <v>0.6</v>
      </c>
      <c r="I26" s="42" t="s">
        <v>919</v>
      </c>
      <c r="J26">
        <v>60.9</v>
      </c>
      <c r="K26">
        <v>45.4</v>
      </c>
      <c r="L26">
        <v>74.900000000000006</v>
      </c>
      <c r="M26" s="42" t="s">
        <v>364</v>
      </c>
      <c r="N26" s="42" t="s">
        <v>320</v>
      </c>
      <c r="O26" s="98">
        <v>6.0000000000000001E-3</v>
      </c>
      <c r="P26" s="42" t="str">
        <f t="shared" si="6"/>
        <v>RVV</v>
      </c>
      <c r="Q26" s="40">
        <f t="shared" si="1"/>
        <v>1</v>
      </c>
      <c r="R26" s="40">
        <f t="shared" si="2"/>
        <v>2</v>
      </c>
      <c r="S26" s="40">
        <f t="shared" si="3"/>
        <v>1</v>
      </c>
      <c r="T26" s="40">
        <f t="shared" si="4"/>
        <v>1</v>
      </c>
      <c r="U26" s="91">
        <f>IF('AAA Summary'!$L$35=4, RANK(H26,H$8:H$82,1)+COUNTIF($H$8:H26,H26)-1, IF('AAA Summary'!$L$35=3, RANK(G26,G$8:G$82,1)+COUNTIF($G$8:G26,G26)-1, IF('AAA Summary'!$L$35=2, RANK(F26,F$8:F$82,1)+COUNTIF($F$8:F26,F26)-1, IF('AAA Summary'!$L$35=1, RANK(E26,E$8:E$82,1)+COUNTIF($E$8:E26,E26)-1))))</f>
        <v>6</v>
      </c>
      <c r="V26" s="54">
        <f>IF('AAA Summary'!$L$35=4, H26, IF('AAA Summary'!$L$35=3, G26, IF('AAA Summary'!$L$35=2, F26, IF('AAA Summary'!$L$35=1, E26))))</f>
        <v>0.6</v>
      </c>
      <c r="W26" s="25">
        <f t="shared" si="7"/>
        <v>15.5</v>
      </c>
      <c r="X26" s="25">
        <f t="shared" si="8"/>
        <v>14.000000000000007</v>
      </c>
      <c r="Y26" s="25">
        <v>80</v>
      </c>
      <c r="Z26" s="25">
        <v>47</v>
      </c>
      <c r="AA26" s="25">
        <v>30</v>
      </c>
      <c r="AB26" s="25">
        <v>85</v>
      </c>
      <c r="AC26" s="25">
        <f t="shared" si="5"/>
        <v>17</v>
      </c>
      <c r="AD26" s="25">
        <f t="shared" si="9"/>
        <v>38</v>
      </c>
      <c r="AE26" s="25">
        <v>56</v>
      </c>
      <c r="AF26">
        <v>13</v>
      </c>
      <c r="AG26" s="91">
        <f>IF('AAA Summary'!$L$4=2, J26, IF('AAA Summary'!$L$4=1, Z26))</f>
        <v>47</v>
      </c>
      <c r="AH26" s="91">
        <f>IF('AAA Summary'!$L$4=2, W26, IF('AAA Summary'!$L$4=1, AC26))</f>
        <v>17</v>
      </c>
      <c r="AI26" s="91">
        <f>IF('AAA Summary'!$L$4=2, X26, IF('AAA Summary'!$L$4=1, AD26))</f>
        <v>38</v>
      </c>
      <c r="AJ26" s="91">
        <f>IF('AAA Summary'!$L$4=2, Y26, IF('AAA Summary'!$L$4=1, AE26))</f>
        <v>56</v>
      </c>
      <c r="AK26" s="19">
        <v>0.60899999999999999</v>
      </c>
    </row>
    <row r="27" spans="1:37" x14ac:dyDescent="0.25">
      <c r="A27" t="s">
        <v>154</v>
      </c>
      <c r="B27" t="s">
        <v>155</v>
      </c>
      <c r="C27" s="96">
        <v>27</v>
      </c>
      <c r="D27" s="96">
        <v>16</v>
      </c>
      <c r="E27" s="97">
        <v>0.89</v>
      </c>
      <c r="F27" s="97">
        <v>0.96</v>
      </c>
      <c r="G27" s="97">
        <v>0.96</v>
      </c>
      <c r="H27" s="97">
        <v>0.78</v>
      </c>
      <c r="I27" s="42" t="s">
        <v>920</v>
      </c>
      <c r="J27">
        <v>66.7</v>
      </c>
      <c r="K27">
        <v>44.7</v>
      </c>
      <c r="L27">
        <v>84.399999999999991</v>
      </c>
      <c r="M27" s="42" t="s">
        <v>389</v>
      </c>
      <c r="N27" s="42" t="s">
        <v>309</v>
      </c>
      <c r="O27" s="98">
        <v>9.0000000000000011E-3</v>
      </c>
      <c r="P27" s="42" t="str">
        <f t="shared" si="6"/>
        <v>RXR</v>
      </c>
      <c r="Q27" s="40">
        <f t="shared" si="1"/>
        <v>2</v>
      </c>
      <c r="R27" s="40">
        <f t="shared" si="2"/>
        <v>1</v>
      </c>
      <c r="S27" s="40">
        <f t="shared" si="3"/>
        <v>3</v>
      </c>
      <c r="T27" s="40">
        <f t="shared" si="4"/>
        <v>1</v>
      </c>
      <c r="U27" s="91">
        <f>IF('AAA Summary'!$L$35=4, RANK(H27,H$8:H$82,1)+COUNTIF($H$8:H27,H27)-1, IF('AAA Summary'!$L$35=3, RANK(G27,G$8:G$82,1)+COUNTIF($G$8:G27,G27)-1, IF('AAA Summary'!$L$35=2, RANK(F27,F$8:F$82,1)+COUNTIF($F$8:F27,F27)-1, IF('AAA Summary'!$L$35=1, RANK(E27,E$8:E$82,1)+COUNTIF($E$8:E27,E27)-1))))</f>
        <v>17</v>
      </c>
      <c r="V27" s="54">
        <f>IF('AAA Summary'!$L$35=4, H27, IF('AAA Summary'!$L$35=3, G27, IF('AAA Summary'!$L$35=2, F27, IF('AAA Summary'!$L$35=1, E27))))</f>
        <v>0.78</v>
      </c>
      <c r="W27" s="25">
        <f t="shared" si="7"/>
        <v>22</v>
      </c>
      <c r="X27" s="25">
        <f t="shared" si="8"/>
        <v>17.699999999999989</v>
      </c>
      <c r="Y27" s="25">
        <v>80</v>
      </c>
      <c r="Z27" s="25">
        <v>53</v>
      </c>
      <c r="AA27" s="25">
        <v>39</v>
      </c>
      <c r="AB27" s="25">
        <v>77</v>
      </c>
      <c r="AC27" s="25">
        <f t="shared" si="5"/>
        <v>14</v>
      </c>
      <c r="AD27" s="25">
        <f t="shared" si="9"/>
        <v>24</v>
      </c>
      <c r="AE27" s="25">
        <v>56</v>
      </c>
      <c r="AF27">
        <v>19</v>
      </c>
      <c r="AG27" s="91">
        <f>IF('AAA Summary'!$L$4=2, J27, IF('AAA Summary'!$L$4=1, Z27))</f>
        <v>53</v>
      </c>
      <c r="AH27" s="91">
        <f>IF('AAA Summary'!$L$4=2, W27, IF('AAA Summary'!$L$4=1, AC27))</f>
        <v>14</v>
      </c>
      <c r="AI27" s="91">
        <f>IF('AAA Summary'!$L$4=2, X27, IF('AAA Summary'!$L$4=1, AD27))</f>
        <v>24</v>
      </c>
      <c r="AJ27" s="91">
        <f>IF('AAA Summary'!$L$4=2, Y27, IF('AAA Summary'!$L$4=1, AE27))</f>
        <v>56</v>
      </c>
      <c r="AK27" s="19">
        <v>0.66700000000000004</v>
      </c>
    </row>
    <row r="28" spans="1:37" x14ac:dyDescent="0.25">
      <c r="A28" t="s">
        <v>39</v>
      </c>
      <c r="B28" t="s">
        <v>215</v>
      </c>
      <c r="C28" s="96">
        <v>57</v>
      </c>
      <c r="D28" s="96">
        <v>48</v>
      </c>
      <c r="E28" s="97">
        <v>0.96</v>
      </c>
      <c r="F28" s="97">
        <v>0.98</v>
      </c>
      <c r="G28" s="97">
        <v>0.96</v>
      </c>
      <c r="H28" s="97">
        <v>0.91</v>
      </c>
      <c r="I28" s="42" t="s">
        <v>921</v>
      </c>
      <c r="J28">
        <v>23.599999999999998</v>
      </c>
      <c r="K28">
        <v>13.200000000000001</v>
      </c>
      <c r="L28">
        <v>37</v>
      </c>
      <c r="M28" s="42" t="s">
        <v>922</v>
      </c>
      <c r="N28" s="42" t="s">
        <v>468</v>
      </c>
      <c r="O28" s="98">
        <v>2.2000000000000002E-2</v>
      </c>
      <c r="P28" s="42" t="str">
        <f t="shared" si="6"/>
        <v>RDE</v>
      </c>
      <c r="Q28" s="40">
        <f t="shared" si="1"/>
        <v>3</v>
      </c>
      <c r="R28" s="40">
        <f t="shared" si="2"/>
        <v>2</v>
      </c>
      <c r="S28" s="40">
        <f t="shared" si="3"/>
        <v>3</v>
      </c>
      <c r="T28" s="40">
        <f t="shared" si="4"/>
        <v>3</v>
      </c>
      <c r="U28" s="91">
        <f>IF('AAA Summary'!$L$35=4, RANK(H28,H$8:H$82,1)+COUNTIF($H$8:H28,H28)-1, IF('AAA Summary'!$L$35=3, RANK(G28,G$8:G$82,1)+COUNTIF($G$8:G28,G28)-1, IF('AAA Summary'!$L$35=2, RANK(F28,F$8:F$82,1)+COUNTIF($F$8:F28,F28)-1, IF('AAA Summary'!$L$35=1, RANK(E28,E$8:E$82,1)+COUNTIF($E$8:E28,E28)-1))))</f>
        <v>43</v>
      </c>
      <c r="V28" s="54">
        <f>IF('AAA Summary'!$L$35=4, H28, IF('AAA Summary'!$L$35=3, G28, IF('AAA Summary'!$L$35=2, F28, IF('AAA Summary'!$L$35=1, E28))))</f>
        <v>0.91</v>
      </c>
      <c r="W28" s="25">
        <f t="shared" si="7"/>
        <v>10.399999999999997</v>
      </c>
      <c r="X28" s="25">
        <f t="shared" si="8"/>
        <v>13.400000000000002</v>
      </c>
      <c r="Y28" s="25">
        <v>80</v>
      </c>
      <c r="Z28" s="25">
        <v>122</v>
      </c>
      <c r="AA28" s="25">
        <v>65</v>
      </c>
      <c r="AB28" s="25">
        <v>190</v>
      </c>
      <c r="AC28" s="25">
        <f t="shared" si="5"/>
        <v>57</v>
      </c>
      <c r="AD28" s="25">
        <f t="shared" si="9"/>
        <v>68</v>
      </c>
      <c r="AE28" s="25">
        <v>56</v>
      </c>
      <c r="AF28">
        <v>71</v>
      </c>
      <c r="AG28" s="91">
        <f>IF('AAA Summary'!$L$4=2, J28, IF('AAA Summary'!$L$4=1, Z28))</f>
        <v>122</v>
      </c>
      <c r="AH28" s="91">
        <f>IF('AAA Summary'!$L$4=2, W28, IF('AAA Summary'!$L$4=1, AC28))</f>
        <v>57</v>
      </c>
      <c r="AI28" s="91">
        <f>IF('AAA Summary'!$L$4=2, X28, IF('AAA Summary'!$L$4=1, AD28))</f>
        <v>68</v>
      </c>
      <c r="AJ28" s="91">
        <f>IF('AAA Summary'!$L$4=2, Y28, IF('AAA Summary'!$L$4=1, AE28))</f>
        <v>56</v>
      </c>
      <c r="AK28" s="19">
        <v>0.23599999999999999</v>
      </c>
    </row>
    <row r="29" spans="1:37" x14ac:dyDescent="0.25">
      <c r="A29" t="s">
        <v>40</v>
      </c>
      <c r="B29" t="s">
        <v>41</v>
      </c>
      <c r="C29" s="96">
        <v>59</v>
      </c>
      <c r="D29" s="96">
        <v>33</v>
      </c>
      <c r="E29" s="97">
        <v>0.98</v>
      </c>
      <c r="F29" s="97">
        <v>0.95</v>
      </c>
      <c r="G29" s="97">
        <v>0.98</v>
      </c>
      <c r="H29" s="97">
        <v>0.98</v>
      </c>
      <c r="I29" s="42" t="s">
        <v>923</v>
      </c>
      <c r="J29">
        <v>56.899999999999991</v>
      </c>
      <c r="K29">
        <v>43.2</v>
      </c>
      <c r="L29">
        <v>69.8</v>
      </c>
      <c r="M29" s="42" t="s">
        <v>359</v>
      </c>
      <c r="N29" s="42" t="s">
        <v>320</v>
      </c>
      <c r="O29" s="98">
        <v>2.7999999999999997E-2</v>
      </c>
      <c r="P29" s="42" t="str">
        <f t="shared" si="6"/>
        <v>RDU</v>
      </c>
      <c r="Q29" s="40">
        <f t="shared" si="1"/>
        <v>4</v>
      </c>
      <c r="R29" s="40">
        <f t="shared" si="2"/>
        <v>1</v>
      </c>
      <c r="S29" s="40">
        <f t="shared" si="3"/>
        <v>3</v>
      </c>
      <c r="T29" s="40">
        <f t="shared" si="4"/>
        <v>4</v>
      </c>
      <c r="U29" s="91">
        <f>IF('AAA Summary'!$L$35=4, RANK(H29,H$8:H$82,1)+COUNTIF($H$8:H29,H29)-1, IF('AAA Summary'!$L$35=3, RANK(G29,G$8:G$82,1)+COUNTIF($G$8:G29,G29)-1, IF('AAA Summary'!$L$35=2, RANK(F29,F$8:F$82,1)+COUNTIF($F$8:F29,F29)-1, IF('AAA Summary'!$L$35=1, RANK(E29,E$8:E$82,1)+COUNTIF($E$8:E29,E29)-1))))</f>
        <v>62</v>
      </c>
      <c r="V29" s="54">
        <f>IF('AAA Summary'!$L$35=4, H29, IF('AAA Summary'!$L$35=3, G29, IF('AAA Summary'!$L$35=2, F29, IF('AAA Summary'!$L$35=1, E29))))</f>
        <v>0.98</v>
      </c>
      <c r="W29" s="25">
        <f t="shared" si="7"/>
        <v>13.699999999999989</v>
      </c>
      <c r="X29" s="25">
        <f t="shared" si="8"/>
        <v>12.900000000000006</v>
      </c>
      <c r="Y29" s="25">
        <v>80</v>
      </c>
      <c r="Z29" s="25">
        <v>45</v>
      </c>
      <c r="AA29" s="25">
        <v>28</v>
      </c>
      <c r="AB29" s="25">
        <v>90</v>
      </c>
      <c r="AC29" s="25">
        <f>Z29-AA29</f>
        <v>17</v>
      </c>
      <c r="AD29" s="25">
        <f t="shared" si="9"/>
        <v>45</v>
      </c>
      <c r="AE29" s="25">
        <v>56</v>
      </c>
      <c r="AF29">
        <v>7</v>
      </c>
      <c r="AG29" s="91">
        <f>IF('AAA Summary'!$L$4=2, J29, IF('AAA Summary'!$L$4=1, Z29))</f>
        <v>45</v>
      </c>
      <c r="AH29" s="91">
        <f>IF('AAA Summary'!$L$4=2, W29, IF('AAA Summary'!$L$4=1, AC29))</f>
        <v>17</v>
      </c>
      <c r="AI29" s="91">
        <f>IF('AAA Summary'!$L$4=2, X29, IF('AAA Summary'!$L$4=1, AD29))</f>
        <v>45</v>
      </c>
      <c r="AJ29" s="91">
        <f>IF('AAA Summary'!$L$4=2, Y29, IF('AAA Summary'!$L$4=1, AE29))</f>
        <v>56</v>
      </c>
      <c r="AK29" s="19">
        <v>0.56899999999999995</v>
      </c>
    </row>
    <row r="30" spans="1:37" x14ac:dyDescent="0.25">
      <c r="A30" t="s">
        <v>115</v>
      </c>
      <c r="B30" t="s">
        <v>116</v>
      </c>
      <c r="C30" s="96">
        <v>51</v>
      </c>
      <c r="D30" s="96">
        <v>22</v>
      </c>
      <c r="E30" s="97">
        <v>0.76</v>
      </c>
      <c r="F30" s="97">
        <v>0.98</v>
      </c>
      <c r="G30" s="97">
        <v>0.77</v>
      </c>
      <c r="H30" s="97">
        <v>0.73</v>
      </c>
      <c r="I30" s="42" t="s">
        <v>924</v>
      </c>
      <c r="J30">
        <v>82.1</v>
      </c>
      <c r="K30">
        <v>66.5</v>
      </c>
      <c r="L30">
        <v>92.5</v>
      </c>
      <c r="M30" s="42" t="s">
        <v>352</v>
      </c>
      <c r="N30" s="42" t="s">
        <v>295</v>
      </c>
      <c r="O30" s="98">
        <v>6.0000000000000001E-3</v>
      </c>
      <c r="P30" s="42" t="str">
        <f t="shared" si="6"/>
        <v>RTE</v>
      </c>
      <c r="Q30" s="40">
        <f t="shared" si="1"/>
        <v>1</v>
      </c>
      <c r="R30" s="40">
        <f t="shared" si="2"/>
        <v>2</v>
      </c>
      <c r="S30" s="40">
        <f t="shared" si="3"/>
        <v>1</v>
      </c>
      <c r="T30" s="40">
        <f t="shared" si="4"/>
        <v>1</v>
      </c>
      <c r="U30" s="91">
        <f>IF('AAA Summary'!$L$35=4, RANK(H30,H$8:H$82,1)+COUNTIF($H$8:H30,H30)-1, IF('AAA Summary'!$L$35=3, RANK(G30,G$8:G$82,1)+COUNTIF($G$8:G30,G30)-1, IF('AAA Summary'!$L$35=2, RANK(F30,F$8:F$82,1)+COUNTIF($F$8:F30,F30)-1, IF('AAA Summary'!$L$35=1, RANK(E30,E$8:E$82,1)+COUNTIF($E$8:E30,E30)-1))))</f>
        <v>12</v>
      </c>
      <c r="V30" s="54">
        <f>IF('AAA Summary'!$L$35=4, H30, IF('AAA Summary'!$L$35=3, G30, IF('AAA Summary'!$L$35=2, F30, IF('AAA Summary'!$L$35=1, E30))))</f>
        <v>0.73</v>
      </c>
      <c r="W30" s="25">
        <f t="shared" si="7"/>
        <v>15.599999999999994</v>
      </c>
      <c r="X30" s="25">
        <f t="shared" si="8"/>
        <v>10.400000000000006</v>
      </c>
      <c r="Y30" s="25">
        <v>80</v>
      </c>
      <c r="Z30" s="25">
        <v>35</v>
      </c>
      <c r="AA30" s="25">
        <v>22</v>
      </c>
      <c r="AB30" s="25">
        <v>49</v>
      </c>
      <c r="AC30" s="25">
        <f t="shared" ref="AC30:AC82" si="10">Z30-AA30</f>
        <v>13</v>
      </c>
      <c r="AD30" s="25">
        <f t="shared" si="9"/>
        <v>14</v>
      </c>
      <c r="AE30" s="25">
        <v>56</v>
      </c>
      <c r="AF30">
        <v>2</v>
      </c>
      <c r="AG30" s="91">
        <f>IF('AAA Summary'!$L$4=2, J30, IF('AAA Summary'!$L$4=1, Z30))</f>
        <v>35</v>
      </c>
      <c r="AH30" s="91">
        <f>IF('AAA Summary'!$L$4=2, W30, IF('AAA Summary'!$L$4=1, AC30))</f>
        <v>13</v>
      </c>
      <c r="AI30" s="91">
        <f>IF('AAA Summary'!$L$4=2, X30, IF('AAA Summary'!$L$4=1, AD30))</f>
        <v>14</v>
      </c>
      <c r="AJ30" s="91">
        <f>IF('AAA Summary'!$L$4=2, Y30, IF('AAA Summary'!$L$4=1, AE30))</f>
        <v>56</v>
      </c>
      <c r="AK30" s="19">
        <v>0.82099999999999995</v>
      </c>
    </row>
    <row r="31" spans="1:37" x14ac:dyDescent="0.25">
      <c r="A31" t="s">
        <v>66</v>
      </c>
      <c r="B31" t="s">
        <v>67</v>
      </c>
      <c r="C31" s="96">
        <v>101</v>
      </c>
      <c r="D31" s="96">
        <v>70</v>
      </c>
      <c r="E31" s="97">
        <v>0.62</v>
      </c>
      <c r="F31" s="97">
        <v>0.93</v>
      </c>
      <c r="G31" s="97">
        <v>0.65</v>
      </c>
      <c r="H31" s="97">
        <v>0.43</v>
      </c>
      <c r="I31" s="42" t="s">
        <v>925</v>
      </c>
      <c r="J31">
        <v>34.9</v>
      </c>
      <c r="K31">
        <v>23.3</v>
      </c>
      <c r="L31">
        <v>48</v>
      </c>
      <c r="M31" s="42" t="s">
        <v>365</v>
      </c>
      <c r="N31" s="42" t="s">
        <v>349</v>
      </c>
      <c r="O31" s="98">
        <v>3.0000000000000001E-3</v>
      </c>
      <c r="P31" s="42" t="str">
        <f t="shared" si="6"/>
        <v>RJ1</v>
      </c>
      <c r="Q31" s="40">
        <f t="shared" si="1"/>
        <v>1</v>
      </c>
      <c r="R31" s="40">
        <f t="shared" si="2"/>
        <v>1</v>
      </c>
      <c r="S31" s="40">
        <f t="shared" si="3"/>
        <v>1</v>
      </c>
      <c r="T31" s="40">
        <f t="shared" si="4"/>
        <v>1</v>
      </c>
      <c r="U31" s="91">
        <f>IF('AAA Summary'!$L$35=4, RANK(H31,H$8:H$82,1)+COUNTIF($H$8:H31,H31)-1, IF('AAA Summary'!$L$35=3, RANK(G31,G$8:G$82,1)+COUNTIF($G$8:G31,G31)-1, IF('AAA Summary'!$L$35=2, RANK(F31,F$8:F$82,1)+COUNTIF($F$8:F31,F31)-1, IF('AAA Summary'!$L$35=1, RANK(E31,E$8:E$82,1)+COUNTIF($E$8:E31,E31)-1))))</f>
        <v>4</v>
      </c>
      <c r="V31" s="54">
        <f>IF('AAA Summary'!$L$35=4, H31, IF('AAA Summary'!$L$35=3, G31, IF('AAA Summary'!$L$35=2, F31, IF('AAA Summary'!$L$35=1, E31))))</f>
        <v>0.43</v>
      </c>
      <c r="W31" s="25">
        <f t="shared" si="7"/>
        <v>11.599999999999998</v>
      </c>
      <c r="X31" s="25">
        <f t="shared" si="8"/>
        <v>13.100000000000001</v>
      </c>
      <c r="Y31" s="25">
        <v>80</v>
      </c>
      <c r="Z31" s="25">
        <v>73</v>
      </c>
      <c r="AA31" s="25">
        <v>46</v>
      </c>
      <c r="AB31" s="25">
        <v>138</v>
      </c>
      <c r="AC31" s="25">
        <f t="shared" si="10"/>
        <v>27</v>
      </c>
      <c r="AD31" s="25">
        <f t="shared" si="9"/>
        <v>65</v>
      </c>
      <c r="AE31" s="25">
        <v>56</v>
      </c>
      <c r="AF31">
        <v>43</v>
      </c>
      <c r="AG31" s="91">
        <f>IF('AAA Summary'!$L$4=2, J31, IF('AAA Summary'!$L$4=1, Z31))</f>
        <v>73</v>
      </c>
      <c r="AH31" s="91">
        <f>IF('AAA Summary'!$L$4=2, W31, IF('AAA Summary'!$L$4=1, AC31))</f>
        <v>27</v>
      </c>
      <c r="AI31" s="91">
        <f>IF('AAA Summary'!$L$4=2, X31, IF('AAA Summary'!$L$4=1, AD31))</f>
        <v>65</v>
      </c>
      <c r="AJ31" s="91">
        <f>IF('AAA Summary'!$L$4=2, Y31, IF('AAA Summary'!$L$4=1, AE31))</f>
        <v>56</v>
      </c>
      <c r="AK31" s="19">
        <v>0.34899999999999998</v>
      </c>
    </row>
    <row r="32" spans="1:37" x14ac:dyDescent="0.25">
      <c r="A32" t="s">
        <v>130</v>
      </c>
      <c r="B32" t="s">
        <v>618</v>
      </c>
      <c r="C32" s="96">
        <v>50</v>
      </c>
      <c r="D32" s="96">
        <v>31</v>
      </c>
      <c r="E32" s="97">
        <v>0.96</v>
      </c>
      <c r="F32" s="97">
        <v>0</v>
      </c>
      <c r="G32" s="97">
        <v>0.96</v>
      </c>
      <c r="H32" s="97">
        <v>0.98</v>
      </c>
      <c r="I32" s="42" t="s">
        <v>926</v>
      </c>
      <c r="J32">
        <v>45.800000000000004</v>
      </c>
      <c r="K32">
        <v>31.4</v>
      </c>
      <c r="L32">
        <v>60.8</v>
      </c>
      <c r="M32" s="42" t="s">
        <v>457</v>
      </c>
      <c r="N32" s="42" t="s">
        <v>242</v>
      </c>
      <c r="O32" s="98">
        <v>0</v>
      </c>
      <c r="P32" s="42" t="str">
        <f t="shared" si="6"/>
        <v>RWA</v>
      </c>
      <c r="Q32" s="40">
        <f t="shared" si="1"/>
        <v>3</v>
      </c>
      <c r="R32" s="40">
        <f t="shared" si="2"/>
        <v>1</v>
      </c>
      <c r="S32" s="40">
        <f t="shared" si="3"/>
        <v>3</v>
      </c>
      <c r="T32" s="40">
        <f t="shared" si="4"/>
        <v>4</v>
      </c>
      <c r="U32" s="91">
        <f>IF('AAA Summary'!$L$35=4, RANK(H32,H$8:H$82,1)+COUNTIF($H$8:H32,H32)-1, IF('AAA Summary'!$L$35=3, RANK(G32,G$8:G$82,1)+COUNTIF($G$8:G32,G32)-1, IF('AAA Summary'!$L$35=2, RANK(F32,F$8:F$82,1)+COUNTIF($F$8:F32,F32)-1, IF('AAA Summary'!$L$35=1, RANK(E32,E$8:E$82,1)+COUNTIF($E$8:E32,E32)-1))))</f>
        <v>63</v>
      </c>
      <c r="V32" s="54">
        <f>IF('AAA Summary'!$L$35=4, H32, IF('AAA Summary'!$L$35=3, G32, IF('AAA Summary'!$L$35=2, F32, IF('AAA Summary'!$L$35=1, E32))))</f>
        <v>0.98</v>
      </c>
      <c r="W32" s="25">
        <f t="shared" si="7"/>
        <v>14.400000000000006</v>
      </c>
      <c r="X32" s="25">
        <f t="shared" si="8"/>
        <v>14.999999999999993</v>
      </c>
      <c r="Y32" s="25">
        <v>80</v>
      </c>
      <c r="Z32" s="25">
        <v>63</v>
      </c>
      <c r="AA32" s="25">
        <v>37</v>
      </c>
      <c r="AB32" s="25">
        <v>110</v>
      </c>
      <c r="AC32" s="25">
        <f t="shared" si="10"/>
        <v>26</v>
      </c>
      <c r="AD32" s="25">
        <f t="shared" si="9"/>
        <v>47</v>
      </c>
      <c r="AE32" s="25">
        <v>56</v>
      </c>
      <c r="AF32">
        <v>33</v>
      </c>
      <c r="AG32" s="91">
        <f>IF('AAA Summary'!$L$4=2, J32, IF('AAA Summary'!$L$4=1, Z32))</f>
        <v>63</v>
      </c>
      <c r="AH32" s="91">
        <f>IF('AAA Summary'!$L$4=2, W32, IF('AAA Summary'!$L$4=1, AC32))</f>
        <v>26</v>
      </c>
      <c r="AI32" s="91">
        <f>IF('AAA Summary'!$L$4=2, X32, IF('AAA Summary'!$L$4=1, AD32))</f>
        <v>47</v>
      </c>
      <c r="AJ32" s="91">
        <f>IF('AAA Summary'!$L$4=2, Y32, IF('AAA Summary'!$L$4=1, AE32))</f>
        <v>56</v>
      </c>
      <c r="AK32" s="19">
        <v>0.45800000000000002</v>
      </c>
    </row>
    <row r="33" spans="1:37" x14ac:dyDescent="0.25">
      <c r="A33" t="s">
        <v>158</v>
      </c>
      <c r="B33" t="s">
        <v>159</v>
      </c>
      <c r="C33" s="96">
        <v>32</v>
      </c>
      <c r="D33" s="96">
        <v>23</v>
      </c>
      <c r="E33" s="97">
        <v>0.28000000000000003</v>
      </c>
      <c r="F33" s="97">
        <v>1</v>
      </c>
      <c r="G33" s="97">
        <v>0.31</v>
      </c>
      <c r="H33" s="97">
        <v>0.28000000000000003</v>
      </c>
      <c r="I33" s="42" t="s">
        <v>927</v>
      </c>
      <c r="J33" t="e">
        <v>#VALUE!</v>
      </c>
      <c r="K33" t="e">
        <v>#N/A</v>
      </c>
      <c r="L33" t="e">
        <v>#N/A</v>
      </c>
      <c r="M33" s="42" t="s">
        <v>354</v>
      </c>
      <c r="N33" s="42" t="s">
        <v>928</v>
      </c>
      <c r="O33" s="98">
        <v>0</v>
      </c>
      <c r="P33" s="42" t="str">
        <f t="shared" si="6"/>
        <v>RYJ</v>
      </c>
      <c r="Q33" s="40">
        <f t="shared" si="1"/>
        <v>1</v>
      </c>
      <c r="R33" s="40">
        <f t="shared" si="2"/>
        <v>4</v>
      </c>
      <c r="S33" s="40">
        <f t="shared" si="3"/>
        <v>1</v>
      </c>
      <c r="T33" s="40">
        <f t="shared" si="4"/>
        <v>1</v>
      </c>
      <c r="U33" s="91">
        <f>IF('AAA Summary'!$L$35=4, RANK(H33,H$8:H$82,1)+COUNTIF($H$8:H33,H33)-1, IF('AAA Summary'!$L$35=3, RANK(G33,G$8:G$82,1)+COUNTIF($G$8:G33,G33)-1, IF('AAA Summary'!$L$35=2, RANK(F33,F$8:F$82,1)+COUNTIF($F$8:F33,F33)-1, IF('AAA Summary'!$L$35=1, RANK(E33,E$8:E$82,1)+COUNTIF($E$8:E33,E33)-1))))</f>
        <v>2</v>
      </c>
      <c r="V33" s="54">
        <f>IF('AAA Summary'!$L$35=4, H33, IF('AAA Summary'!$L$35=3, G33, IF('AAA Summary'!$L$35=2, F33, IF('AAA Summary'!$L$35=1, E33))))</f>
        <v>0.28000000000000003</v>
      </c>
      <c r="W33" s="25" t="e">
        <f t="shared" si="7"/>
        <v>#VALUE!</v>
      </c>
      <c r="X33" s="25" t="e">
        <f t="shared" si="8"/>
        <v>#N/A</v>
      </c>
      <c r="Y33" s="25">
        <v>80</v>
      </c>
      <c r="Z33" s="25">
        <v>30</v>
      </c>
      <c r="AA33" s="25">
        <v>11</v>
      </c>
      <c r="AB33" s="25">
        <v>76</v>
      </c>
      <c r="AC33" s="25">
        <f t="shared" si="10"/>
        <v>19</v>
      </c>
      <c r="AD33" s="25">
        <f t="shared" si="9"/>
        <v>46</v>
      </c>
      <c r="AE33" s="25">
        <v>56</v>
      </c>
      <c r="AF33">
        <v>1</v>
      </c>
      <c r="AG33" s="91">
        <f>IF('AAA Summary'!$L$4=2, J33, IF('AAA Summary'!$L$4=1, Z33))</f>
        <v>30</v>
      </c>
      <c r="AH33" s="91">
        <f>IF('AAA Summary'!$L$4=2, W33, IF('AAA Summary'!$L$4=1, AC33))</f>
        <v>19</v>
      </c>
      <c r="AI33" s="91">
        <f>IF('AAA Summary'!$L$4=2, X33, IF('AAA Summary'!$L$4=1, AD33))</f>
        <v>46</v>
      </c>
      <c r="AJ33" s="91">
        <f>IF('AAA Summary'!$L$4=2, Y33, IF('AAA Summary'!$L$4=1, AE33))</f>
        <v>56</v>
      </c>
      <c r="AK33" s="19" t="s">
        <v>399</v>
      </c>
    </row>
    <row r="34" spans="1:37" x14ac:dyDescent="0.25">
      <c r="A34" t="s">
        <v>74</v>
      </c>
      <c r="B34" t="s">
        <v>75</v>
      </c>
      <c r="C34" s="96">
        <v>5</v>
      </c>
      <c r="D34" s="96">
        <v>4</v>
      </c>
      <c r="E34" s="97">
        <v>1</v>
      </c>
      <c r="F34" s="97">
        <v>1</v>
      </c>
      <c r="G34" s="97">
        <v>1</v>
      </c>
      <c r="H34" s="97">
        <v>1</v>
      </c>
      <c r="I34" s="42" t="s">
        <v>384</v>
      </c>
      <c r="J34" t="e">
        <v>#VALUE!</v>
      </c>
      <c r="K34" t="e">
        <v>#N/A</v>
      </c>
      <c r="L34" t="e">
        <v>#N/A</v>
      </c>
      <c r="M34" s="42" t="s">
        <v>384</v>
      </c>
      <c r="N34" s="42" t="s">
        <v>384</v>
      </c>
      <c r="O34" s="98">
        <v>5.7000000000000002E-2</v>
      </c>
      <c r="P34" s="42" t="str">
        <f t="shared" si="6"/>
        <v>RJZ</v>
      </c>
      <c r="Q34" s="40">
        <f t="shared" si="1"/>
        <v>4</v>
      </c>
      <c r="R34" s="40">
        <f t="shared" si="2"/>
        <v>4</v>
      </c>
      <c r="S34" s="40">
        <f t="shared" si="3"/>
        <v>4</v>
      </c>
      <c r="T34" s="40">
        <f t="shared" si="4"/>
        <v>4</v>
      </c>
      <c r="U34" s="91">
        <f>IF('AAA Summary'!$L$35=4, RANK(H34,H$8:H$82,1)+COUNTIF($H$8:H34,H34)-1, IF('AAA Summary'!$L$35=3, RANK(G34,G$8:G$82,1)+COUNTIF($G$8:G34,G34)-1, IF('AAA Summary'!$L$35=2, RANK(F34,F$8:F$82,1)+COUNTIF($F$8:F34,F34)-1, IF('AAA Summary'!$L$35=1, RANK(E34,E$8:E$82,1)+COUNTIF($E$8:E34,E34)-1))))</f>
        <v>66</v>
      </c>
      <c r="V34" s="54">
        <f>IF('AAA Summary'!$L$35=4, H34, IF('AAA Summary'!$L$35=3, G34, IF('AAA Summary'!$L$35=2, F34, IF('AAA Summary'!$L$35=1, E34))))</f>
        <v>1</v>
      </c>
      <c r="W34" s="25" t="e">
        <f t="shared" si="7"/>
        <v>#VALUE!</v>
      </c>
      <c r="X34" s="25" t="e">
        <f t="shared" si="8"/>
        <v>#N/A</v>
      </c>
      <c r="Y34" s="25">
        <v>80</v>
      </c>
      <c r="Z34" s="25" t="s">
        <v>384</v>
      </c>
      <c r="AA34" s="25" t="e">
        <v>#VALUE!</v>
      </c>
      <c r="AB34" s="25" t="e">
        <v>#VALUE!</v>
      </c>
      <c r="AC34" s="25" t="e">
        <f t="shared" si="10"/>
        <v>#VALUE!</v>
      </c>
      <c r="AD34" s="25" t="e">
        <f t="shared" si="9"/>
        <v>#VALUE!</v>
      </c>
      <c r="AE34" s="25">
        <v>56</v>
      </c>
      <c r="AF34">
        <v>73</v>
      </c>
      <c r="AG34" s="91" t="str">
        <f>IF('AAA Summary'!$L$4=2, J34, IF('AAA Summary'!$L$4=1, Z34))</f>
        <v>N/A</v>
      </c>
      <c r="AH34" s="91" t="e">
        <f>IF('AAA Summary'!$L$4=2, W34, IF('AAA Summary'!$L$4=1, AC34))</f>
        <v>#VALUE!</v>
      </c>
      <c r="AI34" s="91" t="e">
        <f>IF('AAA Summary'!$L$4=2, X34, IF('AAA Summary'!$L$4=1, AD34))</f>
        <v>#VALUE!</v>
      </c>
      <c r="AJ34" s="91">
        <f>IF('AAA Summary'!$L$4=2, Y34, IF('AAA Summary'!$L$4=1, AE34))</f>
        <v>56</v>
      </c>
      <c r="AK34" s="19" t="s">
        <v>399</v>
      </c>
    </row>
    <row r="35" spans="1:37" x14ac:dyDescent="0.25">
      <c r="A35" t="s">
        <v>150</v>
      </c>
      <c r="B35" t="s">
        <v>151</v>
      </c>
      <c r="C35" s="96">
        <v>84</v>
      </c>
      <c r="D35" s="96">
        <v>57</v>
      </c>
      <c r="E35" s="97">
        <v>0.96</v>
      </c>
      <c r="F35" s="97">
        <v>1</v>
      </c>
      <c r="G35" s="97">
        <v>0.96</v>
      </c>
      <c r="H35" s="97">
        <v>0.95</v>
      </c>
      <c r="I35" s="42" t="s">
        <v>929</v>
      </c>
      <c r="J35">
        <v>18.5</v>
      </c>
      <c r="K35">
        <v>10.8</v>
      </c>
      <c r="L35">
        <v>28.7</v>
      </c>
      <c r="M35" s="42" t="s">
        <v>325</v>
      </c>
      <c r="N35" s="42" t="s">
        <v>295</v>
      </c>
      <c r="O35" s="98">
        <v>9.0000000000000011E-3</v>
      </c>
      <c r="P35" s="42" t="str">
        <f t="shared" si="6"/>
        <v>RXN</v>
      </c>
      <c r="Q35" s="40">
        <f t="shared" si="1"/>
        <v>3</v>
      </c>
      <c r="R35" s="40">
        <f t="shared" si="2"/>
        <v>4</v>
      </c>
      <c r="S35" s="40">
        <f t="shared" si="3"/>
        <v>3</v>
      </c>
      <c r="T35" s="40">
        <f t="shared" si="4"/>
        <v>3</v>
      </c>
      <c r="U35" s="91">
        <f>IF('AAA Summary'!$L$35=4, RANK(H35,H$8:H$82,1)+COUNTIF($H$8:H35,H35)-1, IF('AAA Summary'!$L$35=3, RANK(G35,G$8:G$82,1)+COUNTIF($G$8:G35,G35)-1, IF('AAA Summary'!$L$35=2, RANK(F35,F$8:F$82,1)+COUNTIF($F$8:F35,F35)-1, IF('AAA Summary'!$L$35=1, RANK(E35,E$8:E$82,1)+COUNTIF($E$8:E35,E35)-1))))</f>
        <v>53</v>
      </c>
      <c r="V35" s="54">
        <f>IF('AAA Summary'!$L$35=4, H35, IF('AAA Summary'!$L$35=3, G35, IF('AAA Summary'!$L$35=2, F35, IF('AAA Summary'!$L$35=1, E35))))</f>
        <v>0.95</v>
      </c>
      <c r="W35" s="25">
        <f t="shared" si="7"/>
        <v>7.6999999999999993</v>
      </c>
      <c r="X35" s="25">
        <f t="shared" si="8"/>
        <v>10.199999999999999</v>
      </c>
      <c r="Y35" s="25">
        <v>80</v>
      </c>
      <c r="Z35" s="25">
        <v>96</v>
      </c>
      <c r="AA35" s="25">
        <v>68</v>
      </c>
      <c r="AB35" s="25">
        <v>131</v>
      </c>
      <c r="AC35" s="25">
        <f t="shared" si="10"/>
        <v>28</v>
      </c>
      <c r="AD35" s="25">
        <f t="shared" si="9"/>
        <v>35</v>
      </c>
      <c r="AE35" s="25">
        <v>56</v>
      </c>
      <c r="AF35">
        <v>66</v>
      </c>
      <c r="AG35" s="91">
        <f>IF('AAA Summary'!$L$4=2, J35, IF('AAA Summary'!$L$4=1, Z35))</f>
        <v>96</v>
      </c>
      <c r="AH35" s="91">
        <f>IF('AAA Summary'!$L$4=2, W35, IF('AAA Summary'!$L$4=1, AC35))</f>
        <v>28</v>
      </c>
      <c r="AI35" s="91">
        <f>IF('AAA Summary'!$L$4=2, X35, IF('AAA Summary'!$L$4=1, AD35))</f>
        <v>35</v>
      </c>
      <c r="AJ35" s="91">
        <f>IF('AAA Summary'!$L$4=2, Y35, IF('AAA Summary'!$L$4=1, AE35))</f>
        <v>56</v>
      </c>
      <c r="AK35" s="19">
        <v>0.185</v>
      </c>
    </row>
    <row r="36" spans="1:37" x14ac:dyDescent="0.25">
      <c r="A36" t="s">
        <v>105</v>
      </c>
      <c r="B36" t="s">
        <v>106</v>
      </c>
      <c r="C36" s="96">
        <v>34</v>
      </c>
      <c r="D36" s="96">
        <v>22</v>
      </c>
      <c r="E36" s="97">
        <v>0.71</v>
      </c>
      <c r="F36" s="97">
        <v>1</v>
      </c>
      <c r="G36" s="97">
        <v>0.7</v>
      </c>
      <c r="H36" s="97">
        <v>0.76</v>
      </c>
      <c r="I36" s="42" t="s">
        <v>930</v>
      </c>
      <c r="J36">
        <v>58.3</v>
      </c>
      <c r="K36">
        <v>36.6</v>
      </c>
      <c r="L36">
        <v>77.900000000000006</v>
      </c>
      <c r="M36" s="42" t="s">
        <v>458</v>
      </c>
      <c r="N36" s="42" t="s">
        <v>254</v>
      </c>
      <c r="O36" s="98">
        <v>6.0000000000000001E-3</v>
      </c>
      <c r="P36" s="42" t="str">
        <f t="shared" si="6"/>
        <v>RR8</v>
      </c>
      <c r="Q36" s="40">
        <f t="shared" si="1"/>
        <v>1</v>
      </c>
      <c r="R36" s="40">
        <f t="shared" si="2"/>
        <v>4</v>
      </c>
      <c r="S36" s="40">
        <f t="shared" si="3"/>
        <v>1</v>
      </c>
      <c r="T36" s="40">
        <f t="shared" si="4"/>
        <v>1</v>
      </c>
      <c r="U36" s="91">
        <f>IF('AAA Summary'!$L$35=4, RANK(H36,H$8:H$82,1)+COUNTIF($H$8:H36,H36)-1, IF('AAA Summary'!$L$35=3, RANK(G36,G$8:G$82,1)+COUNTIF($G$8:G36,G36)-1, IF('AAA Summary'!$L$35=2, RANK(F36,F$8:F$82,1)+COUNTIF($F$8:F36,F36)-1, IF('AAA Summary'!$L$35=1, RANK(E36,E$8:E$82,1)+COUNTIF($E$8:E36,E36)-1))))</f>
        <v>14</v>
      </c>
      <c r="V36" s="54">
        <f>IF('AAA Summary'!$L$35=4, H36, IF('AAA Summary'!$L$35=3, G36, IF('AAA Summary'!$L$35=2, F36, IF('AAA Summary'!$L$35=1, E36))))</f>
        <v>0.76</v>
      </c>
      <c r="W36" s="25">
        <f t="shared" si="7"/>
        <v>21.699999999999996</v>
      </c>
      <c r="X36" s="25">
        <f t="shared" si="8"/>
        <v>19.600000000000009</v>
      </c>
      <c r="Y36" s="25">
        <v>80</v>
      </c>
      <c r="Z36" s="25">
        <v>40</v>
      </c>
      <c r="AA36" s="25">
        <v>27</v>
      </c>
      <c r="AB36" s="25">
        <v>66</v>
      </c>
      <c r="AC36" s="25">
        <f t="shared" si="10"/>
        <v>13</v>
      </c>
      <c r="AD36" s="25">
        <f t="shared" si="9"/>
        <v>26</v>
      </c>
      <c r="AE36" s="25">
        <v>56</v>
      </c>
      <c r="AF36">
        <v>4</v>
      </c>
      <c r="AG36" s="91">
        <f>IF('AAA Summary'!$L$4=2, J36, IF('AAA Summary'!$L$4=1, Z36))</f>
        <v>40</v>
      </c>
      <c r="AH36" s="91">
        <f>IF('AAA Summary'!$L$4=2, W36, IF('AAA Summary'!$L$4=1, AC36))</f>
        <v>13</v>
      </c>
      <c r="AI36" s="91">
        <f>IF('AAA Summary'!$L$4=2, X36, IF('AAA Summary'!$L$4=1, AD36))</f>
        <v>26</v>
      </c>
      <c r="AJ36" s="91">
        <f>IF('AAA Summary'!$L$4=2, Y36, IF('AAA Summary'!$L$4=1, AE36))</f>
        <v>56</v>
      </c>
      <c r="AK36" s="19">
        <v>0.58299999999999996</v>
      </c>
    </row>
    <row r="37" spans="1:37" x14ac:dyDescent="0.25">
      <c r="A37" t="s">
        <v>46</v>
      </c>
      <c r="B37" t="s">
        <v>619</v>
      </c>
      <c r="C37" s="96">
        <v>70</v>
      </c>
      <c r="D37" s="96">
        <v>33</v>
      </c>
      <c r="E37" s="97">
        <v>0.9</v>
      </c>
      <c r="F37" s="97">
        <v>0.99</v>
      </c>
      <c r="G37" s="97">
        <v>0.89</v>
      </c>
      <c r="H37" s="97">
        <v>0.77</v>
      </c>
      <c r="I37" s="42" t="s">
        <v>931</v>
      </c>
      <c r="J37">
        <v>23.799999999999997</v>
      </c>
      <c r="K37">
        <v>14.000000000000002</v>
      </c>
      <c r="L37">
        <v>36.199999999999996</v>
      </c>
      <c r="M37" s="42" t="s">
        <v>325</v>
      </c>
      <c r="N37" s="42" t="s">
        <v>320</v>
      </c>
      <c r="O37" s="98">
        <v>1.1000000000000001E-2</v>
      </c>
      <c r="P37" s="42" t="str">
        <f t="shared" si="6"/>
        <v>REM</v>
      </c>
      <c r="Q37" s="40">
        <f t="shared" si="1"/>
        <v>2</v>
      </c>
      <c r="R37" s="40">
        <f t="shared" si="2"/>
        <v>3</v>
      </c>
      <c r="S37" s="40">
        <f t="shared" si="3"/>
        <v>2</v>
      </c>
      <c r="T37" s="40">
        <f t="shared" si="4"/>
        <v>1</v>
      </c>
      <c r="U37" s="91">
        <f>IF('AAA Summary'!$L$35=4, RANK(H37,H$8:H$82,1)+COUNTIF($H$8:H37,H37)-1, IF('AAA Summary'!$L$35=3, RANK(G37,G$8:G$82,1)+COUNTIF($G$8:G37,G37)-1, IF('AAA Summary'!$L$35=2, RANK(F37,F$8:F$82,1)+COUNTIF($F$8:F37,F37)-1, IF('AAA Summary'!$L$35=1, RANK(E37,E$8:E$82,1)+COUNTIF($E$8:E37,E37)-1))))</f>
        <v>16</v>
      </c>
      <c r="V37" s="54">
        <f>IF('AAA Summary'!$L$35=4, H37, IF('AAA Summary'!$L$35=3, G37, IF('AAA Summary'!$L$35=2, F37, IF('AAA Summary'!$L$35=1, E37))))</f>
        <v>0.77</v>
      </c>
      <c r="W37" s="25">
        <f t="shared" si="7"/>
        <v>9.7999999999999954</v>
      </c>
      <c r="X37" s="25">
        <f t="shared" si="8"/>
        <v>12.399999999999999</v>
      </c>
      <c r="Y37" s="25">
        <v>80</v>
      </c>
      <c r="Z37" s="25">
        <v>128</v>
      </c>
      <c r="AA37" s="25">
        <v>57</v>
      </c>
      <c r="AB37" s="25">
        <v>186</v>
      </c>
      <c r="AC37" s="25">
        <f t="shared" si="10"/>
        <v>71</v>
      </c>
      <c r="AD37" s="25">
        <f t="shared" si="9"/>
        <v>58</v>
      </c>
      <c r="AE37" s="25">
        <v>56</v>
      </c>
      <c r="AF37">
        <v>72</v>
      </c>
      <c r="AG37" s="91">
        <f>IF('AAA Summary'!$L$4=2, J37, IF('AAA Summary'!$L$4=1, Z37))</f>
        <v>128</v>
      </c>
      <c r="AH37" s="91">
        <f>IF('AAA Summary'!$L$4=2, W37, IF('AAA Summary'!$L$4=1, AC37))</f>
        <v>71</v>
      </c>
      <c r="AI37" s="91">
        <f>IF('AAA Summary'!$L$4=2, X37, IF('AAA Summary'!$L$4=1, AD37))</f>
        <v>58</v>
      </c>
      <c r="AJ37" s="91">
        <f>IF('AAA Summary'!$L$4=2, Y37, IF('AAA Summary'!$L$4=1, AE37))</f>
        <v>56</v>
      </c>
      <c r="AK37" s="19">
        <v>0.23799999999999999</v>
      </c>
    </row>
    <row r="38" spans="1:37" x14ac:dyDescent="0.25">
      <c r="A38" t="s">
        <v>15</v>
      </c>
      <c r="B38" t="s">
        <v>620</v>
      </c>
      <c r="C38" s="96">
        <v>20</v>
      </c>
      <c r="D38" s="96">
        <v>17</v>
      </c>
      <c r="E38" s="97">
        <v>0.85</v>
      </c>
      <c r="F38" s="97">
        <v>0.9</v>
      </c>
      <c r="G38" s="97">
        <v>0.82</v>
      </c>
      <c r="H38" s="97">
        <v>0.8</v>
      </c>
      <c r="I38" s="42" t="s">
        <v>932</v>
      </c>
      <c r="J38">
        <v>58.8</v>
      </c>
      <c r="K38">
        <v>32.9</v>
      </c>
      <c r="L38">
        <v>81.599999999999994</v>
      </c>
      <c r="M38" s="42" t="s">
        <v>384</v>
      </c>
      <c r="N38" s="42" t="s">
        <v>295</v>
      </c>
      <c r="O38" s="98">
        <v>1.2E-2</v>
      </c>
      <c r="P38" s="42" t="str">
        <f t="shared" si="6"/>
        <v>R1K</v>
      </c>
      <c r="Q38" s="40">
        <f t="shared" si="1"/>
        <v>1</v>
      </c>
      <c r="R38" s="40">
        <f t="shared" si="2"/>
        <v>1</v>
      </c>
      <c r="S38" s="40">
        <f t="shared" si="3"/>
        <v>1</v>
      </c>
      <c r="T38" s="40">
        <f t="shared" si="4"/>
        <v>2</v>
      </c>
      <c r="U38" s="91">
        <f>IF('AAA Summary'!$L$35=4, RANK(H38,H$8:H$82,1)+COUNTIF($H$8:H38,H38)-1, IF('AAA Summary'!$L$35=3, RANK(G38,G$8:G$82,1)+COUNTIF($G$8:G38,G38)-1, IF('AAA Summary'!$L$35=2, RANK(F38,F$8:F$82,1)+COUNTIF($F$8:F38,F38)-1, IF('AAA Summary'!$L$35=1, RANK(E38,E$8:E$82,1)+COUNTIF($E$8:E38,E38)-1))))</f>
        <v>21</v>
      </c>
      <c r="V38" s="54">
        <f>IF('AAA Summary'!$L$35=4, H38, IF('AAA Summary'!$L$35=3, G38, IF('AAA Summary'!$L$35=2, F38, IF('AAA Summary'!$L$35=1, E38))))</f>
        <v>0.8</v>
      </c>
      <c r="W38" s="25">
        <f t="shared" si="7"/>
        <v>25.9</v>
      </c>
      <c r="X38" s="25">
        <f t="shared" si="8"/>
        <v>22.799999999999997</v>
      </c>
      <c r="Y38" s="25">
        <v>80</v>
      </c>
      <c r="Z38" s="25">
        <v>46</v>
      </c>
      <c r="AA38" s="25">
        <v>32</v>
      </c>
      <c r="AB38" s="25">
        <v>102</v>
      </c>
      <c r="AC38" s="25">
        <f t="shared" si="10"/>
        <v>14</v>
      </c>
      <c r="AD38" s="25">
        <f t="shared" si="9"/>
        <v>56</v>
      </c>
      <c r="AE38" s="25">
        <v>56</v>
      </c>
      <c r="AF38">
        <v>10</v>
      </c>
      <c r="AG38" s="91">
        <f>IF('AAA Summary'!$L$4=2, J38, IF('AAA Summary'!$L$4=1, Z38))</f>
        <v>46</v>
      </c>
      <c r="AH38" s="91">
        <f>IF('AAA Summary'!$L$4=2, W38, IF('AAA Summary'!$L$4=1, AC38))</f>
        <v>14</v>
      </c>
      <c r="AI38" s="91">
        <f>IF('AAA Summary'!$L$4=2, X38, IF('AAA Summary'!$L$4=1, AD38))</f>
        <v>56</v>
      </c>
      <c r="AJ38" s="91">
        <f>IF('AAA Summary'!$L$4=2, Y38, IF('AAA Summary'!$L$4=1, AE38))</f>
        <v>56</v>
      </c>
      <c r="AK38" s="19">
        <v>0.58799999999999997</v>
      </c>
    </row>
    <row r="39" spans="1:37" x14ac:dyDescent="0.25">
      <c r="A39" t="s">
        <v>11</v>
      </c>
      <c r="B39" t="s">
        <v>12</v>
      </c>
      <c r="C39" s="96">
        <v>79</v>
      </c>
      <c r="D39" s="96">
        <v>42</v>
      </c>
      <c r="E39" s="97">
        <v>0.96</v>
      </c>
      <c r="F39" s="97">
        <v>1</v>
      </c>
      <c r="G39" s="97">
        <v>0.97</v>
      </c>
      <c r="H39" s="97">
        <v>0.91</v>
      </c>
      <c r="I39" s="42" t="s">
        <v>933</v>
      </c>
      <c r="J39">
        <v>32.9</v>
      </c>
      <c r="K39">
        <v>22.5</v>
      </c>
      <c r="L39">
        <v>44.6</v>
      </c>
      <c r="M39" s="42" t="s">
        <v>325</v>
      </c>
      <c r="N39" s="42" t="s">
        <v>243</v>
      </c>
      <c r="O39" s="98">
        <v>6.9999999999999993E-3</v>
      </c>
      <c r="P39" s="42" t="str">
        <f t="shared" si="6"/>
        <v>R0A</v>
      </c>
      <c r="Q39" s="40">
        <f t="shared" si="1"/>
        <v>3</v>
      </c>
      <c r="R39" s="40">
        <f t="shared" si="2"/>
        <v>4</v>
      </c>
      <c r="S39" s="40">
        <f t="shared" si="3"/>
        <v>3</v>
      </c>
      <c r="T39" s="40">
        <f t="shared" si="4"/>
        <v>3</v>
      </c>
      <c r="U39" s="91">
        <f>IF('AAA Summary'!$L$35=4, RANK(H39,H$8:H$82,1)+COUNTIF($H$8:H39,H39)-1, IF('AAA Summary'!$L$35=3, RANK(G39,G$8:G$82,1)+COUNTIF($G$8:G39,G39)-1, IF('AAA Summary'!$L$35=2, RANK(F39,F$8:F$82,1)+COUNTIF($F$8:F39,F39)-1, IF('AAA Summary'!$L$35=1, RANK(E39,E$8:E$82,1)+COUNTIF($E$8:E39,E39)-1))))</f>
        <v>44</v>
      </c>
      <c r="V39" s="54">
        <f>IF('AAA Summary'!$L$35=4, H39, IF('AAA Summary'!$L$35=3, G39, IF('AAA Summary'!$L$35=2, F39, IF('AAA Summary'!$L$35=1, E39))))</f>
        <v>0.91</v>
      </c>
      <c r="W39" s="25">
        <f t="shared" si="7"/>
        <v>10.399999999999999</v>
      </c>
      <c r="X39" s="25">
        <f t="shared" si="8"/>
        <v>11.700000000000003</v>
      </c>
      <c r="Y39" s="25">
        <v>80</v>
      </c>
      <c r="Z39" s="25">
        <v>80</v>
      </c>
      <c r="AA39" s="25">
        <v>42</v>
      </c>
      <c r="AB39" s="25">
        <v>124</v>
      </c>
      <c r="AC39" s="25">
        <f t="shared" si="10"/>
        <v>38</v>
      </c>
      <c r="AD39" s="25">
        <f t="shared" si="9"/>
        <v>44</v>
      </c>
      <c r="AE39" s="25">
        <v>56</v>
      </c>
      <c r="AF39">
        <v>53</v>
      </c>
      <c r="AG39" s="91">
        <f>IF('AAA Summary'!$L$4=2, J39, IF('AAA Summary'!$L$4=1, Z39))</f>
        <v>80</v>
      </c>
      <c r="AH39" s="91">
        <f>IF('AAA Summary'!$L$4=2, W39, IF('AAA Summary'!$L$4=1, AC39))</f>
        <v>38</v>
      </c>
      <c r="AI39" s="91">
        <f>IF('AAA Summary'!$L$4=2, X39, IF('AAA Summary'!$L$4=1, AD39))</f>
        <v>44</v>
      </c>
      <c r="AJ39" s="91">
        <f>IF('AAA Summary'!$L$4=2, Y39, IF('AAA Summary'!$L$4=1, AE39))</f>
        <v>56</v>
      </c>
      <c r="AK39" s="19">
        <v>0.32900000000000001</v>
      </c>
    </row>
    <row r="40" spans="1:37" x14ac:dyDescent="0.25">
      <c r="A40" t="s">
        <v>95</v>
      </c>
      <c r="B40" t="s">
        <v>96</v>
      </c>
      <c r="C40" s="96">
        <v>21</v>
      </c>
      <c r="D40" s="96">
        <v>17</v>
      </c>
      <c r="E40" s="97">
        <v>1</v>
      </c>
      <c r="F40" s="97">
        <v>1</v>
      </c>
      <c r="G40" s="97">
        <v>1</v>
      </c>
      <c r="H40" s="97">
        <v>1</v>
      </c>
      <c r="I40" s="42" t="s">
        <v>934</v>
      </c>
      <c r="J40">
        <v>4.8</v>
      </c>
      <c r="K40">
        <v>0.1</v>
      </c>
      <c r="L40">
        <v>23.799999999999997</v>
      </c>
      <c r="M40" s="42" t="s">
        <v>384</v>
      </c>
      <c r="N40" s="42" t="s">
        <v>322</v>
      </c>
      <c r="O40" s="98">
        <v>1.6E-2</v>
      </c>
      <c r="P40" s="42" t="str">
        <f t="shared" si="6"/>
        <v>RPA</v>
      </c>
      <c r="Q40" s="40">
        <f t="shared" ref="Q40:Q71" si="11">+IF(E40&lt;E$2,1,IF(E40&lt;E$3,2,IF(E40&lt;E$4,3,4)))</f>
        <v>4</v>
      </c>
      <c r="R40" s="40">
        <f t="shared" ref="R40:R71" si="12">+IF(F40&lt;F$2,1,IF(F40&lt;F$3,2,IF(F40&lt;F$4,3,4)))</f>
        <v>4</v>
      </c>
      <c r="S40" s="40">
        <f t="shared" ref="S40:S71" si="13">+IF(G40&lt;G$2,1,IF(G40&lt;G$3,2,IF(G40&lt;G$4,3,4)))</f>
        <v>4</v>
      </c>
      <c r="T40" s="40">
        <f t="shared" si="4"/>
        <v>4</v>
      </c>
      <c r="U40" s="91">
        <f>IF('AAA Summary'!$L$35=4, RANK(H40,H$8:H$82,1)+COUNTIF($H$8:H40,H40)-1, IF('AAA Summary'!$L$35=3, RANK(G40,G$8:G$82,1)+COUNTIF($G$8:G40,G40)-1, IF('AAA Summary'!$L$35=2, RANK(F40,F$8:F$82,1)+COUNTIF($F$8:F40,F40)-1, IF('AAA Summary'!$L$35=1, RANK(E40,E$8:E$82,1)+COUNTIF($E$8:E40,E40)-1))))</f>
        <v>67</v>
      </c>
      <c r="V40" s="54">
        <f>IF('AAA Summary'!$L$35=4, H40, IF('AAA Summary'!$L$35=3, G40, IF('AAA Summary'!$L$35=2, F40, IF('AAA Summary'!$L$35=1, E40))))</f>
        <v>1</v>
      </c>
      <c r="W40" s="25">
        <f t="shared" si="7"/>
        <v>4.7</v>
      </c>
      <c r="X40" s="25">
        <f t="shared" si="8"/>
        <v>18.999999999999996</v>
      </c>
      <c r="Y40" s="25">
        <v>80</v>
      </c>
      <c r="Z40" s="25">
        <v>103</v>
      </c>
      <c r="AA40" s="25">
        <v>83</v>
      </c>
      <c r="AB40" s="25">
        <v>167</v>
      </c>
      <c r="AC40" s="25">
        <f t="shared" si="10"/>
        <v>20</v>
      </c>
      <c r="AD40" s="25">
        <f t="shared" si="9"/>
        <v>64</v>
      </c>
      <c r="AE40" s="25">
        <v>56</v>
      </c>
      <c r="AF40">
        <v>67</v>
      </c>
      <c r="AG40" s="91">
        <f>IF('AAA Summary'!$L$4=2, J40, IF('AAA Summary'!$L$4=1, Z40))</f>
        <v>103</v>
      </c>
      <c r="AH40" s="91">
        <f>IF('AAA Summary'!$L$4=2, W40, IF('AAA Summary'!$L$4=1, AC40))</f>
        <v>20</v>
      </c>
      <c r="AI40" s="91">
        <f>IF('AAA Summary'!$L$4=2, X40, IF('AAA Summary'!$L$4=1, AD40))</f>
        <v>64</v>
      </c>
      <c r="AJ40" s="91">
        <f>IF('AAA Summary'!$L$4=2, Y40, IF('AAA Summary'!$L$4=1, AE40))</f>
        <v>56</v>
      </c>
      <c r="AK40" s="19">
        <v>4.8000000000000001E-2</v>
      </c>
    </row>
    <row r="41" spans="1:37" x14ac:dyDescent="0.25">
      <c r="A41" t="s">
        <v>99</v>
      </c>
      <c r="B41" t="s">
        <v>100</v>
      </c>
      <c r="C41" s="96">
        <v>27</v>
      </c>
      <c r="D41" s="96">
        <v>19</v>
      </c>
      <c r="E41" s="97">
        <v>0.96</v>
      </c>
      <c r="F41" s="97">
        <v>0.96</v>
      </c>
      <c r="G41" s="97">
        <v>0.96</v>
      </c>
      <c r="H41" s="97">
        <v>0.96</v>
      </c>
      <c r="I41" s="42" t="s">
        <v>935</v>
      </c>
      <c r="J41">
        <v>53.800000000000004</v>
      </c>
      <c r="K41">
        <v>33.4</v>
      </c>
      <c r="L41">
        <v>73.400000000000006</v>
      </c>
      <c r="M41" s="42" t="s">
        <v>275</v>
      </c>
      <c r="N41" s="42" t="s">
        <v>349</v>
      </c>
      <c r="O41" s="98">
        <v>0.03</v>
      </c>
      <c r="P41" s="42" t="str">
        <f t="shared" si="6"/>
        <v>RQ8</v>
      </c>
      <c r="Q41" s="40">
        <f t="shared" si="11"/>
        <v>3</v>
      </c>
      <c r="R41" s="40">
        <f t="shared" si="12"/>
        <v>1</v>
      </c>
      <c r="S41" s="40">
        <f t="shared" si="13"/>
        <v>3</v>
      </c>
      <c r="T41" s="40">
        <f t="shared" si="4"/>
        <v>4</v>
      </c>
      <c r="U41" s="91">
        <f>IF('AAA Summary'!$L$35=4, RANK(H41,H$8:H$82,1)+COUNTIF($H$8:H41,H41)-1, IF('AAA Summary'!$L$35=3, RANK(G41,G$8:G$82,1)+COUNTIF($G$8:G41,G41)-1, IF('AAA Summary'!$L$35=2, RANK(F41,F$8:F$82,1)+COUNTIF($F$8:F41,F41)-1, IF('AAA Summary'!$L$35=1, RANK(E41,E$8:E$82,1)+COUNTIF($E$8:E41,E41)-1))))</f>
        <v>58</v>
      </c>
      <c r="V41" s="54">
        <f>IF('AAA Summary'!$L$35=4, H41, IF('AAA Summary'!$L$35=3, G41, IF('AAA Summary'!$L$35=2, F41, IF('AAA Summary'!$L$35=1, E41))))</f>
        <v>0.96</v>
      </c>
      <c r="W41" s="25">
        <f t="shared" si="7"/>
        <v>20.400000000000006</v>
      </c>
      <c r="X41" s="25">
        <f t="shared" si="8"/>
        <v>19.600000000000001</v>
      </c>
      <c r="Y41" s="25">
        <v>80</v>
      </c>
      <c r="Z41" s="25">
        <v>51</v>
      </c>
      <c r="AA41" s="25">
        <v>30</v>
      </c>
      <c r="AB41" s="25">
        <v>91</v>
      </c>
      <c r="AC41" s="25">
        <f t="shared" si="10"/>
        <v>21</v>
      </c>
      <c r="AD41" s="25">
        <f t="shared" si="9"/>
        <v>40</v>
      </c>
      <c r="AE41" s="25">
        <v>56</v>
      </c>
      <c r="AF41">
        <v>17</v>
      </c>
      <c r="AG41" s="91">
        <f>IF('AAA Summary'!$L$4=2, J41, IF('AAA Summary'!$L$4=1, Z41))</f>
        <v>51</v>
      </c>
      <c r="AH41" s="91">
        <f>IF('AAA Summary'!$L$4=2, W41, IF('AAA Summary'!$L$4=1, AC41))</f>
        <v>21</v>
      </c>
      <c r="AI41" s="91">
        <f>IF('AAA Summary'!$L$4=2, X41, IF('AAA Summary'!$L$4=1, AD41))</f>
        <v>40</v>
      </c>
      <c r="AJ41" s="91">
        <f>IF('AAA Summary'!$L$4=2, Y41, IF('AAA Summary'!$L$4=1, AE41))</f>
        <v>56</v>
      </c>
      <c r="AK41" s="19">
        <v>0.53800000000000003</v>
      </c>
    </row>
    <row r="42" spans="1:37" x14ac:dyDescent="0.25">
      <c r="A42" t="s">
        <v>113</v>
      </c>
      <c r="B42" t="s">
        <v>114</v>
      </c>
      <c r="C42" s="96">
        <v>81</v>
      </c>
      <c r="D42" s="96">
        <v>32</v>
      </c>
      <c r="E42" s="97">
        <v>0.85</v>
      </c>
      <c r="F42" s="97">
        <v>0.17</v>
      </c>
      <c r="G42" s="97">
        <v>0.93</v>
      </c>
      <c r="H42" s="97">
        <v>0.89</v>
      </c>
      <c r="I42" s="42" t="s">
        <v>936</v>
      </c>
      <c r="J42">
        <v>49.3</v>
      </c>
      <c r="K42">
        <v>37</v>
      </c>
      <c r="L42">
        <v>61.6</v>
      </c>
      <c r="M42" s="42" t="s">
        <v>235</v>
      </c>
      <c r="N42" s="42" t="s">
        <v>233</v>
      </c>
      <c r="O42" s="98">
        <v>3.1E-2</v>
      </c>
      <c r="P42" s="42" t="str">
        <f t="shared" si="6"/>
        <v>RTD</v>
      </c>
      <c r="Q42" s="40">
        <f t="shared" si="11"/>
        <v>1</v>
      </c>
      <c r="R42" s="40">
        <f t="shared" si="12"/>
        <v>1</v>
      </c>
      <c r="S42" s="40">
        <f t="shared" si="13"/>
        <v>2</v>
      </c>
      <c r="T42" s="40">
        <f t="shared" si="4"/>
        <v>2</v>
      </c>
      <c r="U42" s="91">
        <f>IF('AAA Summary'!$L$35=4, RANK(H42,H$8:H$82,1)+COUNTIF($H$8:H42,H42)-1, IF('AAA Summary'!$L$35=3, RANK(G42,G$8:G$82,1)+COUNTIF($G$8:G42,G42)-1, IF('AAA Summary'!$L$35=2, RANK(F42,F$8:F$82,1)+COUNTIF($F$8:F42,F42)-1, IF('AAA Summary'!$L$35=1, RANK(E42,E$8:E$82,1)+COUNTIF($E$8:E42,E42)-1))))</f>
        <v>34</v>
      </c>
      <c r="V42" s="54">
        <f>IF('AAA Summary'!$L$35=4, H42, IF('AAA Summary'!$L$35=3, G42, IF('AAA Summary'!$L$35=2, F42, IF('AAA Summary'!$L$35=1, E42))))</f>
        <v>0.89</v>
      </c>
      <c r="W42" s="25">
        <f t="shared" si="7"/>
        <v>12.299999999999997</v>
      </c>
      <c r="X42" s="25">
        <f t="shared" si="8"/>
        <v>12.300000000000004</v>
      </c>
      <c r="Y42" s="25">
        <v>80</v>
      </c>
      <c r="Z42" s="25">
        <v>60</v>
      </c>
      <c r="AA42" s="25">
        <v>32</v>
      </c>
      <c r="AB42" s="25">
        <v>91</v>
      </c>
      <c r="AC42" s="25">
        <f t="shared" si="10"/>
        <v>28</v>
      </c>
      <c r="AD42" s="25">
        <f t="shared" si="9"/>
        <v>31</v>
      </c>
      <c r="AE42" s="25">
        <v>56</v>
      </c>
      <c r="AF42">
        <v>27</v>
      </c>
      <c r="AG42" s="91">
        <f>IF('AAA Summary'!$L$4=2, J42, IF('AAA Summary'!$L$4=1, Z42))</f>
        <v>60</v>
      </c>
      <c r="AH42" s="91">
        <f>IF('AAA Summary'!$L$4=2, W42, IF('AAA Summary'!$L$4=1, AC42))</f>
        <v>28</v>
      </c>
      <c r="AI42" s="91">
        <f>IF('AAA Summary'!$L$4=2, X42, IF('AAA Summary'!$L$4=1, AD42))</f>
        <v>31</v>
      </c>
      <c r="AJ42" s="91">
        <f>IF('AAA Summary'!$L$4=2, Y42, IF('AAA Summary'!$L$4=1, AE42))</f>
        <v>56</v>
      </c>
      <c r="AK42" s="19">
        <v>0.49299999999999999</v>
      </c>
    </row>
    <row r="43" spans="1:37" x14ac:dyDescent="0.25">
      <c r="A43" t="s">
        <v>160</v>
      </c>
      <c r="B43" t="s">
        <v>161</v>
      </c>
      <c r="C43" s="96">
        <v>3</v>
      </c>
      <c r="D43" s="96">
        <v>0</v>
      </c>
      <c r="E43" s="97">
        <v>1</v>
      </c>
      <c r="F43" s="97">
        <v>0.67</v>
      </c>
      <c r="G43" s="97">
        <v>1</v>
      </c>
      <c r="H43" s="97">
        <v>0.67</v>
      </c>
      <c r="I43" s="42" t="s">
        <v>384</v>
      </c>
      <c r="J43" t="e">
        <v>#VALUE!</v>
      </c>
      <c r="K43" t="e">
        <v>#N/A</v>
      </c>
      <c r="L43" t="e">
        <v>#N/A</v>
      </c>
      <c r="M43" s="42" t="s">
        <v>384</v>
      </c>
      <c r="N43" s="42" t="s">
        <v>384</v>
      </c>
      <c r="O43" s="98">
        <v>0</v>
      </c>
      <c r="P43" s="42" t="str">
        <f t="shared" si="6"/>
        <v>SA999</v>
      </c>
      <c r="Q43" s="40">
        <f t="shared" si="11"/>
        <v>4</v>
      </c>
      <c r="R43" s="40">
        <f t="shared" si="12"/>
        <v>1</v>
      </c>
      <c r="S43" s="40">
        <f t="shared" si="13"/>
        <v>4</v>
      </c>
      <c r="T43" s="40">
        <f t="shared" si="4"/>
        <v>1</v>
      </c>
      <c r="U43" s="91">
        <f>IF('AAA Summary'!$L$35=4, RANK(H43,H$8:H$82,1)+COUNTIF($H$8:H43,H43)-1, IF('AAA Summary'!$L$35=3, RANK(G43,G$8:G$82,1)+COUNTIF($G$8:G43,G43)-1, IF('AAA Summary'!$L$35=2, RANK(F43,F$8:F$82,1)+COUNTIF($F$8:F43,F43)-1, IF('AAA Summary'!$L$35=1, RANK(E43,E$8:E$82,1)+COUNTIF($E$8:E43,E43)-1))))</f>
        <v>8</v>
      </c>
      <c r="V43" s="54">
        <f>IF('AAA Summary'!$L$35=4, H43, IF('AAA Summary'!$L$35=3, G43, IF('AAA Summary'!$L$35=2, F43, IF('AAA Summary'!$L$35=1, E43))))</f>
        <v>0.67</v>
      </c>
      <c r="W43" s="25" t="e">
        <f t="shared" si="7"/>
        <v>#VALUE!</v>
      </c>
      <c r="X43" s="25" t="e">
        <f t="shared" si="8"/>
        <v>#N/A</v>
      </c>
      <c r="Y43" s="25">
        <v>80</v>
      </c>
      <c r="Z43" s="25" t="s">
        <v>384</v>
      </c>
      <c r="AA43" s="25" t="e">
        <v>#VALUE!</v>
      </c>
      <c r="AB43" s="25" t="e">
        <v>#VALUE!</v>
      </c>
      <c r="AC43" s="25" t="e">
        <f t="shared" si="10"/>
        <v>#VALUE!</v>
      </c>
      <c r="AD43" s="25" t="e">
        <f t="shared" si="9"/>
        <v>#VALUE!</v>
      </c>
      <c r="AE43" s="25">
        <v>56</v>
      </c>
      <c r="AF43">
        <v>74</v>
      </c>
      <c r="AG43" s="91" t="str">
        <f>IF('AAA Summary'!$L$4=2, J43, IF('AAA Summary'!$L$4=1, Z43))</f>
        <v>N/A</v>
      </c>
      <c r="AH43" s="91" t="e">
        <f>IF('AAA Summary'!$L$4=2, W43, IF('AAA Summary'!$L$4=1, AC43))</f>
        <v>#VALUE!</v>
      </c>
      <c r="AI43" s="91" t="e">
        <f>IF('AAA Summary'!$L$4=2, X43, IF('AAA Summary'!$L$4=1, AD43))</f>
        <v>#VALUE!</v>
      </c>
      <c r="AJ43" s="91">
        <f>IF('AAA Summary'!$L$4=2, Y43, IF('AAA Summary'!$L$4=1, AE43))</f>
        <v>56</v>
      </c>
      <c r="AK43" s="19" t="s">
        <v>399</v>
      </c>
    </row>
    <row r="44" spans="1:37" x14ac:dyDescent="0.25">
      <c r="A44" t="s">
        <v>170</v>
      </c>
      <c r="B44" t="s">
        <v>171</v>
      </c>
      <c r="C44" s="96">
        <v>10</v>
      </c>
      <c r="D44" s="96">
        <v>4</v>
      </c>
      <c r="E44" s="97">
        <v>0.9</v>
      </c>
      <c r="F44" s="97">
        <v>1</v>
      </c>
      <c r="G44" s="97">
        <v>0.89</v>
      </c>
      <c r="H44" s="97">
        <v>0.6</v>
      </c>
      <c r="I44" s="42" t="s">
        <v>384</v>
      </c>
      <c r="J44" t="e">
        <v>#VALUE!</v>
      </c>
      <c r="K44" t="e">
        <v>#N/A</v>
      </c>
      <c r="L44" t="e">
        <v>#N/A</v>
      </c>
      <c r="M44" s="42" t="s">
        <v>384</v>
      </c>
      <c r="N44" s="42" t="s">
        <v>384</v>
      </c>
      <c r="O44" s="98">
        <v>0</v>
      </c>
      <c r="P44" s="42" t="str">
        <f t="shared" si="6"/>
        <v>SN999</v>
      </c>
      <c r="Q44" s="40">
        <f t="shared" si="11"/>
        <v>2</v>
      </c>
      <c r="R44" s="40">
        <f t="shared" si="12"/>
        <v>4</v>
      </c>
      <c r="S44" s="40">
        <f t="shared" si="13"/>
        <v>2</v>
      </c>
      <c r="T44" s="40">
        <f t="shared" si="4"/>
        <v>1</v>
      </c>
      <c r="U44" s="91">
        <f>IF('AAA Summary'!$L$35=4, RANK(H44,H$8:H$82,1)+COUNTIF($H$8:H44,H44)-1, IF('AAA Summary'!$L$35=3, RANK(G44,G$8:G$82,1)+COUNTIF($G$8:G44,G44)-1, IF('AAA Summary'!$L$35=2, RANK(F44,F$8:F$82,1)+COUNTIF($F$8:F44,F44)-1, IF('AAA Summary'!$L$35=1, RANK(E44,E$8:E$82,1)+COUNTIF($E$8:E44,E44)-1))))</f>
        <v>7</v>
      </c>
      <c r="V44" s="54">
        <f>IF('AAA Summary'!$L$35=4, H44, IF('AAA Summary'!$L$35=3, G44, IF('AAA Summary'!$L$35=2, F44, IF('AAA Summary'!$L$35=1, E44))))</f>
        <v>0.6</v>
      </c>
      <c r="W44" s="25" t="e">
        <f t="shared" si="7"/>
        <v>#VALUE!</v>
      </c>
      <c r="X44" s="25" t="e">
        <f t="shared" si="8"/>
        <v>#N/A</v>
      </c>
      <c r="Y44" s="25">
        <v>80</v>
      </c>
      <c r="Z44" s="25" t="s">
        <v>384</v>
      </c>
      <c r="AA44" s="25" t="e">
        <v>#VALUE!</v>
      </c>
      <c r="AB44" s="25" t="e">
        <v>#VALUE!</v>
      </c>
      <c r="AC44" s="25" t="e">
        <f t="shared" si="10"/>
        <v>#VALUE!</v>
      </c>
      <c r="AD44" s="25" t="e">
        <f t="shared" si="9"/>
        <v>#VALUE!</v>
      </c>
      <c r="AE44" s="25">
        <v>56</v>
      </c>
      <c r="AF44">
        <v>75</v>
      </c>
      <c r="AG44" s="91" t="str">
        <f>IF('AAA Summary'!$L$4=2, J44, IF('AAA Summary'!$L$4=1, Z44))</f>
        <v>N/A</v>
      </c>
      <c r="AH44" s="91" t="e">
        <f>IF('AAA Summary'!$L$4=2, W44, IF('AAA Summary'!$L$4=1, AC44))</f>
        <v>#VALUE!</v>
      </c>
      <c r="AI44" s="91" t="e">
        <f>IF('AAA Summary'!$L$4=2, X44, IF('AAA Summary'!$L$4=1, AD44))</f>
        <v>#VALUE!</v>
      </c>
      <c r="AJ44" s="91">
        <f>IF('AAA Summary'!$L$4=2, Y44, IF('AAA Summary'!$L$4=1, AE44))</f>
        <v>56</v>
      </c>
      <c r="AK44" s="19" t="s">
        <v>399</v>
      </c>
    </row>
    <row r="45" spans="1:37" x14ac:dyDescent="0.25">
      <c r="A45" t="s">
        <v>164</v>
      </c>
      <c r="B45" t="s">
        <v>165</v>
      </c>
      <c r="C45" s="96">
        <v>65</v>
      </c>
      <c r="D45" s="96">
        <v>34</v>
      </c>
      <c r="E45" s="97">
        <v>0.98</v>
      </c>
      <c r="F45" s="97">
        <v>0.95</v>
      </c>
      <c r="G45" s="97">
        <v>0.98</v>
      </c>
      <c r="H45" s="97">
        <v>0.89</v>
      </c>
      <c r="I45" s="42" t="s">
        <v>937</v>
      </c>
      <c r="J45">
        <v>57.8</v>
      </c>
      <c r="K45">
        <v>44.800000000000004</v>
      </c>
      <c r="L45">
        <v>70.099999999999994</v>
      </c>
      <c r="M45" s="42" t="s">
        <v>463</v>
      </c>
      <c r="N45" s="42" t="s">
        <v>320</v>
      </c>
      <c r="O45" s="98">
        <v>0.03</v>
      </c>
      <c r="P45" s="42" t="str">
        <f t="shared" si="6"/>
        <v>SG999</v>
      </c>
      <c r="Q45" s="40">
        <f t="shared" si="11"/>
        <v>4</v>
      </c>
      <c r="R45" s="40">
        <f t="shared" si="12"/>
        <v>1</v>
      </c>
      <c r="S45" s="40">
        <f t="shared" si="13"/>
        <v>3</v>
      </c>
      <c r="T45" s="40">
        <f t="shared" si="4"/>
        <v>2</v>
      </c>
      <c r="U45" s="91">
        <f>IF('AAA Summary'!$L$35=4, RANK(H45,H$8:H$82,1)+COUNTIF($H$8:H45,H45)-1, IF('AAA Summary'!$L$35=3, RANK(G45,G$8:G$82,1)+COUNTIF($G$8:G45,G45)-1, IF('AAA Summary'!$L$35=2, RANK(F45,F$8:F$82,1)+COUNTIF($F$8:F45,F45)-1, IF('AAA Summary'!$L$35=1, RANK(E45,E$8:E$82,1)+COUNTIF($E$8:E45,E45)-1))))</f>
        <v>35</v>
      </c>
      <c r="V45" s="54">
        <f>IF('AAA Summary'!$L$35=4, H45, IF('AAA Summary'!$L$35=3, G45, IF('AAA Summary'!$L$35=2, F45, IF('AAA Summary'!$L$35=1, E45))))</f>
        <v>0.89</v>
      </c>
      <c r="W45" s="25">
        <f t="shared" si="7"/>
        <v>12.999999999999993</v>
      </c>
      <c r="X45" s="25">
        <f t="shared" si="8"/>
        <v>12.299999999999997</v>
      </c>
      <c r="Y45" s="25">
        <v>80</v>
      </c>
      <c r="Z45" s="25">
        <v>51</v>
      </c>
      <c r="AA45" s="25">
        <v>27</v>
      </c>
      <c r="AB45" s="25">
        <v>76</v>
      </c>
      <c r="AC45" s="25">
        <f t="shared" si="10"/>
        <v>24</v>
      </c>
      <c r="AD45" s="25">
        <f t="shared" si="9"/>
        <v>25</v>
      </c>
      <c r="AE45" s="25">
        <v>56</v>
      </c>
      <c r="AF45">
        <v>16</v>
      </c>
      <c r="AG45" s="91">
        <f>IF('AAA Summary'!$L$4=2, J45, IF('AAA Summary'!$L$4=1, Z45))</f>
        <v>51</v>
      </c>
      <c r="AH45" s="91">
        <f>IF('AAA Summary'!$L$4=2, W45, IF('AAA Summary'!$L$4=1, AC45))</f>
        <v>24</v>
      </c>
      <c r="AI45" s="91">
        <f>IF('AAA Summary'!$L$4=2, X45, IF('AAA Summary'!$L$4=1, AD45))</f>
        <v>25</v>
      </c>
      <c r="AJ45" s="91">
        <f>IF('AAA Summary'!$L$4=2, Y45, IF('AAA Summary'!$L$4=1, AE45))</f>
        <v>56</v>
      </c>
      <c r="AK45" s="19">
        <v>0.57799999999999996</v>
      </c>
    </row>
    <row r="46" spans="1:37" x14ac:dyDescent="0.25">
      <c r="A46" t="s">
        <v>166</v>
      </c>
      <c r="B46" t="s">
        <v>167</v>
      </c>
      <c r="C46" s="96">
        <v>18</v>
      </c>
      <c r="D46" s="96">
        <v>9</v>
      </c>
      <c r="E46" s="97">
        <v>0.94</v>
      </c>
      <c r="F46" s="97">
        <v>1</v>
      </c>
      <c r="G46" s="97">
        <v>0.93</v>
      </c>
      <c r="H46" s="97">
        <v>1</v>
      </c>
      <c r="I46" s="42" t="s">
        <v>938</v>
      </c>
      <c r="J46">
        <v>35.299999999999997</v>
      </c>
      <c r="K46">
        <v>14.2</v>
      </c>
      <c r="L46">
        <v>61.7</v>
      </c>
      <c r="M46" s="42" t="s">
        <v>546</v>
      </c>
      <c r="N46" s="42" t="s">
        <v>330</v>
      </c>
      <c r="O46" s="98">
        <v>0</v>
      </c>
      <c r="P46" s="42" t="str">
        <f t="shared" si="6"/>
        <v>SH999</v>
      </c>
      <c r="Q46" s="40">
        <f t="shared" si="11"/>
        <v>3</v>
      </c>
      <c r="R46" s="40">
        <f t="shared" si="12"/>
        <v>4</v>
      </c>
      <c r="S46" s="40">
        <f t="shared" si="13"/>
        <v>2</v>
      </c>
      <c r="T46" s="40">
        <f t="shared" si="4"/>
        <v>4</v>
      </c>
      <c r="U46" s="91">
        <f>IF('AAA Summary'!$L$35=4, RANK(H46,H$8:H$82,1)+COUNTIF($H$8:H46,H46)-1, IF('AAA Summary'!$L$35=3, RANK(G46,G$8:G$82,1)+COUNTIF($G$8:G46,G46)-1, IF('AAA Summary'!$L$35=2, RANK(F46,F$8:F$82,1)+COUNTIF($F$8:F46,F46)-1, IF('AAA Summary'!$L$35=1, RANK(E46,E$8:E$82,1)+COUNTIF($E$8:E46,E46)-1))))</f>
        <v>68</v>
      </c>
      <c r="V46" s="54">
        <f>IF('AAA Summary'!$L$35=4, H46, IF('AAA Summary'!$L$35=3, G46, IF('AAA Summary'!$L$35=2, F46, IF('AAA Summary'!$L$35=1, E46))))</f>
        <v>1</v>
      </c>
      <c r="W46" s="25">
        <f t="shared" si="7"/>
        <v>21.099999999999998</v>
      </c>
      <c r="X46" s="25">
        <f t="shared" si="8"/>
        <v>26.400000000000006</v>
      </c>
      <c r="Y46" s="25">
        <v>80</v>
      </c>
      <c r="Z46" s="25">
        <v>64</v>
      </c>
      <c r="AA46" s="25">
        <v>44</v>
      </c>
      <c r="AB46" s="25">
        <v>96</v>
      </c>
      <c r="AC46" s="25">
        <f t="shared" si="10"/>
        <v>20</v>
      </c>
      <c r="AD46" s="25">
        <f t="shared" si="9"/>
        <v>32</v>
      </c>
      <c r="AE46" s="25">
        <v>56</v>
      </c>
      <c r="AF46">
        <v>35</v>
      </c>
      <c r="AG46" s="91">
        <f>IF('AAA Summary'!$L$4=2, J46, IF('AAA Summary'!$L$4=1, Z46))</f>
        <v>64</v>
      </c>
      <c r="AH46" s="91">
        <f>IF('AAA Summary'!$L$4=2, W46, IF('AAA Summary'!$L$4=1, AC46))</f>
        <v>20</v>
      </c>
      <c r="AI46" s="91">
        <f>IF('AAA Summary'!$L$4=2, X46, IF('AAA Summary'!$L$4=1, AD46))</f>
        <v>32</v>
      </c>
      <c r="AJ46" s="91">
        <f>IF('AAA Summary'!$L$4=2, Y46, IF('AAA Summary'!$L$4=1, AE46))</f>
        <v>56</v>
      </c>
      <c r="AK46" s="19">
        <v>0.35299999999999998</v>
      </c>
    </row>
    <row r="47" spans="1:37" x14ac:dyDescent="0.25">
      <c r="A47" t="s">
        <v>168</v>
      </c>
      <c r="B47" t="s">
        <v>169</v>
      </c>
      <c r="C47" s="96">
        <v>46</v>
      </c>
      <c r="D47" s="96">
        <v>36</v>
      </c>
      <c r="E47" s="97">
        <v>0.87</v>
      </c>
      <c r="F47" s="97">
        <v>1</v>
      </c>
      <c r="G47" s="97">
        <v>0.88</v>
      </c>
      <c r="H47" s="97">
        <v>0.85</v>
      </c>
      <c r="I47" s="42" t="s">
        <v>939</v>
      </c>
      <c r="J47">
        <v>52.5</v>
      </c>
      <c r="K47">
        <v>36.1</v>
      </c>
      <c r="L47">
        <v>68.5</v>
      </c>
      <c r="M47" s="42" t="s">
        <v>458</v>
      </c>
      <c r="N47" s="42" t="s">
        <v>243</v>
      </c>
      <c r="O47" s="98">
        <v>1.3999999999999999E-2</v>
      </c>
      <c r="P47" s="42" t="str">
        <f t="shared" si="6"/>
        <v>SL999</v>
      </c>
      <c r="Q47" s="40">
        <f t="shared" si="11"/>
        <v>1</v>
      </c>
      <c r="R47" s="40">
        <f t="shared" si="12"/>
        <v>4</v>
      </c>
      <c r="S47" s="40">
        <f t="shared" si="13"/>
        <v>1</v>
      </c>
      <c r="T47" s="40">
        <f t="shared" si="4"/>
        <v>2</v>
      </c>
      <c r="U47" s="91">
        <f>IF('AAA Summary'!$L$35=4, RANK(H47,H$8:H$82,1)+COUNTIF($H$8:H47,H47)-1, IF('AAA Summary'!$L$35=3, RANK(G47,G$8:G$82,1)+COUNTIF($G$8:G47,G47)-1, IF('AAA Summary'!$L$35=2, RANK(F47,F$8:F$82,1)+COUNTIF($F$8:F47,F47)-1, IF('AAA Summary'!$L$35=1, RANK(E47,E$8:E$82,1)+COUNTIF($E$8:E47,E47)-1))))</f>
        <v>27</v>
      </c>
      <c r="V47" s="54">
        <f>IF('AAA Summary'!$L$35=4, H47, IF('AAA Summary'!$L$35=3, G47, IF('AAA Summary'!$L$35=2, F47, IF('AAA Summary'!$L$35=1, E47))))</f>
        <v>0.85</v>
      </c>
      <c r="W47" s="25">
        <f t="shared" si="7"/>
        <v>16.399999999999999</v>
      </c>
      <c r="X47" s="25">
        <f t="shared" si="8"/>
        <v>16</v>
      </c>
      <c r="Y47" s="25">
        <v>80</v>
      </c>
      <c r="Z47" s="25">
        <v>55</v>
      </c>
      <c r="AA47" s="25">
        <v>33</v>
      </c>
      <c r="AB47" s="25">
        <v>102</v>
      </c>
      <c r="AC47" s="25">
        <f t="shared" si="10"/>
        <v>22</v>
      </c>
      <c r="AD47" s="25">
        <f t="shared" si="9"/>
        <v>47</v>
      </c>
      <c r="AE47" s="25">
        <v>56</v>
      </c>
      <c r="AF47">
        <v>21</v>
      </c>
      <c r="AG47" s="91">
        <f>IF('AAA Summary'!$L$4=2, J47, IF('AAA Summary'!$L$4=1, Z47))</f>
        <v>55</v>
      </c>
      <c r="AH47" s="91">
        <f>IF('AAA Summary'!$L$4=2, W47, IF('AAA Summary'!$L$4=1, AC47))</f>
        <v>22</v>
      </c>
      <c r="AI47" s="91">
        <f>IF('AAA Summary'!$L$4=2, X47, IF('AAA Summary'!$L$4=1, AD47))</f>
        <v>47</v>
      </c>
      <c r="AJ47" s="91">
        <f>IF('AAA Summary'!$L$4=2, Y47, IF('AAA Summary'!$L$4=1, AE47))</f>
        <v>56</v>
      </c>
      <c r="AK47" s="19">
        <v>0.52500000000000002</v>
      </c>
    </row>
    <row r="48" spans="1:37" x14ac:dyDescent="0.25">
      <c r="A48" t="s">
        <v>172</v>
      </c>
      <c r="B48" t="s">
        <v>173</v>
      </c>
      <c r="C48" s="96">
        <v>41</v>
      </c>
      <c r="D48" s="96">
        <v>11</v>
      </c>
      <c r="E48" s="97">
        <v>1</v>
      </c>
      <c r="F48" s="97">
        <v>1</v>
      </c>
      <c r="G48" s="97">
        <v>1</v>
      </c>
      <c r="H48" s="97">
        <v>1</v>
      </c>
      <c r="I48" s="42" t="s">
        <v>940</v>
      </c>
      <c r="J48">
        <v>51.2</v>
      </c>
      <c r="K48">
        <v>35.099999999999994</v>
      </c>
      <c r="L48">
        <v>67.100000000000009</v>
      </c>
      <c r="M48" s="42" t="s">
        <v>360</v>
      </c>
      <c r="N48" s="42" t="s">
        <v>252</v>
      </c>
      <c r="O48" s="98">
        <v>6.9999999999999993E-3</v>
      </c>
      <c r="P48" s="42" t="str">
        <f t="shared" si="6"/>
        <v>SS999</v>
      </c>
      <c r="Q48" s="40">
        <f t="shared" si="11"/>
        <v>4</v>
      </c>
      <c r="R48" s="40">
        <f t="shared" si="12"/>
        <v>4</v>
      </c>
      <c r="S48" s="40">
        <f t="shared" si="13"/>
        <v>4</v>
      </c>
      <c r="T48" s="40">
        <f t="shared" si="4"/>
        <v>4</v>
      </c>
      <c r="U48" s="91">
        <f>IF('AAA Summary'!$L$35=4, RANK(H48,H$8:H$82,1)+COUNTIF($H$8:H48,H48)-1, IF('AAA Summary'!$L$35=3, RANK(G48,G$8:G$82,1)+COUNTIF($G$8:G48,G48)-1, IF('AAA Summary'!$L$35=2, RANK(F48,F$8:F$82,1)+COUNTIF($F$8:F48,F48)-1, IF('AAA Summary'!$L$35=1, RANK(E48,E$8:E$82,1)+COUNTIF($E$8:E48,E48)-1))))</f>
        <v>69</v>
      </c>
      <c r="V48" s="54">
        <f>IF('AAA Summary'!$L$35=4, H48, IF('AAA Summary'!$L$35=3, G48, IF('AAA Summary'!$L$35=2, F48, IF('AAA Summary'!$L$35=1, E48))))</f>
        <v>1</v>
      </c>
      <c r="W48" s="25">
        <f t="shared" si="7"/>
        <v>16.100000000000009</v>
      </c>
      <c r="X48" s="25">
        <f t="shared" si="8"/>
        <v>15.900000000000006</v>
      </c>
      <c r="Y48" s="25">
        <v>80</v>
      </c>
      <c r="Z48" s="25">
        <v>56</v>
      </c>
      <c r="AA48" s="25">
        <v>28</v>
      </c>
      <c r="AB48" s="25">
        <v>76</v>
      </c>
      <c r="AC48" s="25">
        <f t="shared" si="10"/>
        <v>28</v>
      </c>
      <c r="AD48" s="25">
        <f t="shared" si="9"/>
        <v>20</v>
      </c>
      <c r="AE48" s="25">
        <v>56</v>
      </c>
      <c r="AF48">
        <v>22</v>
      </c>
      <c r="AG48" s="91">
        <f>IF('AAA Summary'!$L$4=2, J48, IF('AAA Summary'!$L$4=1, Z48))</f>
        <v>56</v>
      </c>
      <c r="AH48" s="91">
        <f>IF('AAA Summary'!$L$4=2, W48, IF('AAA Summary'!$L$4=1, AC48))</f>
        <v>28</v>
      </c>
      <c r="AI48" s="91">
        <f>IF('AAA Summary'!$L$4=2, X48, IF('AAA Summary'!$L$4=1, AD48))</f>
        <v>20</v>
      </c>
      <c r="AJ48" s="91">
        <f>IF('AAA Summary'!$L$4=2, Y48, IF('AAA Summary'!$L$4=1, AE48))</f>
        <v>56</v>
      </c>
      <c r="AK48" s="19">
        <v>0.51200000000000001</v>
      </c>
    </row>
    <row r="49" spans="1:37" x14ac:dyDescent="0.25">
      <c r="A49" t="s">
        <v>174</v>
      </c>
      <c r="B49" t="s">
        <v>175</v>
      </c>
      <c r="C49" s="96">
        <v>14</v>
      </c>
      <c r="D49" s="96">
        <v>6</v>
      </c>
      <c r="E49" s="97">
        <v>0.43</v>
      </c>
      <c r="F49" s="97">
        <v>1</v>
      </c>
      <c r="G49" s="97">
        <v>0.38</v>
      </c>
      <c r="H49" s="97">
        <v>0.43</v>
      </c>
      <c r="I49" s="42" t="s">
        <v>941</v>
      </c>
      <c r="J49" t="e">
        <v>#VALUE!</v>
      </c>
      <c r="K49" t="e">
        <v>#N/A</v>
      </c>
      <c r="L49" t="e">
        <v>#N/A</v>
      </c>
      <c r="M49" s="42" t="s">
        <v>942</v>
      </c>
      <c r="N49" s="42" t="s">
        <v>321</v>
      </c>
      <c r="O49" s="98">
        <v>0</v>
      </c>
      <c r="P49" s="42" t="str">
        <f t="shared" si="6"/>
        <v>ST999</v>
      </c>
      <c r="Q49" s="40">
        <f t="shared" si="11"/>
        <v>1</v>
      </c>
      <c r="R49" s="40">
        <f t="shared" si="12"/>
        <v>4</v>
      </c>
      <c r="S49" s="40">
        <f t="shared" si="13"/>
        <v>1</v>
      </c>
      <c r="T49" s="40">
        <f t="shared" si="4"/>
        <v>1</v>
      </c>
      <c r="U49" s="91">
        <f>IF('AAA Summary'!$L$35=4, RANK(H49,H$8:H$82,1)+COUNTIF($H$8:H49,H49)-1, IF('AAA Summary'!$L$35=3, RANK(G49,G$8:G$82,1)+COUNTIF($G$8:G49,G49)-1, IF('AAA Summary'!$L$35=2, RANK(F49,F$8:F$82,1)+COUNTIF($F$8:F49,F49)-1, IF('AAA Summary'!$L$35=1, RANK(E49,E$8:E$82,1)+COUNTIF($E$8:E49,E49)-1))))</f>
        <v>5</v>
      </c>
      <c r="V49" s="54">
        <f>IF('AAA Summary'!$L$35=4, H49, IF('AAA Summary'!$L$35=3, G49, IF('AAA Summary'!$L$35=2, F49, IF('AAA Summary'!$L$35=1, E49))))</f>
        <v>0.43</v>
      </c>
      <c r="W49" s="25" t="e">
        <f t="shared" si="7"/>
        <v>#VALUE!</v>
      </c>
      <c r="X49" s="25" t="e">
        <f t="shared" si="8"/>
        <v>#N/A</v>
      </c>
      <c r="Y49" s="25">
        <v>80</v>
      </c>
      <c r="Z49" s="25">
        <v>65</v>
      </c>
      <c r="AA49" s="25">
        <v>52</v>
      </c>
      <c r="AB49" s="25">
        <v>141</v>
      </c>
      <c r="AC49" s="25">
        <f t="shared" si="10"/>
        <v>13</v>
      </c>
      <c r="AD49" s="25">
        <f t="shared" si="9"/>
        <v>76</v>
      </c>
      <c r="AE49" s="25">
        <v>56</v>
      </c>
      <c r="AF49">
        <v>36</v>
      </c>
      <c r="AG49" s="91">
        <f>IF('AAA Summary'!$L$4=2, J49, IF('AAA Summary'!$L$4=1, Z49))</f>
        <v>65</v>
      </c>
      <c r="AH49" s="91">
        <f>IF('AAA Summary'!$L$4=2, W49, IF('AAA Summary'!$L$4=1, AC49))</f>
        <v>13</v>
      </c>
      <c r="AI49" s="91">
        <f>IF('AAA Summary'!$L$4=2, X49, IF('AAA Summary'!$L$4=1, AD49))</f>
        <v>76</v>
      </c>
      <c r="AJ49" s="91">
        <f>IF('AAA Summary'!$L$4=2, Y49, IF('AAA Summary'!$L$4=1, AE49))</f>
        <v>56</v>
      </c>
      <c r="AK49" s="19" t="s">
        <v>399</v>
      </c>
    </row>
    <row r="50" spans="1:37" x14ac:dyDescent="0.25">
      <c r="A50" t="s">
        <v>83</v>
      </c>
      <c r="B50" t="s">
        <v>84</v>
      </c>
      <c r="C50" s="96">
        <v>76</v>
      </c>
      <c r="D50" s="96">
        <v>34</v>
      </c>
      <c r="E50" s="97">
        <v>0.95</v>
      </c>
      <c r="F50" s="97">
        <v>0.97</v>
      </c>
      <c r="G50" s="97">
        <v>0.95</v>
      </c>
      <c r="H50" s="97">
        <v>0.88</v>
      </c>
      <c r="I50" s="42" t="s">
        <v>943</v>
      </c>
      <c r="J50">
        <v>51.4</v>
      </c>
      <c r="K50">
        <v>39.300000000000004</v>
      </c>
      <c r="L50">
        <v>63.3</v>
      </c>
      <c r="M50" s="42" t="s">
        <v>467</v>
      </c>
      <c r="N50" s="42" t="s">
        <v>320</v>
      </c>
      <c r="O50" s="98">
        <v>2.5000000000000001E-2</v>
      </c>
      <c r="P50" s="42" t="str">
        <f t="shared" si="6"/>
        <v>RM1</v>
      </c>
      <c r="Q50" s="40">
        <f t="shared" si="11"/>
        <v>3</v>
      </c>
      <c r="R50" s="40">
        <f t="shared" si="12"/>
        <v>2</v>
      </c>
      <c r="S50" s="40">
        <f t="shared" si="13"/>
        <v>3</v>
      </c>
      <c r="T50" s="40">
        <f t="shared" si="4"/>
        <v>2</v>
      </c>
      <c r="U50" s="91">
        <f>IF('AAA Summary'!$L$35=4, RANK(H50,H$8:H$82,1)+COUNTIF($H$8:H50,H50)-1, IF('AAA Summary'!$L$35=3, RANK(G50,G$8:G$82,1)+COUNTIF($G$8:G50,G50)-1, IF('AAA Summary'!$L$35=2, RANK(F50,F$8:F$82,1)+COUNTIF($F$8:F50,F50)-1, IF('AAA Summary'!$L$35=1, RANK(E50,E$8:E$82,1)+COUNTIF($E$8:E50,E50)-1))))</f>
        <v>32</v>
      </c>
      <c r="V50" s="54">
        <f>IF('AAA Summary'!$L$35=4, H50, IF('AAA Summary'!$L$35=3, G50, IF('AAA Summary'!$L$35=2, F50, IF('AAA Summary'!$L$35=1, E50))))</f>
        <v>0.88</v>
      </c>
      <c r="W50" s="25">
        <f t="shared" si="7"/>
        <v>12.099999999999994</v>
      </c>
      <c r="X50" s="25">
        <f t="shared" si="8"/>
        <v>11.899999999999999</v>
      </c>
      <c r="Y50" s="25">
        <v>80</v>
      </c>
      <c r="Z50" s="25">
        <v>52</v>
      </c>
      <c r="AA50" s="25">
        <v>30</v>
      </c>
      <c r="AB50" s="25">
        <v>91</v>
      </c>
      <c r="AC50" s="25">
        <f t="shared" si="10"/>
        <v>22</v>
      </c>
      <c r="AD50" s="25">
        <f t="shared" si="9"/>
        <v>39</v>
      </c>
      <c r="AE50" s="25">
        <v>56</v>
      </c>
      <c r="AF50">
        <v>18</v>
      </c>
      <c r="AG50" s="91">
        <f>IF('AAA Summary'!$L$4=2, J50, IF('AAA Summary'!$L$4=1, Z50))</f>
        <v>52</v>
      </c>
      <c r="AH50" s="91">
        <f>IF('AAA Summary'!$L$4=2, W50, IF('AAA Summary'!$L$4=1, AC50))</f>
        <v>22</v>
      </c>
      <c r="AI50" s="91">
        <f>IF('AAA Summary'!$L$4=2, X50, IF('AAA Summary'!$L$4=1, AD50))</f>
        <v>39</v>
      </c>
      <c r="AJ50" s="91">
        <f>IF('AAA Summary'!$L$4=2, Y50, IF('AAA Summary'!$L$4=1, AE50))</f>
        <v>56</v>
      </c>
      <c r="AK50" s="19">
        <v>0.51400000000000001</v>
      </c>
    </row>
    <row r="51" spans="1:37" x14ac:dyDescent="0.25">
      <c r="A51" t="s">
        <v>124</v>
      </c>
      <c r="B51" t="s">
        <v>125</v>
      </c>
      <c r="C51" s="96">
        <v>48</v>
      </c>
      <c r="D51" s="96">
        <v>26</v>
      </c>
      <c r="E51" s="97">
        <v>0.9</v>
      </c>
      <c r="F51" s="97">
        <v>0.98</v>
      </c>
      <c r="G51" s="97">
        <v>0.93</v>
      </c>
      <c r="H51" s="97">
        <v>0.9</v>
      </c>
      <c r="I51" s="42" t="s">
        <v>944</v>
      </c>
      <c r="J51">
        <v>69.8</v>
      </c>
      <c r="K51">
        <v>53.900000000000006</v>
      </c>
      <c r="L51">
        <v>82.8</v>
      </c>
      <c r="M51" s="42" t="s">
        <v>275</v>
      </c>
      <c r="N51" s="42" t="s">
        <v>322</v>
      </c>
      <c r="O51" s="98">
        <v>3.5000000000000003E-2</v>
      </c>
      <c r="P51" s="42" t="str">
        <f t="shared" si="6"/>
        <v>RVJ</v>
      </c>
      <c r="Q51" s="40">
        <f t="shared" si="11"/>
        <v>2</v>
      </c>
      <c r="R51" s="40">
        <f t="shared" si="12"/>
        <v>2</v>
      </c>
      <c r="S51" s="40">
        <f t="shared" si="13"/>
        <v>2</v>
      </c>
      <c r="T51" s="40">
        <f t="shared" si="4"/>
        <v>3</v>
      </c>
      <c r="U51" s="91">
        <f>IF('AAA Summary'!$L$35=4, RANK(H51,H$8:H$82,1)+COUNTIF($H$8:H51,H51)-1, IF('AAA Summary'!$L$35=3, RANK(G51,G$8:G$82,1)+COUNTIF($G$8:G51,G51)-1, IF('AAA Summary'!$L$35=2, RANK(F51,F$8:F$82,1)+COUNTIF($F$8:F51,F51)-1, IF('AAA Summary'!$L$35=1, RANK(E51,E$8:E$82,1)+COUNTIF($E$8:E51,E51)-1))))</f>
        <v>41</v>
      </c>
      <c r="V51" s="54">
        <f>IF('AAA Summary'!$L$35=4, H51, IF('AAA Summary'!$L$35=3, G51, IF('AAA Summary'!$L$35=2, F51, IF('AAA Summary'!$L$35=1, E51))))</f>
        <v>0.9</v>
      </c>
      <c r="W51" s="25">
        <f t="shared" si="7"/>
        <v>15.899999999999991</v>
      </c>
      <c r="X51" s="25">
        <f t="shared" si="8"/>
        <v>13</v>
      </c>
      <c r="Y51" s="25">
        <v>80</v>
      </c>
      <c r="Z51" s="25">
        <v>39</v>
      </c>
      <c r="AA51" s="25">
        <v>24</v>
      </c>
      <c r="AB51" s="25">
        <v>61</v>
      </c>
      <c r="AC51" s="25">
        <f t="shared" si="10"/>
        <v>15</v>
      </c>
      <c r="AD51" s="25">
        <f t="shared" si="9"/>
        <v>22</v>
      </c>
      <c r="AE51" s="25">
        <v>56</v>
      </c>
      <c r="AF51">
        <v>3</v>
      </c>
      <c r="AG51" s="91">
        <f>IF('AAA Summary'!$L$4=2, J51, IF('AAA Summary'!$L$4=1, Z51))</f>
        <v>39</v>
      </c>
      <c r="AH51" s="91">
        <f>IF('AAA Summary'!$L$4=2, W51, IF('AAA Summary'!$L$4=1, AC51))</f>
        <v>15</v>
      </c>
      <c r="AI51" s="91">
        <f>IF('AAA Summary'!$L$4=2, X51, IF('AAA Summary'!$L$4=1, AD51))</f>
        <v>22</v>
      </c>
      <c r="AJ51" s="91">
        <f>IF('AAA Summary'!$L$4=2, Y51, IF('AAA Summary'!$L$4=1, AE51))</f>
        <v>56</v>
      </c>
      <c r="AK51" s="19">
        <v>0.69799999999999995</v>
      </c>
    </row>
    <row r="52" spans="1:37" x14ac:dyDescent="0.25">
      <c r="A52" t="s">
        <v>89</v>
      </c>
      <c r="B52" t="s">
        <v>90</v>
      </c>
      <c r="C52" s="96">
        <v>25</v>
      </c>
      <c r="D52" s="96">
        <v>17</v>
      </c>
      <c r="E52" s="97">
        <v>0.92</v>
      </c>
      <c r="F52" s="97">
        <v>1</v>
      </c>
      <c r="G52" s="97">
        <v>0.95</v>
      </c>
      <c r="H52" s="97">
        <v>0.92</v>
      </c>
      <c r="I52" s="42" t="s">
        <v>945</v>
      </c>
      <c r="J52">
        <v>43.5</v>
      </c>
      <c r="K52">
        <v>23.200000000000003</v>
      </c>
      <c r="L52">
        <v>65.5</v>
      </c>
      <c r="M52" s="42" t="s">
        <v>946</v>
      </c>
      <c r="N52" s="42" t="s">
        <v>236</v>
      </c>
      <c r="O52" s="98">
        <v>3.6000000000000004E-2</v>
      </c>
      <c r="P52" s="42" t="str">
        <f t="shared" si="6"/>
        <v>RNL</v>
      </c>
      <c r="Q52" s="40">
        <f t="shared" si="11"/>
        <v>2</v>
      </c>
      <c r="R52" s="40">
        <f t="shared" si="12"/>
        <v>4</v>
      </c>
      <c r="S52" s="40">
        <f t="shared" si="13"/>
        <v>3</v>
      </c>
      <c r="T52" s="40">
        <f t="shared" si="4"/>
        <v>3</v>
      </c>
      <c r="U52" s="91">
        <f>IF('AAA Summary'!$L$35=4, RANK(H52,H$8:H$82,1)+COUNTIF($H$8:H52,H52)-1, IF('AAA Summary'!$L$35=3, RANK(G52,G$8:G$82,1)+COUNTIF($G$8:G52,G52)-1, IF('AAA Summary'!$L$35=2, RANK(F52,F$8:F$82,1)+COUNTIF($F$8:F52,F52)-1, IF('AAA Summary'!$L$35=1, RANK(E52,E$8:E$82,1)+COUNTIF($E$8:E52,E52)-1))))</f>
        <v>46</v>
      </c>
      <c r="V52" s="54">
        <f>IF('AAA Summary'!$L$35=4, H52, IF('AAA Summary'!$L$35=3, G52, IF('AAA Summary'!$L$35=2, F52, IF('AAA Summary'!$L$35=1, E52))))</f>
        <v>0.92</v>
      </c>
      <c r="W52" s="25">
        <f t="shared" si="7"/>
        <v>20.299999999999997</v>
      </c>
      <c r="X52" s="25">
        <f t="shared" si="8"/>
        <v>22</v>
      </c>
      <c r="Y52" s="25">
        <v>80</v>
      </c>
      <c r="Z52" s="25">
        <v>74</v>
      </c>
      <c r="AA52" s="25">
        <v>28</v>
      </c>
      <c r="AB52" s="25">
        <v>99</v>
      </c>
      <c r="AC52" s="25">
        <f t="shared" si="10"/>
        <v>46</v>
      </c>
      <c r="AD52" s="25">
        <f t="shared" si="9"/>
        <v>25</v>
      </c>
      <c r="AE52" s="25">
        <v>56</v>
      </c>
      <c r="AF52">
        <v>44</v>
      </c>
      <c r="AG52" s="91">
        <f>IF('AAA Summary'!$L$4=2, J52, IF('AAA Summary'!$L$4=1, Z52))</f>
        <v>74</v>
      </c>
      <c r="AH52" s="91">
        <f>IF('AAA Summary'!$L$4=2, W52, IF('AAA Summary'!$L$4=1, AC52))</f>
        <v>46</v>
      </c>
      <c r="AI52" s="91">
        <f>IF('AAA Summary'!$L$4=2, X52, IF('AAA Summary'!$L$4=1, AD52))</f>
        <v>25</v>
      </c>
      <c r="AJ52" s="91">
        <f>IF('AAA Summary'!$L$4=2, Y52, IF('AAA Summary'!$L$4=1, AE52))</f>
        <v>56</v>
      </c>
      <c r="AK52" s="19">
        <v>0.435</v>
      </c>
    </row>
    <row r="53" spans="1:37" x14ac:dyDescent="0.25">
      <c r="A53" t="s">
        <v>91</v>
      </c>
      <c r="B53" t="s">
        <v>92</v>
      </c>
      <c r="C53" s="96">
        <v>37</v>
      </c>
      <c r="D53" s="96">
        <v>26</v>
      </c>
      <c r="E53" s="97">
        <v>0.97</v>
      </c>
      <c r="F53" s="97">
        <v>1</v>
      </c>
      <c r="G53" s="97">
        <v>0.97</v>
      </c>
      <c r="H53" s="97">
        <v>0.97</v>
      </c>
      <c r="I53" s="42" t="s">
        <v>947</v>
      </c>
      <c r="J53">
        <v>38.9</v>
      </c>
      <c r="K53">
        <v>23.1</v>
      </c>
      <c r="L53">
        <v>56.499999999999993</v>
      </c>
      <c r="M53" s="42" t="s">
        <v>948</v>
      </c>
      <c r="N53" s="42" t="s">
        <v>295</v>
      </c>
      <c r="O53" s="98">
        <v>2.5000000000000001E-2</v>
      </c>
      <c r="P53" s="42" t="str">
        <f t="shared" si="6"/>
        <v>RNS</v>
      </c>
      <c r="Q53" s="40">
        <f t="shared" si="11"/>
        <v>3</v>
      </c>
      <c r="R53" s="40">
        <f t="shared" si="12"/>
        <v>4</v>
      </c>
      <c r="S53" s="40">
        <f t="shared" si="13"/>
        <v>3</v>
      </c>
      <c r="T53" s="40">
        <f t="shared" si="4"/>
        <v>4</v>
      </c>
      <c r="U53" s="91">
        <f>IF('AAA Summary'!$L$35=4, RANK(H53,H$8:H$82,1)+COUNTIF($H$8:H53,H53)-1, IF('AAA Summary'!$L$35=3, RANK(G53,G$8:G$82,1)+COUNTIF($G$8:G53,G53)-1, IF('AAA Summary'!$L$35=2, RANK(F53,F$8:F$82,1)+COUNTIF($F$8:F53,F53)-1, IF('AAA Summary'!$L$35=1, RANK(E53,E$8:E$82,1)+COUNTIF($E$8:E53,E53)-1))))</f>
        <v>60</v>
      </c>
      <c r="V53" s="54">
        <f>IF('AAA Summary'!$L$35=4, H53, IF('AAA Summary'!$L$35=3, G53, IF('AAA Summary'!$L$35=2, F53, IF('AAA Summary'!$L$35=1, E53))))</f>
        <v>0.97</v>
      </c>
      <c r="W53" s="25">
        <f t="shared" si="7"/>
        <v>15.799999999999997</v>
      </c>
      <c r="X53" s="25">
        <f t="shared" si="8"/>
        <v>17.599999999999994</v>
      </c>
      <c r="Y53" s="25">
        <v>80</v>
      </c>
      <c r="Z53" s="25">
        <v>80</v>
      </c>
      <c r="AA53" s="25">
        <v>39</v>
      </c>
      <c r="AB53" s="25">
        <v>119</v>
      </c>
      <c r="AC53" s="25">
        <f t="shared" si="10"/>
        <v>41</v>
      </c>
      <c r="AD53" s="25">
        <f t="shared" si="9"/>
        <v>39</v>
      </c>
      <c r="AE53" s="25">
        <v>56</v>
      </c>
      <c r="AF53">
        <v>52</v>
      </c>
      <c r="AG53" s="91">
        <f>IF('AAA Summary'!$L$4=2, J53, IF('AAA Summary'!$L$4=1, Z53))</f>
        <v>80</v>
      </c>
      <c r="AH53" s="91">
        <f>IF('AAA Summary'!$L$4=2, W53, IF('AAA Summary'!$L$4=1, AC53))</f>
        <v>41</v>
      </c>
      <c r="AI53" s="91">
        <f>IF('AAA Summary'!$L$4=2, X53, IF('AAA Summary'!$L$4=1, AD53))</f>
        <v>39</v>
      </c>
      <c r="AJ53" s="91">
        <f>IF('AAA Summary'!$L$4=2, Y53, IF('AAA Summary'!$L$4=1, AE53))</f>
        <v>56</v>
      </c>
      <c r="AK53" s="19">
        <v>0.38900000000000001</v>
      </c>
    </row>
    <row r="54" spans="1:37" x14ac:dyDescent="0.25">
      <c r="A54" t="s">
        <v>144</v>
      </c>
      <c r="B54" t="s">
        <v>145</v>
      </c>
      <c r="C54" s="96">
        <v>56</v>
      </c>
      <c r="D54" s="96">
        <v>38</v>
      </c>
      <c r="E54" s="97">
        <v>0.79</v>
      </c>
      <c r="F54" s="97">
        <v>0.98</v>
      </c>
      <c r="G54" s="97">
        <v>0.88</v>
      </c>
      <c r="H54" s="97">
        <v>0.75</v>
      </c>
      <c r="I54" s="42" t="s">
        <v>949</v>
      </c>
      <c r="J54">
        <v>27.3</v>
      </c>
      <c r="K54">
        <v>15</v>
      </c>
      <c r="L54">
        <v>42.8</v>
      </c>
      <c r="M54" s="42" t="s">
        <v>348</v>
      </c>
      <c r="N54" s="42" t="s">
        <v>243</v>
      </c>
      <c r="O54" s="98">
        <v>1.2E-2</v>
      </c>
      <c r="P54" s="42" t="str">
        <f t="shared" si="6"/>
        <v>RX1</v>
      </c>
      <c r="Q54" s="40">
        <f t="shared" si="11"/>
        <v>1</v>
      </c>
      <c r="R54" s="40">
        <f t="shared" si="12"/>
        <v>2</v>
      </c>
      <c r="S54" s="40">
        <f t="shared" si="13"/>
        <v>1</v>
      </c>
      <c r="T54" s="40">
        <f t="shared" si="4"/>
        <v>1</v>
      </c>
      <c r="U54" s="91">
        <f>IF('AAA Summary'!$L$35=4, RANK(H54,H$8:H$82,1)+COUNTIF($H$8:H54,H54)-1, IF('AAA Summary'!$L$35=3, RANK(G54,G$8:G$82,1)+COUNTIF($G$8:G54,G54)-1, IF('AAA Summary'!$L$35=2, RANK(F54,F$8:F$82,1)+COUNTIF($F$8:F54,F54)-1, IF('AAA Summary'!$L$35=1, RANK(E54,E$8:E$82,1)+COUNTIF($E$8:E54,E54)-1))))</f>
        <v>13</v>
      </c>
      <c r="V54" s="54">
        <f>IF('AAA Summary'!$L$35=4, H54, IF('AAA Summary'!$L$35=3, G54, IF('AAA Summary'!$L$35=2, F54, IF('AAA Summary'!$L$35=1, E54))))</f>
        <v>0.75</v>
      </c>
      <c r="W54" s="25">
        <f t="shared" si="7"/>
        <v>12.3</v>
      </c>
      <c r="X54" s="25">
        <f t="shared" si="8"/>
        <v>15.499999999999996</v>
      </c>
      <c r="Y54" s="25">
        <v>80</v>
      </c>
      <c r="Z54" s="25">
        <v>85</v>
      </c>
      <c r="AA54" s="25">
        <v>53</v>
      </c>
      <c r="AB54" s="25">
        <v>132</v>
      </c>
      <c r="AC54" s="25">
        <f t="shared" si="10"/>
        <v>32</v>
      </c>
      <c r="AD54" s="25">
        <f t="shared" si="9"/>
        <v>47</v>
      </c>
      <c r="AE54" s="25">
        <v>56</v>
      </c>
      <c r="AF54">
        <v>59</v>
      </c>
      <c r="AG54" s="91">
        <f>IF('AAA Summary'!$L$4=2, J54, IF('AAA Summary'!$L$4=1, Z54))</f>
        <v>85</v>
      </c>
      <c r="AH54" s="91">
        <f>IF('AAA Summary'!$L$4=2, W54, IF('AAA Summary'!$L$4=1, AC54))</f>
        <v>32</v>
      </c>
      <c r="AI54" s="91">
        <f>IF('AAA Summary'!$L$4=2, X54, IF('AAA Summary'!$L$4=1, AD54))</f>
        <v>47</v>
      </c>
      <c r="AJ54" s="91">
        <f>IF('AAA Summary'!$L$4=2, Y54, IF('AAA Summary'!$L$4=1, AE54))</f>
        <v>56</v>
      </c>
      <c r="AK54" s="19">
        <v>0.27300000000000002</v>
      </c>
    </row>
    <row r="55" spans="1:37" x14ac:dyDescent="0.25">
      <c r="A55" t="s">
        <v>118</v>
      </c>
      <c r="B55" t="s">
        <v>622</v>
      </c>
      <c r="C55" s="96">
        <v>85</v>
      </c>
      <c r="D55" s="96">
        <v>41</v>
      </c>
      <c r="E55" s="97">
        <v>0.93</v>
      </c>
      <c r="F55" s="97">
        <v>0.99</v>
      </c>
      <c r="G55" s="97">
        <v>0.93</v>
      </c>
      <c r="H55" s="97">
        <v>0.91</v>
      </c>
      <c r="I55" s="42" t="s">
        <v>950</v>
      </c>
      <c r="J55">
        <v>29.099999999999998</v>
      </c>
      <c r="K55">
        <v>19.400000000000002</v>
      </c>
      <c r="L55">
        <v>40.400000000000006</v>
      </c>
      <c r="M55" s="42" t="s">
        <v>359</v>
      </c>
      <c r="N55" s="42" t="s">
        <v>322</v>
      </c>
      <c r="O55" s="98">
        <v>0</v>
      </c>
      <c r="P55" s="42" t="str">
        <f t="shared" si="6"/>
        <v>RTH</v>
      </c>
      <c r="Q55" s="40">
        <f t="shared" si="11"/>
        <v>2</v>
      </c>
      <c r="R55" s="40">
        <f t="shared" si="12"/>
        <v>3</v>
      </c>
      <c r="S55" s="40">
        <f t="shared" si="13"/>
        <v>2</v>
      </c>
      <c r="T55" s="40">
        <f t="shared" si="4"/>
        <v>3</v>
      </c>
      <c r="U55" s="91">
        <f>IF('AAA Summary'!$L$35=4, RANK(H55,H$8:H$82,1)+COUNTIF($H$8:H55,H55)-1, IF('AAA Summary'!$L$35=3, RANK(G55,G$8:G$82,1)+COUNTIF($G$8:G55,G55)-1, IF('AAA Summary'!$L$35=2, RANK(F55,F$8:F$82,1)+COUNTIF($F$8:F55,F55)-1, IF('AAA Summary'!$L$35=1, RANK(E55,E$8:E$82,1)+COUNTIF($E$8:E55,E55)-1))))</f>
        <v>45</v>
      </c>
      <c r="V55" s="54">
        <f>IF('AAA Summary'!$L$35=4, H55, IF('AAA Summary'!$L$35=3, G55, IF('AAA Summary'!$L$35=2, F55, IF('AAA Summary'!$L$35=1, E55))))</f>
        <v>0.91</v>
      </c>
      <c r="W55" s="25">
        <f t="shared" si="7"/>
        <v>9.6999999999999957</v>
      </c>
      <c r="X55" s="25">
        <f t="shared" si="8"/>
        <v>11.300000000000008</v>
      </c>
      <c r="Y55" s="25">
        <v>80</v>
      </c>
      <c r="Z55" s="25">
        <v>87</v>
      </c>
      <c r="AA55" s="25">
        <v>49</v>
      </c>
      <c r="AB55" s="25">
        <v>133</v>
      </c>
      <c r="AC55" s="25">
        <f t="shared" si="10"/>
        <v>38</v>
      </c>
      <c r="AD55" s="25">
        <f t="shared" si="9"/>
        <v>46</v>
      </c>
      <c r="AE55" s="25">
        <v>56</v>
      </c>
      <c r="AF55">
        <v>60</v>
      </c>
      <c r="AG55" s="91">
        <f>IF('AAA Summary'!$L$4=2, J55, IF('AAA Summary'!$L$4=1, Z55))</f>
        <v>87</v>
      </c>
      <c r="AH55" s="91">
        <f>IF('AAA Summary'!$L$4=2, W55, IF('AAA Summary'!$L$4=1, AC55))</f>
        <v>38</v>
      </c>
      <c r="AI55" s="91">
        <f>IF('AAA Summary'!$L$4=2, X55, IF('AAA Summary'!$L$4=1, AD55))</f>
        <v>46</v>
      </c>
      <c r="AJ55" s="91">
        <f>IF('AAA Summary'!$L$4=2, Y55, IF('AAA Summary'!$L$4=1, AE55))</f>
        <v>56</v>
      </c>
      <c r="AK55" s="19">
        <v>0.29099999999999998</v>
      </c>
    </row>
    <row r="56" spans="1:37" x14ac:dyDescent="0.25">
      <c r="A56" t="s">
        <v>128</v>
      </c>
      <c r="B56" t="s">
        <v>129</v>
      </c>
      <c r="C56" s="96">
        <v>53</v>
      </c>
      <c r="D56" s="96">
        <v>42</v>
      </c>
      <c r="E56" s="97">
        <v>0.98</v>
      </c>
      <c r="F56" s="97">
        <v>1</v>
      </c>
      <c r="G56" s="97">
        <v>0.98</v>
      </c>
      <c r="H56" s="97">
        <v>1</v>
      </c>
      <c r="I56" s="42" t="s">
        <v>951</v>
      </c>
      <c r="J56">
        <v>38.5</v>
      </c>
      <c r="K56">
        <v>25.3</v>
      </c>
      <c r="L56">
        <v>53</v>
      </c>
      <c r="M56" s="42" t="s">
        <v>387</v>
      </c>
      <c r="N56" s="42" t="s">
        <v>236</v>
      </c>
      <c r="O56" s="98">
        <v>1.2E-2</v>
      </c>
      <c r="P56" s="42" t="str">
        <f t="shared" si="6"/>
        <v>RW6</v>
      </c>
      <c r="Q56" s="40">
        <f t="shared" si="11"/>
        <v>4</v>
      </c>
      <c r="R56" s="40">
        <f t="shared" si="12"/>
        <v>4</v>
      </c>
      <c r="S56" s="40">
        <f t="shared" si="13"/>
        <v>3</v>
      </c>
      <c r="T56" s="40">
        <f t="shared" si="4"/>
        <v>4</v>
      </c>
      <c r="U56" s="91">
        <f>IF('AAA Summary'!$L$35=4, RANK(H56,H$8:H$82,1)+COUNTIF($H$8:H56,H56)-1, IF('AAA Summary'!$L$35=3, RANK(G56,G$8:G$82,1)+COUNTIF($G$8:G56,G56)-1, IF('AAA Summary'!$L$35=2, RANK(F56,F$8:F$82,1)+COUNTIF($F$8:F56,F56)-1, IF('AAA Summary'!$L$35=1, RANK(E56,E$8:E$82,1)+COUNTIF($E$8:E56,E56)-1))))</f>
        <v>70</v>
      </c>
      <c r="V56" s="54">
        <f>IF('AAA Summary'!$L$35=4, H56, IF('AAA Summary'!$L$35=3, G56, IF('AAA Summary'!$L$35=2, F56, IF('AAA Summary'!$L$35=1, E56))))</f>
        <v>1</v>
      </c>
      <c r="W56" s="25">
        <f t="shared" si="7"/>
        <v>13.2</v>
      </c>
      <c r="X56" s="25">
        <f t="shared" si="8"/>
        <v>14.5</v>
      </c>
      <c r="Y56" s="25">
        <v>80</v>
      </c>
      <c r="Z56" s="25">
        <v>75</v>
      </c>
      <c r="AA56" s="25">
        <v>42</v>
      </c>
      <c r="AB56" s="25">
        <v>126</v>
      </c>
      <c r="AC56" s="25">
        <f t="shared" si="10"/>
        <v>33</v>
      </c>
      <c r="AD56" s="25">
        <f t="shared" si="9"/>
        <v>51</v>
      </c>
      <c r="AE56" s="25">
        <v>56</v>
      </c>
      <c r="AF56">
        <v>46</v>
      </c>
      <c r="AG56" s="91">
        <f>IF('AAA Summary'!$L$4=2, J56, IF('AAA Summary'!$L$4=1, Z56))</f>
        <v>75</v>
      </c>
      <c r="AH56" s="91">
        <f>IF('AAA Summary'!$L$4=2, W56, IF('AAA Summary'!$L$4=1, AC56))</f>
        <v>33</v>
      </c>
      <c r="AI56" s="91">
        <f>IF('AAA Summary'!$L$4=2, X56, IF('AAA Summary'!$L$4=1, AD56))</f>
        <v>51</v>
      </c>
      <c r="AJ56" s="91">
        <f>IF('AAA Summary'!$L$4=2, Y56, IF('AAA Summary'!$L$4=1, AE56))</f>
        <v>56</v>
      </c>
      <c r="AK56" s="19">
        <v>0.38500000000000001</v>
      </c>
    </row>
    <row r="57" spans="1:37" x14ac:dyDescent="0.25">
      <c r="A57" t="s">
        <v>101</v>
      </c>
      <c r="B57" t="s">
        <v>102</v>
      </c>
      <c r="C57" s="96">
        <v>16</v>
      </c>
      <c r="D57" s="96">
        <v>11</v>
      </c>
      <c r="E57" s="97">
        <v>0.94</v>
      </c>
      <c r="F57" s="97">
        <v>1</v>
      </c>
      <c r="G57" s="97">
        <v>1</v>
      </c>
      <c r="H57" s="97">
        <v>0.81</v>
      </c>
      <c r="I57" s="42" t="s">
        <v>952</v>
      </c>
      <c r="J57">
        <v>33.300000000000004</v>
      </c>
      <c r="K57">
        <v>11.799999999999999</v>
      </c>
      <c r="L57">
        <v>61.6</v>
      </c>
      <c r="M57" s="42" t="s">
        <v>455</v>
      </c>
      <c r="N57" s="42" t="s">
        <v>295</v>
      </c>
      <c r="O57" s="98">
        <v>1.7000000000000001E-2</v>
      </c>
      <c r="P57" s="42" t="str">
        <f t="shared" si="6"/>
        <v>RQW</v>
      </c>
      <c r="Q57" s="40">
        <f t="shared" si="11"/>
        <v>3</v>
      </c>
      <c r="R57" s="40">
        <f t="shared" si="12"/>
        <v>4</v>
      </c>
      <c r="S57" s="40">
        <f t="shared" si="13"/>
        <v>4</v>
      </c>
      <c r="T57" s="40">
        <f t="shared" si="4"/>
        <v>2</v>
      </c>
      <c r="U57" s="91">
        <f>IF('AAA Summary'!$L$35=4, RANK(H57,H$8:H$82,1)+COUNTIF($H$8:H57,H57)-1, IF('AAA Summary'!$L$35=3, RANK(G57,G$8:G$82,1)+COUNTIF($G$8:G57,G57)-1, IF('AAA Summary'!$L$35=2, RANK(F57,F$8:F$82,1)+COUNTIF($F$8:F57,F57)-1, IF('AAA Summary'!$L$35=1, RANK(E57,E$8:E$82,1)+COUNTIF($E$8:E57,E57)-1))))</f>
        <v>22</v>
      </c>
      <c r="V57" s="54">
        <f>IF('AAA Summary'!$L$35=4, H57, IF('AAA Summary'!$L$35=3, G57, IF('AAA Summary'!$L$35=2, F57, IF('AAA Summary'!$L$35=1, E57))))</f>
        <v>0.81</v>
      </c>
      <c r="W57" s="25">
        <f t="shared" si="7"/>
        <v>21.500000000000007</v>
      </c>
      <c r="X57" s="25">
        <f t="shared" si="8"/>
        <v>28.299999999999997</v>
      </c>
      <c r="Y57" s="25">
        <v>80</v>
      </c>
      <c r="Z57" s="25">
        <v>91</v>
      </c>
      <c r="AA57" s="25">
        <v>51</v>
      </c>
      <c r="AB57" s="25">
        <v>121</v>
      </c>
      <c r="AC57" s="25">
        <f t="shared" si="10"/>
        <v>40</v>
      </c>
      <c r="AD57" s="25">
        <f t="shared" si="9"/>
        <v>30</v>
      </c>
      <c r="AE57" s="25">
        <v>56</v>
      </c>
      <c r="AF57">
        <v>64</v>
      </c>
      <c r="AG57" s="91">
        <f>IF('AAA Summary'!$L$4=2, J57, IF('AAA Summary'!$L$4=1, Z57))</f>
        <v>91</v>
      </c>
      <c r="AH57" s="91">
        <f>IF('AAA Summary'!$L$4=2, W57, IF('AAA Summary'!$L$4=1, AC57))</f>
        <v>40</v>
      </c>
      <c r="AI57" s="91">
        <f>IF('AAA Summary'!$L$4=2, X57, IF('AAA Summary'!$L$4=1, AD57))</f>
        <v>30</v>
      </c>
      <c r="AJ57" s="91">
        <f>IF('AAA Summary'!$L$4=2, Y57, IF('AAA Summary'!$L$4=1, AE57))</f>
        <v>56</v>
      </c>
      <c r="AK57" s="19">
        <v>0.33300000000000002</v>
      </c>
    </row>
    <row r="58" spans="1:37" x14ac:dyDescent="0.25">
      <c r="A58" t="s">
        <v>42</v>
      </c>
      <c r="B58" t="s">
        <v>43</v>
      </c>
      <c r="C58" s="96">
        <v>59</v>
      </c>
      <c r="D58" s="96">
        <v>29</v>
      </c>
      <c r="E58" s="97">
        <v>0.95</v>
      </c>
      <c r="F58" s="97">
        <v>0.98</v>
      </c>
      <c r="G58" s="97">
        <v>0.95</v>
      </c>
      <c r="H58" s="97">
        <v>0.95</v>
      </c>
      <c r="I58" s="42" t="s">
        <v>953</v>
      </c>
      <c r="J58">
        <v>26.8</v>
      </c>
      <c r="K58">
        <v>15.8</v>
      </c>
      <c r="L58">
        <v>40.300000000000004</v>
      </c>
      <c r="M58" s="42" t="s">
        <v>357</v>
      </c>
      <c r="N58" s="42" t="s">
        <v>322</v>
      </c>
      <c r="O58" s="98">
        <v>2.7999999999999997E-2</v>
      </c>
      <c r="P58" s="42" t="str">
        <f t="shared" si="6"/>
        <v>RDZ</v>
      </c>
      <c r="Q58" s="40">
        <f t="shared" si="11"/>
        <v>3</v>
      </c>
      <c r="R58" s="40">
        <f t="shared" si="12"/>
        <v>2</v>
      </c>
      <c r="S58" s="40">
        <f t="shared" si="13"/>
        <v>3</v>
      </c>
      <c r="T58" s="40">
        <f t="shared" si="4"/>
        <v>3</v>
      </c>
      <c r="U58" s="91">
        <f>IF('AAA Summary'!$L$35=4, RANK(H58,H$8:H$82,1)+COUNTIF($H$8:H58,H58)-1, IF('AAA Summary'!$L$35=3, RANK(G58,G$8:G$82,1)+COUNTIF($G$8:G58,G58)-1, IF('AAA Summary'!$L$35=2, RANK(F58,F$8:F$82,1)+COUNTIF($F$8:F58,F58)-1, IF('AAA Summary'!$L$35=1, RANK(E58,E$8:E$82,1)+COUNTIF($E$8:E58,E58)-1))))</f>
        <v>54</v>
      </c>
      <c r="V58" s="54">
        <f>IF('AAA Summary'!$L$35=4, H58, IF('AAA Summary'!$L$35=3, G58, IF('AAA Summary'!$L$35=2, F58, IF('AAA Summary'!$L$35=1, E58))))</f>
        <v>0.95</v>
      </c>
      <c r="W58" s="25">
        <f t="shared" si="7"/>
        <v>11</v>
      </c>
      <c r="X58" s="25">
        <f t="shared" si="8"/>
        <v>13.500000000000004</v>
      </c>
      <c r="Y58" s="25">
        <v>80</v>
      </c>
      <c r="Z58" s="25">
        <v>80</v>
      </c>
      <c r="AA58" s="25">
        <v>52</v>
      </c>
      <c r="AB58" s="25">
        <v>113</v>
      </c>
      <c r="AC58" s="25">
        <f t="shared" si="10"/>
        <v>28</v>
      </c>
      <c r="AD58" s="25">
        <f t="shared" si="9"/>
        <v>33</v>
      </c>
      <c r="AE58" s="25">
        <v>56</v>
      </c>
      <c r="AF58">
        <v>55</v>
      </c>
      <c r="AG58" s="91">
        <f>IF('AAA Summary'!$L$4=2, J58, IF('AAA Summary'!$L$4=1, Z58))</f>
        <v>80</v>
      </c>
      <c r="AH58" s="91">
        <f>IF('AAA Summary'!$L$4=2, W58, IF('AAA Summary'!$L$4=1, AC58))</f>
        <v>28</v>
      </c>
      <c r="AI58" s="91">
        <f>IF('AAA Summary'!$L$4=2, X58, IF('AAA Summary'!$L$4=1, AD58))</f>
        <v>33</v>
      </c>
      <c r="AJ58" s="91">
        <f>IF('AAA Summary'!$L$4=2, Y58, IF('AAA Summary'!$L$4=1, AE58))</f>
        <v>56</v>
      </c>
      <c r="AK58" s="19">
        <v>0.26800000000000002</v>
      </c>
    </row>
    <row r="59" spans="1:37" x14ac:dyDescent="0.25">
      <c r="A59" t="s">
        <v>111</v>
      </c>
      <c r="B59" t="s">
        <v>112</v>
      </c>
      <c r="C59" s="96">
        <v>9</v>
      </c>
      <c r="D59" s="96">
        <v>4</v>
      </c>
      <c r="E59" s="97">
        <v>0.89</v>
      </c>
      <c r="F59" s="97">
        <v>1</v>
      </c>
      <c r="G59" s="97">
        <v>0.75</v>
      </c>
      <c r="H59" s="97">
        <v>1</v>
      </c>
      <c r="I59" s="42" t="s">
        <v>954</v>
      </c>
      <c r="J59" t="e">
        <v>#VALUE!</v>
      </c>
      <c r="K59" t="e">
        <v>#N/A</v>
      </c>
      <c r="L59" t="e">
        <v>#N/A</v>
      </c>
      <c r="M59" s="42" t="s">
        <v>369</v>
      </c>
      <c r="N59" s="42" t="s">
        <v>384</v>
      </c>
      <c r="O59" s="98">
        <v>0</v>
      </c>
      <c r="P59" s="42" t="str">
        <f t="shared" si="6"/>
        <v>RT3</v>
      </c>
      <c r="Q59" s="40">
        <f t="shared" si="11"/>
        <v>2</v>
      </c>
      <c r="R59" s="40">
        <f t="shared" si="12"/>
        <v>4</v>
      </c>
      <c r="S59" s="40">
        <f t="shared" si="13"/>
        <v>1</v>
      </c>
      <c r="T59" s="40">
        <f t="shared" si="4"/>
        <v>4</v>
      </c>
      <c r="U59" s="91">
        <f>IF('AAA Summary'!$L$35=4, RANK(H59,H$8:H$82,1)+COUNTIF($H$8:H59,H59)-1, IF('AAA Summary'!$L$35=3, RANK(G59,G$8:G$82,1)+COUNTIF($G$8:G59,G59)-1, IF('AAA Summary'!$L$35=2, RANK(F59,F$8:F$82,1)+COUNTIF($F$8:F59,F59)-1, IF('AAA Summary'!$L$35=1, RANK(E59,E$8:E$82,1)+COUNTIF($E$8:E59,E59)-1))))</f>
        <v>71</v>
      </c>
      <c r="V59" s="54">
        <f>IF('AAA Summary'!$L$35=4, H59, IF('AAA Summary'!$L$35=3, G59, IF('AAA Summary'!$L$35=2, F59, IF('AAA Summary'!$L$35=1, E59))))</f>
        <v>1</v>
      </c>
      <c r="W59" s="25" t="e">
        <f t="shared" si="7"/>
        <v>#VALUE!</v>
      </c>
      <c r="X59" s="25" t="e">
        <f t="shared" si="8"/>
        <v>#N/A</v>
      </c>
      <c r="Y59" s="25">
        <v>80</v>
      </c>
      <c r="Z59" s="25">
        <v>75</v>
      </c>
      <c r="AA59" s="25">
        <v>39</v>
      </c>
      <c r="AB59" s="25">
        <v>228</v>
      </c>
      <c r="AC59" s="25">
        <f t="shared" si="10"/>
        <v>36</v>
      </c>
      <c r="AD59" s="25">
        <f t="shared" si="9"/>
        <v>153</v>
      </c>
      <c r="AE59" s="25">
        <v>56</v>
      </c>
      <c r="AF59">
        <v>45</v>
      </c>
      <c r="AG59" s="91">
        <f>IF('AAA Summary'!$L$4=2, J59, IF('AAA Summary'!$L$4=1, Z59))</f>
        <v>75</v>
      </c>
      <c r="AH59" s="91">
        <f>IF('AAA Summary'!$L$4=2, W59, IF('AAA Summary'!$L$4=1, AC59))</f>
        <v>36</v>
      </c>
      <c r="AI59" s="91">
        <f>IF('AAA Summary'!$L$4=2, X59, IF('AAA Summary'!$L$4=1, AD59))</f>
        <v>153</v>
      </c>
      <c r="AJ59" s="91">
        <f>IF('AAA Summary'!$L$4=2, Y59, IF('AAA Summary'!$L$4=1, AE59))</f>
        <v>56</v>
      </c>
      <c r="AK59" s="19" t="s">
        <v>399</v>
      </c>
    </row>
    <row r="60" spans="1:37" x14ac:dyDescent="0.25">
      <c r="A60" t="s">
        <v>44</v>
      </c>
      <c r="B60" t="s">
        <v>45</v>
      </c>
      <c r="C60" s="96">
        <v>21</v>
      </c>
      <c r="D60" s="96">
        <v>11</v>
      </c>
      <c r="E60" s="97">
        <v>1</v>
      </c>
      <c r="F60" s="97">
        <v>1</v>
      </c>
      <c r="G60" s="97">
        <v>1</v>
      </c>
      <c r="H60" s="97">
        <v>0.95</v>
      </c>
      <c r="I60" s="42" t="s">
        <v>955</v>
      </c>
      <c r="J60">
        <v>61.9</v>
      </c>
      <c r="K60">
        <v>38.4</v>
      </c>
      <c r="L60">
        <v>81.899999999999991</v>
      </c>
      <c r="M60" s="42" t="s">
        <v>956</v>
      </c>
      <c r="N60" s="42" t="s">
        <v>320</v>
      </c>
      <c r="O60" s="98">
        <v>1.2E-2</v>
      </c>
      <c r="P60" s="42" t="str">
        <f t="shared" si="6"/>
        <v>REF</v>
      </c>
      <c r="Q60" s="40">
        <f t="shared" si="11"/>
        <v>4</v>
      </c>
      <c r="R60" s="40">
        <f t="shared" si="12"/>
        <v>4</v>
      </c>
      <c r="S60" s="40">
        <f t="shared" si="13"/>
        <v>4</v>
      </c>
      <c r="T60" s="40">
        <f t="shared" si="4"/>
        <v>3</v>
      </c>
      <c r="U60" s="91">
        <f>IF('AAA Summary'!$L$35=4, RANK(H60,H$8:H$82,1)+COUNTIF($H$8:H60,H60)-1, IF('AAA Summary'!$L$35=3, RANK(G60,G$8:G$82,1)+COUNTIF($G$8:G60,G60)-1, IF('AAA Summary'!$L$35=2, RANK(F60,F$8:F$82,1)+COUNTIF($F$8:F60,F60)-1, IF('AAA Summary'!$L$35=1, RANK(E60,E$8:E$82,1)+COUNTIF($E$8:E60,E60)-1))))</f>
        <v>55</v>
      </c>
      <c r="V60" s="54">
        <f>IF('AAA Summary'!$L$35=4, H60, IF('AAA Summary'!$L$35=3, G60, IF('AAA Summary'!$L$35=2, F60, IF('AAA Summary'!$L$35=1, E60))))</f>
        <v>0.95</v>
      </c>
      <c r="W60" s="25">
        <f t="shared" si="7"/>
        <v>23.5</v>
      </c>
      <c r="X60" s="25">
        <f t="shared" si="8"/>
        <v>19.999999999999993</v>
      </c>
      <c r="Y60" s="25">
        <v>80</v>
      </c>
      <c r="Z60" s="25">
        <v>46</v>
      </c>
      <c r="AA60" s="25">
        <v>27</v>
      </c>
      <c r="AB60" s="25">
        <v>100</v>
      </c>
      <c r="AC60" s="25">
        <f t="shared" si="10"/>
        <v>19</v>
      </c>
      <c r="AD60" s="25">
        <f t="shared" si="9"/>
        <v>54</v>
      </c>
      <c r="AE60" s="25">
        <v>56</v>
      </c>
      <c r="AF60">
        <v>9</v>
      </c>
      <c r="AG60" s="91">
        <f>IF('AAA Summary'!$L$4=2, J60, IF('AAA Summary'!$L$4=1, Z60))</f>
        <v>46</v>
      </c>
      <c r="AH60" s="91">
        <f>IF('AAA Summary'!$L$4=2, W60, IF('AAA Summary'!$L$4=1, AC60))</f>
        <v>19</v>
      </c>
      <c r="AI60" s="91">
        <f>IF('AAA Summary'!$L$4=2, X60, IF('AAA Summary'!$L$4=1, AD60))</f>
        <v>54</v>
      </c>
      <c r="AJ60" s="91">
        <f>IF('AAA Summary'!$L$4=2, Y60, IF('AAA Summary'!$L$4=1, AE60))</f>
        <v>56</v>
      </c>
      <c r="AK60" s="19">
        <v>0.61899999999999999</v>
      </c>
    </row>
    <row r="61" spans="1:37" x14ac:dyDescent="0.25">
      <c r="A61" t="s">
        <v>56</v>
      </c>
      <c r="B61" t="s">
        <v>57</v>
      </c>
      <c r="C61" s="96">
        <v>32</v>
      </c>
      <c r="D61" s="96">
        <v>11</v>
      </c>
      <c r="E61" s="97">
        <v>1</v>
      </c>
      <c r="F61" s="97">
        <v>1</v>
      </c>
      <c r="G61" s="97">
        <v>1</v>
      </c>
      <c r="H61" s="97">
        <v>0.97</v>
      </c>
      <c r="I61" s="42" t="s">
        <v>957</v>
      </c>
      <c r="J61">
        <v>37.5</v>
      </c>
      <c r="K61">
        <v>21.099999999999998</v>
      </c>
      <c r="L61">
        <v>56.3</v>
      </c>
      <c r="M61" s="42" t="s">
        <v>958</v>
      </c>
      <c r="N61" s="42" t="s">
        <v>322</v>
      </c>
      <c r="O61" s="98">
        <v>1.3999999999999999E-2</v>
      </c>
      <c r="P61" s="42" t="str">
        <f t="shared" si="6"/>
        <v>RH8</v>
      </c>
      <c r="Q61" s="40">
        <f t="shared" si="11"/>
        <v>4</v>
      </c>
      <c r="R61" s="40">
        <f t="shared" si="12"/>
        <v>4</v>
      </c>
      <c r="S61" s="40">
        <f t="shared" si="13"/>
        <v>4</v>
      </c>
      <c r="T61" s="40">
        <f t="shared" si="4"/>
        <v>4</v>
      </c>
      <c r="U61" s="91">
        <f>IF('AAA Summary'!$L$35=4, RANK(H61,H$8:H$82,1)+COUNTIF($H$8:H61,H61)-1, IF('AAA Summary'!$L$35=3, RANK(G61,G$8:G$82,1)+COUNTIF($G$8:G61,G61)-1, IF('AAA Summary'!$L$35=2, RANK(F61,F$8:F$82,1)+COUNTIF($F$8:F61,F61)-1, IF('AAA Summary'!$L$35=1, RANK(E61,E$8:E$82,1)+COUNTIF($E$8:E61,E61)-1))))</f>
        <v>61</v>
      </c>
      <c r="V61" s="54">
        <f>IF('AAA Summary'!$L$35=4, H61, IF('AAA Summary'!$L$35=3, G61, IF('AAA Summary'!$L$35=2, F61, IF('AAA Summary'!$L$35=1, E61))))</f>
        <v>0.97</v>
      </c>
      <c r="W61" s="25">
        <f t="shared" si="7"/>
        <v>16.400000000000002</v>
      </c>
      <c r="X61" s="25">
        <f t="shared" si="8"/>
        <v>18.799999999999997</v>
      </c>
      <c r="Y61" s="25">
        <v>80</v>
      </c>
      <c r="Z61" s="25">
        <v>75</v>
      </c>
      <c r="AA61" s="25">
        <v>47</v>
      </c>
      <c r="AB61" s="25">
        <v>142</v>
      </c>
      <c r="AC61" s="25">
        <f t="shared" si="10"/>
        <v>28</v>
      </c>
      <c r="AD61" s="25">
        <f t="shared" si="9"/>
        <v>67</v>
      </c>
      <c r="AE61" s="25">
        <v>56</v>
      </c>
      <c r="AF61">
        <v>47</v>
      </c>
      <c r="AG61" s="91">
        <f>IF('AAA Summary'!$L$4=2, J61, IF('AAA Summary'!$L$4=1, Z61))</f>
        <v>75</v>
      </c>
      <c r="AH61" s="91">
        <f>IF('AAA Summary'!$L$4=2, W61, IF('AAA Summary'!$L$4=1, AC61))</f>
        <v>28</v>
      </c>
      <c r="AI61" s="91">
        <f>IF('AAA Summary'!$L$4=2, X61, IF('AAA Summary'!$L$4=1, AD61))</f>
        <v>67</v>
      </c>
      <c r="AJ61" s="91">
        <f>IF('AAA Summary'!$L$4=2, Y61, IF('AAA Summary'!$L$4=1, AE61))</f>
        <v>56</v>
      </c>
      <c r="AK61" s="19">
        <v>0.375</v>
      </c>
    </row>
    <row r="62" spans="1:37" x14ac:dyDescent="0.25">
      <c r="A62" t="s">
        <v>23</v>
      </c>
      <c r="B62" t="s">
        <v>24</v>
      </c>
      <c r="C62" s="96">
        <v>37</v>
      </c>
      <c r="D62" s="96">
        <v>27</v>
      </c>
      <c r="E62" s="97">
        <v>0.78</v>
      </c>
      <c r="F62" s="97">
        <v>0.97</v>
      </c>
      <c r="G62" s="97">
        <v>0.8</v>
      </c>
      <c r="H62" s="97">
        <v>0.78</v>
      </c>
      <c r="I62" s="42" t="s">
        <v>959</v>
      </c>
      <c r="J62">
        <v>20.7</v>
      </c>
      <c r="K62">
        <v>8</v>
      </c>
      <c r="L62">
        <v>39.700000000000003</v>
      </c>
      <c r="M62" s="42" t="s">
        <v>960</v>
      </c>
      <c r="N62" s="42" t="s">
        <v>322</v>
      </c>
      <c r="O62" s="98">
        <v>0</v>
      </c>
      <c r="P62" s="42" t="str">
        <f t="shared" si="6"/>
        <v>RAL</v>
      </c>
      <c r="Q62" s="40">
        <f t="shared" si="11"/>
        <v>1</v>
      </c>
      <c r="R62" s="40">
        <f t="shared" si="12"/>
        <v>2</v>
      </c>
      <c r="S62" s="40">
        <f t="shared" si="13"/>
        <v>1</v>
      </c>
      <c r="T62" s="40">
        <f t="shared" si="4"/>
        <v>1</v>
      </c>
      <c r="U62" s="91">
        <f>IF('AAA Summary'!$L$35=4, RANK(H62,H$8:H$82,1)+COUNTIF($H$8:H62,H62)-1, IF('AAA Summary'!$L$35=3, RANK(G62,G$8:G$82,1)+COUNTIF($G$8:G62,G62)-1, IF('AAA Summary'!$L$35=2, RANK(F62,F$8:F$82,1)+COUNTIF($F$8:F62,F62)-1, IF('AAA Summary'!$L$35=1, RANK(E62,E$8:E$82,1)+COUNTIF($E$8:E62,E62)-1))))</f>
        <v>18</v>
      </c>
      <c r="V62" s="54">
        <f>IF('AAA Summary'!$L$35=4, H62, IF('AAA Summary'!$L$35=3, G62, IF('AAA Summary'!$L$35=2, F62, IF('AAA Summary'!$L$35=1, E62))))</f>
        <v>0.78</v>
      </c>
      <c r="W62" s="25">
        <f t="shared" si="7"/>
        <v>12.7</v>
      </c>
      <c r="X62" s="25">
        <f t="shared" si="8"/>
        <v>19.000000000000004</v>
      </c>
      <c r="Y62" s="25">
        <v>80</v>
      </c>
      <c r="Z62" s="25">
        <v>88</v>
      </c>
      <c r="AA62" s="25">
        <v>66</v>
      </c>
      <c r="AB62" s="25">
        <v>136</v>
      </c>
      <c r="AC62" s="25">
        <f t="shared" si="10"/>
        <v>22</v>
      </c>
      <c r="AD62" s="25">
        <f t="shared" si="9"/>
        <v>48</v>
      </c>
      <c r="AE62" s="25">
        <v>56</v>
      </c>
      <c r="AF62">
        <v>61</v>
      </c>
      <c r="AG62" s="91">
        <f>IF('AAA Summary'!$L$4=2, J62, IF('AAA Summary'!$L$4=1, Z62))</f>
        <v>88</v>
      </c>
      <c r="AH62" s="91">
        <f>IF('AAA Summary'!$L$4=2, W62, IF('AAA Summary'!$L$4=1, AC62))</f>
        <v>22</v>
      </c>
      <c r="AI62" s="91">
        <f>IF('AAA Summary'!$L$4=2, X62, IF('AAA Summary'!$L$4=1, AD62))</f>
        <v>48</v>
      </c>
      <c r="AJ62" s="91">
        <f>IF('AAA Summary'!$L$4=2, Y62, IF('AAA Summary'!$L$4=1, AE62))</f>
        <v>56</v>
      </c>
      <c r="AK62" s="19">
        <v>0.20699999999999999</v>
      </c>
    </row>
    <row r="63" spans="1:37" x14ac:dyDescent="0.25">
      <c r="A63" t="s">
        <v>60</v>
      </c>
      <c r="B63" t="s">
        <v>61</v>
      </c>
      <c r="C63" s="96">
        <v>37</v>
      </c>
      <c r="D63" s="96">
        <v>16</v>
      </c>
      <c r="E63" s="97">
        <v>0.73</v>
      </c>
      <c r="F63" s="97">
        <v>0.95</v>
      </c>
      <c r="G63" s="97">
        <v>0.71</v>
      </c>
      <c r="H63" s="97">
        <v>0.76</v>
      </c>
      <c r="I63" s="42" t="s">
        <v>961</v>
      </c>
      <c r="J63">
        <v>25.900000000000002</v>
      </c>
      <c r="K63">
        <v>11.1</v>
      </c>
      <c r="L63">
        <v>46.300000000000004</v>
      </c>
      <c r="M63" s="42" t="s">
        <v>367</v>
      </c>
      <c r="N63" s="42" t="s">
        <v>320</v>
      </c>
      <c r="O63" s="98">
        <v>2.5000000000000001E-2</v>
      </c>
      <c r="P63" s="42" t="str">
        <f t="shared" si="6"/>
        <v>RHQ</v>
      </c>
      <c r="Q63" s="40">
        <f t="shared" si="11"/>
        <v>1</v>
      </c>
      <c r="R63" s="40">
        <f t="shared" si="12"/>
        <v>1</v>
      </c>
      <c r="S63" s="40">
        <f t="shared" si="13"/>
        <v>1</v>
      </c>
      <c r="T63" s="40">
        <f t="shared" si="4"/>
        <v>1</v>
      </c>
      <c r="U63" s="91">
        <f>IF('AAA Summary'!$L$35=4, RANK(H63,H$8:H$82,1)+COUNTIF($H$8:H63,H63)-1, IF('AAA Summary'!$L$35=3, RANK(G63,G$8:G$82,1)+COUNTIF($G$8:G63,G63)-1, IF('AAA Summary'!$L$35=2, RANK(F63,F$8:F$82,1)+COUNTIF($F$8:F63,F63)-1, IF('AAA Summary'!$L$35=1, RANK(E63,E$8:E$82,1)+COUNTIF($E$8:E63,E63)-1))))</f>
        <v>15</v>
      </c>
      <c r="V63" s="54">
        <f>IF('AAA Summary'!$L$35=4, H63, IF('AAA Summary'!$L$35=3, G63, IF('AAA Summary'!$L$35=2, F63, IF('AAA Summary'!$L$35=1, E63))))</f>
        <v>0.76</v>
      </c>
      <c r="W63" s="25">
        <f t="shared" si="7"/>
        <v>14.800000000000002</v>
      </c>
      <c r="X63" s="25">
        <f t="shared" si="8"/>
        <v>20.400000000000002</v>
      </c>
      <c r="Y63" s="25">
        <v>80</v>
      </c>
      <c r="Z63" s="25">
        <v>80</v>
      </c>
      <c r="AA63" s="25">
        <v>55</v>
      </c>
      <c r="AB63" s="25">
        <v>116</v>
      </c>
      <c r="AC63" s="25">
        <f t="shared" si="10"/>
        <v>25</v>
      </c>
      <c r="AD63" s="25">
        <f t="shared" si="9"/>
        <v>36</v>
      </c>
      <c r="AE63" s="25">
        <v>56</v>
      </c>
      <c r="AF63">
        <v>57</v>
      </c>
      <c r="AG63" s="91">
        <f>IF('AAA Summary'!$L$4=2, J63, IF('AAA Summary'!$L$4=1, Z63))</f>
        <v>80</v>
      </c>
      <c r="AH63" s="91">
        <f>IF('AAA Summary'!$L$4=2, W63, IF('AAA Summary'!$L$4=1, AC63))</f>
        <v>25</v>
      </c>
      <c r="AI63" s="91">
        <f>IF('AAA Summary'!$L$4=2, X63, IF('AAA Summary'!$L$4=1, AD63))</f>
        <v>36</v>
      </c>
      <c r="AJ63" s="91">
        <f>IF('AAA Summary'!$L$4=2, Y63, IF('AAA Summary'!$L$4=1, AE63))</f>
        <v>56</v>
      </c>
      <c r="AK63" s="19">
        <v>0.25900000000000001</v>
      </c>
    </row>
    <row r="64" spans="1:37" x14ac:dyDescent="0.25">
      <c r="A64" t="s">
        <v>156</v>
      </c>
      <c r="B64" t="s">
        <v>157</v>
      </c>
      <c r="C64" s="96">
        <v>37</v>
      </c>
      <c r="D64" s="96">
        <v>27</v>
      </c>
      <c r="E64" s="97">
        <v>0.92</v>
      </c>
      <c r="F64" s="97">
        <v>0.95</v>
      </c>
      <c r="G64" s="97">
        <v>0.91</v>
      </c>
      <c r="H64" s="97">
        <v>0.84</v>
      </c>
      <c r="I64" s="42" t="s">
        <v>962</v>
      </c>
      <c r="J64">
        <v>61.8</v>
      </c>
      <c r="K64">
        <v>43.6</v>
      </c>
      <c r="L64">
        <v>77.8</v>
      </c>
      <c r="M64" s="42" t="s">
        <v>356</v>
      </c>
      <c r="N64" s="42" t="s">
        <v>349</v>
      </c>
      <c r="O64" s="98">
        <v>0</v>
      </c>
      <c r="P64" s="42" t="str">
        <f t="shared" si="6"/>
        <v>RXW</v>
      </c>
      <c r="Q64" s="40">
        <f t="shared" si="11"/>
        <v>2</v>
      </c>
      <c r="R64" s="40">
        <f t="shared" si="12"/>
        <v>1</v>
      </c>
      <c r="S64" s="40">
        <f t="shared" si="13"/>
        <v>2</v>
      </c>
      <c r="T64" s="40">
        <f t="shared" si="4"/>
        <v>2</v>
      </c>
      <c r="U64" s="91">
        <f>IF('AAA Summary'!$L$35=4, RANK(H64,H$8:H$82,1)+COUNTIF($H$8:H64,H64)-1, IF('AAA Summary'!$L$35=3, RANK(G64,G$8:G$82,1)+COUNTIF($G$8:G64,G64)-1, IF('AAA Summary'!$L$35=2, RANK(F64,F$8:F$82,1)+COUNTIF($F$8:F64,F64)-1, IF('AAA Summary'!$L$35=1, RANK(E64,E$8:E$82,1)+COUNTIF($E$8:E64,E64)-1))))</f>
        <v>25</v>
      </c>
      <c r="V64" s="54">
        <f>IF('AAA Summary'!$L$35=4, H64, IF('AAA Summary'!$L$35=3, G64, IF('AAA Summary'!$L$35=2, F64, IF('AAA Summary'!$L$35=1, E64))))</f>
        <v>0.84</v>
      </c>
      <c r="W64" s="25">
        <f t="shared" si="7"/>
        <v>18.199999999999996</v>
      </c>
      <c r="X64" s="25">
        <f t="shared" si="8"/>
        <v>16</v>
      </c>
      <c r="Y64" s="25">
        <v>80</v>
      </c>
      <c r="Z64" s="25">
        <v>45</v>
      </c>
      <c r="AA64" s="25">
        <v>31</v>
      </c>
      <c r="AB64" s="25">
        <v>73</v>
      </c>
      <c r="AC64" s="25">
        <f t="shared" si="10"/>
        <v>14</v>
      </c>
      <c r="AD64" s="25">
        <f t="shared" si="9"/>
        <v>28</v>
      </c>
      <c r="AE64" s="25">
        <v>56</v>
      </c>
      <c r="AF64">
        <v>8</v>
      </c>
      <c r="AG64" s="91">
        <f>IF('AAA Summary'!$L$4=2, J64, IF('AAA Summary'!$L$4=1, Z64))</f>
        <v>45</v>
      </c>
      <c r="AH64" s="91">
        <f>IF('AAA Summary'!$L$4=2, W64, IF('AAA Summary'!$L$4=1, AC64))</f>
        <v>14</v>
      </c>
      <c r="AI64" s="91">
        <f>IF('AAA Summary'!$L$4=2, X64, IF('AAA Summary'!$L$4=1, AD64))</f>
        <v>28</v>
      </c>
      <c r="AJ64" s="91">
        <f>IF('AAA Summary'!$L$4=2, Y64, IF('AAA Summary'!$L$4=1, AE64))</f>
        <v>56</v>
      </c>
      <c r="AK64" s="19">
        <v>0.61799999999999999</v>
      </c>
    </row>
    <row r="65" spans="1:37" x14ac:dyDescent="0.25">
      <c r="A65" t="s">
        <v>122</v>
      </c>
      <c r="B65" t="s">
        <v>123</v>
      </c>
      <c r="C65" s="96">
        <v>45</v>
      </c>
      <c r="D65" s="96">
        <v>27</v>
      </c>
      <c r="E65" s="97">
        <v>0.93</v>
      </c>
      <c r="F65" s="97">
        <v>0.91</v>
      </c>
      <c r="G65" s="97">
        <v>0.93</v>
      </c>
      <c r="H65" s="97">
        <v>0.96</v>
      </c>
      <c r="I65" s="42" t="s">
        <v>963</v>
      </c>
      <c r="J65">
        <v>38.1</v>
      </c>
      <c r="K65">
        <v>23.599999999999998</v>
      </c>
      <c r="L65">
        <v>54.400000000000006</v>
      </c>
      <c r="M65" s="42" t="s">
        <v>382</v>
      </c>
      <c r="N65" s="42" t="s">
        <v>320</v>
      </c>
      <c r="O65" s="98">
        <v>0</v>
      </c>
      <c r="P65" s="42" t="str">
        <f t="shared" si="6"/>
        <v>RTR</v>
      </c>
      <c r="Q65" s="40">
        <f t="shared" si="11"/>
        <v>2</v>
      </c>
      <c r="R65" s="40">
        <f t="shared" si="12"/>
        <v>1</v>
      </c>
      <c r="S65" s="40">
        <f t="shared" si="13"/>
        <v>2</v>
      </c>
      <c r="T65" s="40">
        <f t="shared" si="4"/>
        <v>4</v>
      </c>
      <c r="U65" s="91">
        <f>IF('AAA Summary'!$L$35=4, RANK(H65,H$8:H$82,1)+COUNTIF($H$8:H65,H65)-1, IF('AAA Summary'!$L$35=3, RANK(G65,G$8:G$82,1)+COUNTIF($G$8:G65,G65)-1, IF('AAA Summary'!$L$35=2, RANK(F65,F$8:F$82,1)+COUNTIF($F$8:F65,F65)-1, IF('AAA Summary'!$L$35=1, RANK(E65,E$8:E$82,1)+COUNTIF($E$8:E65,E65)-1))))</f>
        <v>59</v>
      </c>
      <c r="V65" s="54">
        <f>IF('AAA Summary'!$L$35=4, H65, IF('AAA Summary'!$L$35=3, G65, IF('AAA Summary'!$L$35=2, F65, IF('AAA Summary'!$L$35=1, E65))))</f>
        <v>0.96</v>
      </c>
      <c r="W65" s="25">
        <f t="shared" si="7"/>
        <v>14.500000000000004</v>
      </c>
      <c r="X65" s="25">
        <f t="shared" si="8"/>
        <v>16.300000000000004</v>
      </c>
      <c r="Y65" s="25">
        <v>80</v>
      </c>
      <c r="Z65" s="25">
        <v>83</v>
      </c>
      <c r="AA65" s="25">
        <v>47</v>
      </c>
      <c r="AB65" s="25">
        <v>127</v>
      </c>
      <c r="AC65" s="25">
        <f t="shared" si="10"/>
        <v>36</v>
      </c>
      <c r="AD65" s="25">
        <f t="shared" si="9"/>
        <v>44</v>
      </c>
      <c r="AE65" s="25">
        <v>56</v>
      </c>
      <c r="AF65">
        <v>58</v>
      </c>
      <c r="AG65" s="91">
        <f>IF('AAA Summary'!$L$4=2, J65, IF('AAA Summary'!$L$4=1, Z65))</f>
        <v>83</v>
      </c>
      <c r="AH65" s="91">
        <f>IF('AAA Summary'!$L$4=2, W65, IF('AAA Summary'!$L$4=1, AC65))</f>
        <v>36</v>
      </c>
      <c r="AI65" s="91">
        <f>IF('AAA Summary'!$L$4=2, X65, IF('AAA Summary'!$L$4=1, AD65))</f>
        <v>44</v>
      </c>
      <c r="AJ65" s="91">
        <f>IF('AAA Summary'!$L$4=2, Y65, IF('AAA Summary'!$L$4=1, AE65))</f>
        <v>56</v>
      </c>
      <c r="AK65" s="19">
        <v>0.38100000000000001</v>
      </c>
    </row>
    <row r="66" spans="1:37" x14ac:dyDescent="0.25">
      <c r="A66" t="s">
        <v>21</v>
      </c>
      <c r="B66" t="s">
        <v>22</v>
      </c>
      <c r="C66" s="96">
        <v>41</v>
      </c>
      <c r="D66" s="96">
        <v>32</v>
      </c>
      <c r="E66" s="97">
        <v>0.88</v>
      </c>
      <c r="F66" s="97">
        <v>1</v>
      </c>
      <c r="G66" s="97">
        <v>0.89</v>
      </c>
      <c r="H66" s="97">
        <v>0.71</v>
      </c>
      <c r="I66" s="42" t="s">
        <v>964</v>
      </c>
      <c r="J66">
        <v>30.599999999999998</v>
      </c>
      <c r="K66">
        <v>16.3</v>
      </c>
      <c r="L66">
        <v>48.1</v>
      </c>
      <c r="M66" s="42" t="s">
        <v>965</v>
      </c>
      <c r="N66" s="42" t="s">
        <v>320</v>
      </c>
      <c r="O66" s="98">
        <v>2.2000000000000002E-2</v>
      </c>
      <c r="P66" s="42" t="str">
        <f t="shared" si="6"/>
        <v>RAJ</v>
      </c>
      <c r="Q66" s="40">
        <f t="shared" si="11"/>
        <v>2</v>
      </c>
      <c r="R66" s="40">
        <f t="shared" si="12"/>
        <v>4</v>
      </c>
      <c r="S66" s="40">
        <f t="shared" si="13"/>
        <v>2</v>
      </c>
      <c r="T66" s="40">
        <f t="shared" si="4"/>
        <v>1</v>
      </c>
      <c r="U66" s="91">
        <f>IF('AAA Summary'!$L$35=4, RANK(H66,H$8:H$82,1)+COUNTIF($H$8:H66,H66)-1, IF('AAA Summary'!$L$35=3, RANK(G66,G$8:G$82,1)+COUNTIF($G$8:G66,G66)-1, IF('AAA Summary'!$L$35=2, RANK(F66,F$8:F$82,1)+COUNTIF($F$8:F66,F66)-1, IF('AAA Summary'!$L$35=1, RANK(E66,E$8:E$82,1)+COUNTIF($E$8:E66,E66)-1))))</f>
        <v>11</v>
      </c>
      <c r="V66" s="54">
        <f>IF('AAA Summary'!$L$35=4, H66, IF('AAA Summary'!$L$35=3, G66, IF('AAA Summary'!$L$35=2, F66, IF('AAA Summary'!$L$35=1, E66))))</f>
        <v>0.71</v>
      </c>
      <c r="W66" s="25">
        <f t="shared" si="7"/>
        <v>14.299999999999997</v>
      </c>
      <c r="X66" s="25">
        <f t="shared" si="8"/>
        <v>17.500000000000004</v>
      </c>
      <c r="Y66" s="25">
        <v>80</v>
      </c>
      <c r="Z66" s="25">
        <v>80</v>
      </c>
      <c r="AA66" s="25">
        <v>52</v>
      </c>
      <c r="AB66" s="25">
        <v>130</v>
      </c>
      <c r="AC66" s="25">
        <f t="shared" si="10"/>
        <v>28</v>
      </c>
      <c r="AD66" s="25">
        <f t="shared" si="9"/>
        <v>50</v>
      </c>
      <c r="AE66" s="25">
        <v>56</v>
      </c>
      <c r="AF66">
        <v>56</v>
      </c>
      <c r="AG66" s="91">
        <f>IF('AAA Summary'!$L$4=2, J66, IF('AAA Summary'!$L$4=1, Z66))</f>
        <v>80</v>
      </c>
      <c r="AH66" s="91">
        <f>IF('AAA Summary'!$L$4=2, W66, IF('AAA Summary'!$L$4=1, AC66))</f>
        <v>28</v>
      </c>
      <c r="AI66" s="91">
        <f>IF('AAA Summary'!$L$4=2, X66, IF('AAA Summary'!$L$4=1, AD66))</f>
        <v>50</v>
      </c>
      <c r="AJ66" s="91">
        <f>IF('AAA Summary'!$L$4=2, Y66, IF('AAA Summary'!$L$4=1, AE66))</f>
        <v>56</v>
      </c>
      <c r="AK66" s="19">
        <v>0.30599999999999999</v>
      </c>
    </row>
    <row r="67" spans="1:37" x14ac:dyDescent="0.25">
      <c r="A67" t="s">
        <v>68</v>
      </c>
      <c r="B67" t="s">
        <v>69</v>
      </c>
      <c r="C67" s="96">
        <v>61</v>
      </c>
      <c r="D67" s="96">
        <v>56</v>
      </c>
      <c r="E67" s="97">
        <v>0.84</v>
      </c>
      <c r="F67" s="97">
        <v>0.98</v>
      </c>
      <c r="G67" s="97">
        <v>0.82</v>
      </c>
      <c r="H67" s="97">
        <v>0.87</v>
      </c>
      <c r="I67" s="42" t="s">
        <v>966</v>
      </c>
      <c r="J67">
        <v>45.1</v>
      </c>
      <c r="K67">
        <v>31.1</v>
      </c>
      <c r="L67">
        <v>59.699999999999996</v>
      </c>
      <c r="M67" s="42" t="s">
        <v>967</v>
      </c>
      <c r="N67" s="42" t="s">
        <v>320</v>
      </c>
      <c r="O67" s="98">
        <v>0</v>
      </c>
      <c r="P67" s="42" t="str">
        <f t="shared" si="6"/>
        <v>RJ7</v>
      </c>
      <c r="Q67" s="40">
        <f t="shared" si="11"/>
        <v>1</v>
      </c>
      <c r="R67" s="40">
        <f t="shared" si="12"/>
        <v>2</v>
      </c>
      <c r="S67" s="40">
        <f t="shared" si="13"/>
        <v>1</v>
      </c>
      <c r="T67" s="40">
        <f t="shared" si="4"/>
        <v>2</v>
      </c>
      <c r="U67" s="91">
        <f>IF('AAA Summary'!$L$35=4, RANK(H67,H$8:H$82,1)+COUNTIF($H$8:H67,H67)-1, IF('AAA Summary'!$L$35=3, RANK(G67,G$8:G$82,1)+COUNTIF($G$8:G67,G67)-1, IF('AAA Summary'!$L$35=2, RANK(F67,F$8:F$82,1)+COUNTIF($F$8:F67,F67)-1, IF('AAA Summary'!$L$35=1, RANK(E67,E$8:E$82,1)+COUNTIF($E$8:E67,E67)-1))))</f>
        <v>29</v>
      </c>
      <c r="V67" s="54">
        <f>IF('AAA Summary'!$L$35=4, H67, IF('AAA Summary'!$L$35=3, G67, IF('AAA Summary'!$L$35=2, F67, IF('AAA Summary'!$L$35=1, E67))))</f>
        <v>0.87</v>
      </c>
      <c r="W67" s="25">
        <f t="shared" si="7"/>
        <v>14</v>
      </c>
      <c r="X67" s="25">
        <f t="shared" si="8"/>
        <v>14.599999999999994</v>
      </c>
      <c r="Y67" s="25">
        <v>80</v>
      </c>
      <c r="Z67" s="25">
        <v>69</v>
      </c>
      <c r="AA67" s="25">
        <v>30</v>
      </c>
      <c r="AB67" s="25">
        <v>124</v>
      </c>
      <c r="AC67" s="25">
        <f t="shared" si="10"/>
        <v>39</v>
      </c>
      <c r="AD67" s="25">
        <f t="shared" si="9"/>
        <v>55</v>
      </c>
      <c r="AE67" s="25">
        <v>56</v>
      </c>
      <c r="AF67">
        <v>40</v>
      </c>
      <c r="AG67" s="91">
        <f>IF('AAA Summary'!$L$4=2, J67, IF('AAA Summary'!$L$4=1, Z67))</f>
        <v>69</v>
      </c>
      <c r="AH67" s="91">
        <f>IF('AAA Summary'!$L$4=2, W67, IF('AAA Summary'!$L$4=1, AC67))</f>
        <v>39</v>
      </c>
      <c r="AI67" s="91">
        <f>IF('AAA Summary'!$L$4=2, X67, IF('AAA Summary'!$L$4=1, AD67))</f>
        <v>55</v>
      </c>
      <c r="AJ67" s="91">
        <f>IF('AAA Summary'!$L$4=2, Y67, IF('AAA Summary'!$L$4=1, AE67))</f>
        <v>56</v>
      </c>
      <c r="AK67" s="19">
        <v>0.45100000000000001</v>
      </c>
    </row>
    <row r="68" spans="1:37" x14ac:dyDescent="0.25">
      <c r="A68" t="s">
        <v>4</v>
      </c>
      <c r="B68" t="s">
        <v>213</v>
      </c>
      <c r="C68" s="96">
        <v>61</v>
      </c>
      <c r="D68" s="96">
        <v>20</v>
      </c>
      <c r="E68" s="97">
        <v>0.97</v>
      </c>
      <c r="F68" s="97">
        <v>1</v>
      </c>
      <c r="G68" s="97">
        <v>0.98</v>
      </c>
      <c r="H68" s="97">
        <v>0.92</v>
      </c>
      <c r="I68" s="42" t="s">
        <v>968</v>
      </c>
      <c r="J68">
        <v>33.900000000000006</v>
      </c>
      <c r="K68">
        <v>22.1</v>
      </c>
      <c r="L68">
        <v>47.4</v>
      </c>
      <c r="M68" s="42" t="s">
        <v>366</v>
      </c>
      <c r="N68" s="42" t="s">
        <v>236</v>
      </c>
      <c r="O68" s="98">
        <v>3.7999999999999999E-2</v>
      </c>
      <c r="P68" s="42" t="str">
        <f t="shared" si="6"/>
        <v>7A3</v>
      </c>
      <c r="Q68" s="40">
        <f t="shared" si="11"/>
        <v>3</v>
      </c>
      <c r="R68" s="40">
        <f t="shared" si="12"/>
        <v>4</v>
      </c>
      <c r="S68" s="40">
        <f t="shared" si="13"/>
        <v>3</v>
      </c>
      <c r="T68" s="40">
        <f t="shared" si="4"/>
        <v>3</v>
      </c>
      <c r="U68" s="91">
        <f>IF('AAA Summary'!$L$35=4, RANK(H68,H$8:H$82,1)+COUNTIF($H$8:H68,H68)-1, IF('AAA Summary'!$L$35=3, RANK(G68,G$8:G$82,1)+COUNTIF($G$8:G68,G68)-1, IF('AAA Summary'!$L$35=2, RANK(F68,F$8:F$82,1)+COUNTIF($F$8:F68,F68)-1, IF('AAA Summary'!$L$35=1, RANK(E68,E$8:E$82,1)+COUNTIF($E$8:E68,E68)-1))))</f>
        <v>47</v>
      </c>
      <c r="V68" s="54">
        <f>IF('AAA Summary'!$L$35=4, H68, IF('AAA Summary'!$L$35=3, G68, IF('AAA Summary'!$L$35=2, F68, IF('AAA Summary'!$L$35=1, E68))))</f>
        <v>0.92</v>
      </c>
      <c r="W68" s="25">
        <f t="shared" si="7"/>
        <v>11.800000000000004</v>
      </c>
      <c r="X68" s="25">
        <f t="shared" si="8"/>
        <v>13.499999999999993</v>
      </c>
      <c r="Y68" s="25">
        <v>80</v>
      </c>
      <c r="Z68" s="25">
        <v>79</v>
      </c>
      <c r="AA68" s="25">
        <v>43</v>
      </c>
      <c r="AB68" s="25">
        <v>123</v>
      </c>
      <c r="AC68" s="25">
        <f t="shared" si="10"/>
        <v>36</v>
      </c>
      <c r="AD68" s="25">
        <f t="shared" si="9"/>
        <v>44</v>
      </c>
      <c r="AE68" s="25">
        <v>56</v>
      </c>
      <c r="AF68">
        <v>51</v>
      </c>
      <c r="AG68" s="91">
        <f>IF('AAA Summary'!$L$4=2, J68, IF('AAA Summary'!$L$4=1, Z68))</f>
        <v>79</v>
      </c>
      <c r="AH68" s="91">
        <f>IF('AAA Summary'!$L$4=2, W68, IF('AAA Summary'!$L$4=1, AC68))</f>
        <v>36</v>
      </c>
      <c r="AI68" s="91">
        <f>IF('AAA Summary'!$L$4=2, X68, IF('AAA Summary'!$L$4=1, AD68))</f>
        <v>44</v>
      </c>
      <c r="AJ68" s="91">
        <f>IF('AAA Summary'!$L$4=2, Y68, IF('AAA Summary'!$L$4=1, AE68))</f>
        <v>56</v>
      </c>
      <c r="AK68" s="19">
        <v>0.33900000000000002</v>
      </c>
    </row>
    <row r="69" spans="1:37" x14ac:dyDescent="0.25">
      <c r="A69" t="s">
        <v>25</v>
      </c>
      <c r="B69" t="s">
        <v>26</v>
      </c>
      <c r="C69" s="96">
        <v>62</v>
      </c>
      <c r="D69" s="96">
        <v>37</v>
      </c>
      <c r="E69" s="97">
        <v>0.98</v>
      </c>
      <c r="F69" s="97">
        <v>0.97</v>
      </c>
      <c r="G69" s="97">
        <v>1</v>
      </c>
      <c r="H69" s="97">
        <v>0.98</v>
      </c>
      <c r="I69" s="42" t="s">
        <v>969</v>
      </c>
      <c r="J69">
        <v>44.3</v>
      </c>
      <c r="K69">
        <v>31.5</v>
      </c>
      <c r="L69">
        <v>57.599999999999994</v>
      </c>
      <c r="M69" s="42" t="s">
        <v>359</v>
      </c>
      <c r="N69" s="42" t="s">
        <v>322</v>
      </c>
      <c r="O69" s="98">
        <v>1.6E-2</v>
      </c>
      <c r="P69" s="42" t="str">
        <f t="shared" si="6"/>
        <v>RBA</v>
      </c>
      <c r="Q69" s="40">
        <f t="shared" si="11"/>
        <v>4</v>
      </c>
      <c r="R69" s="40">
        <f t="shared" si="12"/>
        <v>2</v>
      </c>
      <c r="S69" s="40">
        <f t="shared" si="13"/>
        <v>4</v>
      </c>
      <c r="T69" s="40">
        <f t="shared" si="4"/>
        <v>4</v>
      </c>
      <c r="U69" s="91">
        <f>IF('AAA Summary'!$L$35=4, RANK(H69,H$8:H$82,1)+COUNTIF($H$8:H69,H69)-1, IF('AAA Summary'!$L$35=3, RANK(G69,G$8:G$82,1)+COUNTIF($G$8:G69,G69)-1, IF('AAA Summary'!$L$35=2, RANK(F69,F$8:F$82,1)+COUNTIF($F$8:F69,F69)-1, IF('AAA Summary'!$L$35=1, RANK(E69,E$8:E$82,1)+COUNTIF($E$8:E69,E69)-1))))</f>
        <v>64</v>
      </c>
      <c r="V69" s="54">
        <f>IF('AAA Summary'!$L$35=4, H69, IF('AAA Summary'!$L$35=3, G69, IF('AAA Summary'!$L$35=2, F69, IF('AAA Summary'!$L$35=1, E69))))</f>
        <v>0.98</v>
      </c>
      <c r="W69" s="25">
        <f t="shared" si="7"/>
        <v>12.799999999999997</v>
      </c>
      <c r="X69" s="25">
        <f t="shared" si="8"/>
        <v>13.299999999999997</v>
      </c>
      <c r="Y69" s="25">
        <v>80</v>
      </c>
      <c r="Z69" s="25">
        <v>63</v>
      </c>
      <c r="AA69" s="25">
        <v>42</v>
      </c>
      <c r="AB69" s="25">
        <v>90</v>
      </c>
      <c r="AC69" s="25">
        <f t="shared" si="10"/>
        <v>21</v>
      </c>
      <c r="AD69" s="25">
        <f t="shared" si="9"/>
        <v>27</v>
      </c>
      <c r="AE69" s="25">
        <v>56</v>
      </c>
      <c r="AF69">
        <v>34</v>
      </c>
      <c r="AG69" s="91">
        <f>IF('AAA Summary'!$L$4=2, J69, IF('AAA Summary'!$L$4=1, Z69))</f>
        <v>63</v>
      </c>
      <c r="AH69" s="91">
        <f>IF('AAA Summary'!$L$4=2, W69, IF('AAA Summary'!$L$4=1, AC69))</f>
        <v>21</v>
      </c>
      <c r="AI69" s="91">
        <f>IF('AAA Summary'!$L$4=2, X69, IF('AAA Summary'!$L$4=1, AD69))</f>
        <v>27</v>
      </c>
      <c r="AJ69" s="91">
        <f>IF('AAA Summary'!$L$4=2, Y69, IF('AAA Summary'!$L$4=1, AE69))</f>
        <v>56</v>
      </c>
      <c r="AK69" s="19">
        <v>0.443</v>
      </c>
    </row>
    <row r="70" spans="1:37" x14ac:dyDescent="0.25">
      <c r="A70" t="s">
        <v>87</v>
      </c>
      <c r="B70" t="s">
        <v>88</v>
      </c>
      <c r="C70" s="96">
        <v>58</v>
      </c>
      <c r="D70" s="96">
        <v>31</v>
      </c>
      <c r="E70" s="97">
        <v>0.88</v>
      </c>
      <c r="F70" s="97">
        <v>0.98</v>
      </c>
      <c r="G70" s="97">
        <v>0.9</v>
      </c>
      <c r="H70" s="97">
        <v>0.81</v>
      </c>
      <c r="I70" s="42" t="s">
        <v>970</v>
      </c>
      <c r="J70">
        <v>51</v>
      </c>
      <c r="K70">
        <v>36.6</v>
      </c>
      <c r="L70">
        <v>65.2</v>
      </c>
      <c r="M70" s="42" t="s">
        <v>235</v>
      </c>
      <c r="N70" s="42" t="s">
        <v>295</v>
      </c>
      <c r="O70" s="98">
        <v>0</v>
      </c>
      <c r="P70" s="42" t="str">
        <f t="shared" si="6"/>
        <v>RNA</v>
      </c>
      <c r="Q70" s="40">
        <f t="shared" si="11"/>
        <v>2</v>
      </c>
      <c r="R70" s="40">
        <f t="shared" si="12"/>
        <v>2</v>
      </c>
      <c r="S70" s="40">
        <f t="shared" si="13"/>
        <v>2</v>
      </c>
      <c r="T70" s="40">
        <f t="shared" si="4"/>
        <v>2</v>
      </c>
      <c r="U70" s="91">
        <f>IF('AAA Summary'!$L$35=4, RANK(H70,H$8:H$82,1)+COUNTIF($H$8:H70,H70)-1, IF('AAA Summary'!$L$35=3, RANK(G70,G$8:G$82,1)+COUNTIF($G$8:G70,G70)-1, IF('AAA Summary'!$L$35=2, RANK(F70,F$8:F$82,1)+COUNTIF($F$8:F70,F70)-1, IF('AAA Summary'!$L$35=1, RANK(E70,E$8:E$82,1)+COUNTIF($E$8:E70,E70)-1))))</f>
        <v>23</v>
      </c>
      <c r="V70" s="54">
        <f>IF('AAA Summary'!$L$35=4, H70, IF('AAA Summary'!$L$35=3, G70, IF('AAA Summary'!$L$35=2, F70, IF('AAA Summary'!$L$35=1, E70))))</f>
        <v>0.81</v>
      </c>
      <c r="W70" s="25">
        <f t="shared" si="7"/>
        <v>14.399999999999999</v>
      </c>
      <c r="X70" s="25">
        <f t="shared" si="8"/>
        <v>14.200000000000003</v>
      </c>
      <c r="Y70" s="25">
        <v>80</v>
      </c>
      <c r="Z70" s="25">
        <v>56</v>
      </c>
      <c r="AA70" s="25">
        <v>33</v>
      </c>
      <c r="AB70" s="25">
        <v>98</v>
      </c>
      <c r="AC70" s="25">
        <f t="shared" si="10"/>
        <v>23</v>
      </c>
      <c r="AD70" s="25">
        <f t="shared" si="9"/>
        <v>42</v>
      </c>
      <c r="AE70" s="25">
        <v>56</v>
      </c>
      <c r="AF70">
        <v>23</v>
      </c>
      <c r="AG70" s="91">
        <f>IF('AAA Summary'!$L$4=2, J70, IF('AAA Summary'!$L$4=1, Z70))</f>
        <v>56</v>
      </c>
      <c r="AH70" s="91">
        <f>IF('AAA Summary'!$L$4=2, W70, IF('AAA Summary'!$L$4=1, AC70))</f>
        <v>23</v>
      </c>
      <c r="AI70" s="91">
        <f>IF('AAA Summary'!$L$4=2, X70, IF('AAA Summary'!$L$4=1, AD70))</f>
        <v>42</v>
      </c>
      <c r="AJ70" s="91">
        <f>IF('AAA Summary'!$L$4=2, Y70, IF('AAA Summary'!$L$4=1, AE70))</f>
        <v>56</v>
      </c>
      <c r="AK70" s="19">
        <v>0.51</v>
      </c>
    </row>
    <row r="71" spans="1:37" x14ac:dyDescent="0.25">
      <c r="A71" t="s">
        <v>17</v>
      </c>
      <c r="B71" t="s">
        <v>18</v>
      </c>
      <c r="C71" s="96">
        <v>15</v>
      </c>
      <c r="D71" s="96">
        <v>10</v>
      </c>
      <c r="E71" s="97">
        <v>1</v>
      </c>
      <c r="F71" s="97">
        <v>1</v>
      </c>
      <c r="G71" s="97">
        <v>1</v>
      </c>
      <c r="H71" s="97">
        <v>1</v>
      </c>
      <c r="I71" s="42" t="s">
        <v>971</v>
      </c>
      <c r="J71">
        <v>53.300000000000004</v>
      </c>
      <c r="K71">
        <v>26.6</v>
      </c>
      <c r="L71">
        <v>78.7</v>
      </c>
      <c r="M71" s="42" t="s">
        <v>972</v>
      </c>
      <c r="N71" s="42" t="s">
        <v>322</v>
      </c>
      <c r="O71" s="98">
        <v>0</v>
      </c>
      <c r="P71" s="42" t="str">
        <f t="shared" si="6"/>
        <v>RA9</v>
      </c>
      <c r="Q71" s="40">
        <f t="shared" si="11"/>
        <v>4</v>
      </c>
      <c r="R71" s="40">
        <f t="shared" si="12"/>
        <v>4</v>
      </c>
      <c r="S71" s="40">
        <f t="shared" si="13"/>
        <v>4</v>
      </c>
      <c r="T71" s="40">
        <f t="shared" si="4"/>
        <v>4</v>
      </c>
      <c r="U71" s="91">
        <f>IF('AAA Summary'!$L$35=4, RANK(H71,H$8:H$82,1)+COUNTIF($H$8:H71,H71)-1, IF('AAA Summary'!$L$35=3, RANK(G71,G$8:G$82,1)+COUNTIF($G$8:G71,G71)-1, IF('AAA Summary'!$L$35=2, RANK(F71,F$8:F$82,1)+COUNTIF($F$8:F71,F71)-1, IF('AAA Summary'!$L$35=1, RANK(E71,E$8:E$82,1)+COUNTIF($E$8:E71,E71)-1))))</f>
        <v>72</v>
      </c>
      <c r="V71" s="54">
        <f>IF('AAA Summary'!$L$35=4, H71, IF('AAA Summary'!$L$35=3, G71, IF('AAA Summary'!$L$35=2, F71, IF('AAA Summary'!$L$35=1, E71))))</f>
        <v>1</v>
      </c>
      <c r="W71" s="25">
        <f t="shared" si="7"/>
        <v>26.700000000000003</v>
      </c>
      <c r="X71" s="25">
        <f t="shared" si="8"/>
        <v>25.4</v>
      </c>
      <c r="Y71" s="25">
        <v>80</v>
      </c>
      <c r="Z71" s="25">
        <v>54</v>
      </c>
      <c r="AA71" s="25">
        <v>28</v>
      </c>
      <c r="AB71" s="25">
        <v>65</v>
      </c>
      <c r="AC71" s="25">
        <f t="shared" si="10"/>
        <v>26</v>
      </c>
      <c r="AD71" s="25">
        <f t="shared" si="9"/>
        <v>11</v>
      </c>
      <c r="AE71" s="25">
        <v>56</v>
      </c>
      <c r="AF71">
        <v>20</v>
      </c>
      <c r="AG71" s="91">
        <f>IF('AAA Summary'!$L$4=2, J71, IF('AAA Summary'!$L$4=1, Z71))</f>
        <v>54</v>
      </c>
      <c r="AH71" s="91">
        <f>IF('AAA Summary'!$L$4=2, W71, IF('AAA Summary'!$L$4=1, AC71))</f>
        <v>26</v>
      </c>
      <c r="AI71" s="91">
        <f>IF('AAA Summary'!$L$4=2, X71, IF('AAA Summary'!$L$4=1, AD71))</f>
        <v>11</v>
      </c>
      <c r="AJ71" s="91">
        <f>IF('AAA Summary'!$L$4=2, Y71, IF('AAA Summary'!$L$4=1, AE71))</f>
        <v>56</v>
      </c>
      <c r="AK71" s="19">
        <v>0.53300000000000003</v>
      </c>
    </row>
    <row r="72" spans="1:37" x14ac:dyDescent="0.25">
      <c r="A72" t="s">
        <v>132</v>
      </c>
      <c r="B72" t="s">
        <v>133</v>
      </c>
      <c r="C72" s="96">
        <v>43</v>
      </c>
      <c r="D72" s="96">
        <v>16</v>
      </c>
      <c r="E72" s="97">
        <v>0.98</v>
      </c>
      <c r="F72" s="97">
        <v>0.98</v>
      </c>
      <c r="G72" s="97">
        <v>0.98</v>
      </c>
      <c r="H72" s="97">
        <v>1</v>
      </c>
      <c r="I72" s="42" t="s">
        <v>973</v>
      </c>
      <c r="J72">
        <v>42.9</v>
      </c>
      <c r="K72">
        <v>27.700000000000003</v>
      </c>
      <c r="L72">
        <v>59</v>
      </c>
      <c r="M72" s="42" t="s">
        <v>389</v>
      </c>
      <c r="N72" s="42" t="s">
        <v>330</v>
      </c>
      <c r="O72" s="98">
        <v>3.2000000000000001E-2</v>
      </c>
      <c r="P72" s="42" t="str">
        <f t="shared" si="6"/>
        <v>RWD</v>
      </c>
      <c r="Q72" s="40">
        <f t="shared" ref="Q72:Q82" si="14">+IF(E72&lt;E$2,1,IF(E72&lt;E$3,2,IF(E72&lt;E$4,3,4)))</f>
        <v>4</v>
      </c>
      <c r="R72" s="40">
        <f t="shared" ref="R72:R82" si="15">+IF(F72&lt;F$2,1,IF(F72&lt;F$3,2,IF(F72&lt;F$4,3,4)))</f>
        <v>2</v>
      </c>
      <c r="S72" s="40">
        <f t="shared" ref="S72:S82" si="16">+IF(G72&lt;G$2,1,IF(G72&lt;G$3,2,IF(G72&lt;G$4,3,4)))</f>
        <v>3</v>
      </c>
      <c r="T72" s="40">
        <f t="shared" ref="T72:T82" si="17">+IF(H72&lt;H$2,1,IF(H72&lt;H$3,2,IF(H72&lt;H$4,3,4)))</f>
        <v>4</v>
      </c>
      <c r="U72" s="91">
        <f>IF('AAA Summary'!$L$35=4, RANK(H72,H$8:H$82,1)+COUNTIF($H$8:H72,H72)-1, IF('AAA Summary'!$L$35=3, RANK(G72,G$8:G$82,1)+COUNTIF($G$8:G72,G72)-1, IF('AAA Summary'!$L$35=2, RANK(F72,F$8:F$82,1)+COUNTIF($F$8:F72,F72)-1, IF('AAA Summary'!$L$35=1, RANK(E72,E$8:E$82,1)+COUNTIF($E$8:E72,E72)-1))))</f>
        <v>73</v>
      </c>
      <c r="V72" s="54">
        <f>IF('AAA Summary'!$L$35=4, H72, IF('AAA Summary'!$L$35=3, G72, IF('AAA Summary'!$L$35=2, F72, IF('AAA Summary'!$L$35=1, E72))))</f>
        <v>1</v>
      </c>
      <c r="W72" s="25">
        <f t="shared" si="7"/>
        <v>15.199999999999996</v>
      </c>
      <c r="X72" s="25">
        <f t="shared" si="8"/>
        <v>16.100000000000001</v>
      </c>
      <c r="Y72" s="25">
        <v>80</v>
      </c>
      <c r="Z72" s="25">
        <v>62</v>
      </c>
      <c r="AA72" s="25">
        <v>36</v>
      </c>
      <c r="AB72" s="25">
        <v>89</v>
      </c>
      <c r="AC72" s="25">
        <f t="shared" si="10"/>
        <v>26</v>
      </c>
      <c r="AD72" s="25">
        <f t="shared" si="9"/>
        <v>27</v>
      </c>
      <c r="AE72" s="25">
        <v>56</v>
      </c>
      <c r="AF72">
        <v>31</v>
      </c>
      <c r="AG72" s="91">
        <f>IF('AAA Summary'!$L$4=2, J72, IF('AAA Summary'!$L$4=1, Z72))</f>
        <v>62</v>
      </c>
      <c r="AH72" s="91">
        <f>IF('AAA Summary'!$L$4=2, W72, IF('AAA Summary'!$L$4=1, AC72))</f>
        <v>26</v>
      </c>
      <c r="AI72" s="91">
        <f>IF('AAA Summary'!$L$4=2, X72, IF('AAA Summary'!$L$4=1, AD72))</f>
        <v>27</v>
      </c>
      <c r="AJ72" s="91">
        <f>IF('AAA Summary'!$L$4=2, Y72, IF('AAA Summary'!$L$4=1, AE72))</f>
        <v>56</v>
      </c>
      <c r="AK72" s="19">
        <v>0.42899999999999999</v>
      </c>
    </row>
    <row r="73" spans="1:37" x14ac:dyDescent="0.25">
      <c r="A73" t="s">
        <v>70</v>
      </c>
      <c r="B73" t="s">
        <v>71</v>
      </c>
      <c r="C73" s="96">
        <v>102</v>
      </c>
      <c r="D73" s="96">
        <v>49</v>
      </c>
      <c r="E73" s="97">
        <v>0.94</v>
      </c>
      <c r="F73" s="97">
        <v>1</v>
      </c>
      <c r="G73" s="97">
        <v>0.95</v>
      </c>
      <c r="H73" s="97">
        <v>0.95</v>
      </c>
      <c r="I73" s="42" t="s">
        <v>974</v>
      </c>
      <c r="J73">
        <v>38.5</v>
      </c>
      <c r="K73">
        <v>28.799999999999997</v>
      </c>
      <c r="L73">
        <v>49</v>
      </c>
      <c r="M73" s="42" t="s">
        <v>463</v>
      </c>
      <c r="N73" s="42" t="s">
        <v>320</v>
      </c>
      <c r="O73" s="98">
        <v>1.8000000000000002E-2</v>
      </c>
      <c r="P73" s="42" t="str">
        <f t="shared" ref="P73:P82" si="18">A73</f>
        <v>RJE</v>
      </c>
      <c r="Q73" s="40">
        <f t="shared" si="14"/>
        <v>3</v>
      </c>
      <c r="R73" s="40">
        <f t="shared" si="15"/>
        <v>4</v>
      </c>
      <c r="S73" s="40">
        <f t="shared" si="16"/>
        <v>3</v>
      </c>
      <c r="T73" s="40">
        <f t="shared" si="17"/>
        <v>3</v>
      </c>
      <c r="U73" s="91">
        <f>IF('AAA Summary'!$L$35=4, RANK(H73,H$8:H$82,1)+COUNTIF($H$8:H73,H73)-1, IF('AAA Summary'!$L$35=3, RANK(G73,G$8:G$82,1)+COUNTIF($G$8:G73,G73)-1, IF('AAA Summary'!$L$35=2, RANK(F73,F$8:F$82,1)+COUNTIF($F$8:F73,F73)-1, IF('AAA Summary'!$L$35=1, RANK(E73,E$8:E$82,1)+COUNTIF($E$8:E73,E73)-1))))</f>
        <v>56</v>
      </c>
      <c r="V73" s="54">
        <f>IF('AAA Summary'!$L$35=4, H73, IF('AAA Summary'!$L$35=3, G73, IF('AAA Summary'!$L$35=2, F73, IF('AAA Summary'!$L$35=1, E73))))</f>
        <v>0.95</v>
      </c>
      <c r="W73" s="25">
        <f t="shared" ref="W73:W82" si="19">J73-K73</f>
        <v>9.7000000000000028</v>
      </c>
      <c r="X73" s="25">
        <f t="shared" ref="X73:X82" si="20">L73-J73</f>
        <v>10.5</v>
      </c>
      <c r="Y73" s="25">
        <v>80</v>
      </c>
      <c r="Z73" s="25">
        <v>73</v>
      </c>
      <c r="AA73" s="25">
        <v>37</v>
      </c>
      <c r="AB73" s="25">
        <v>115</v>
      </c>
      <c r="AC73" s="25">
        <f t="shared" si="10"/>
        <v>36</v>
      </c>
      <c r="AD73" s="25">
        <f t="shared" ref="AD73:AD82" si="21">AB73-Z73</f>
        <v>42</v>
      </c>
      <c r="AE73" s="25">
        <v>56</v>
      </c>
      <c r="AF73">
        <v>42</v>
      </c>
      <c r="AG73" s="91">
        <f>IF('AAA Summary'!$L$4=2, J73, IF('AAA Summary'!$L$4=1, Z73))</f>
        <v>73</v>
      </c>
      <c r="AH73" s="91">
        <f>IF('AAA Summary'!$L$4=2, W73, IF('AAA Summary'!$L$4=1, AC73))</f>
        <v>36</v>
      </c>
      <c r="AI73" s="91">
        <f>IF('AAA Summary'!$L$4=2, X73, IF('AAA Summary'!$L$4=1, AD73))</f>
        <v>42</v>
      </c>
      <c r="AJ73" s="91">
        <f>IF('AAA Summary'!$L$4=2, Y73, IF('AAA Summary'!$L$4=1, AE73))</f>
        <v>56</v>
      </c>
      <c r="AK73" s="19">
        <v>0.38500000000000001</v>
      </c>
    </row>
    <row r="74" spans="1:37" x14ac:dyDescent="0.25">
      <c r="A74" t="s">
        <v>58</v>
      </c>
      <c r="B74" t="s">
        <v>59</v>
      </c>
      <c r="C74" s="96">
        <v>77</v>
      </c>
      <c r="D74" s="96">
        <v>33</v>
      </c>
      <c r="E74" s="97">
        <v>0.86</v>
      </c>
      <c r="F74" s="97">
        <v>0.99</v>
      </c>
      <c r="G74" s="97">
        <v>0.85</v>
      </c>
      <c r="H74" s="97">
        <v>0.87</v>
      </c>
      <c r="I74" s="42" t="s">
        <v>975</v>
      </c>
      <c r="J74">
        <v>48.5</v>
      </c>
      <c r="K74">
        <v>36</v>
      </c>
      <c r="L74">
        <v>61.1</v>
      </c>
      <c r="M74" s="42" t="s">
        <v>976</v>
      </c>
      <c r="N74" s="42" t="s">
        <v>254</v>
      </c>
      <c r="O74" s="98">
        <v>1.1000000000000001E-2</v>
      </c>
      <c r="P74" s="42" t="str">
        <f t="shared" si="18"/>
        <v>RHM</v>
      </c>
      <c r="Q74" s="40">
        <f t="shared" si="14"/>
        <v>1</v>
      </c>
      <c r="R74" s="40">
        <f t="shared" si="15"/>
        <v>3</v>
      </c>
      <c r="S74" s="40">
        <f t="shared" si="16"/>
        <v>1</v>
      </c>
      <c r="T74" s="40">
        <f t="shared" si="17"/>
        <v>2</v>
      </c>
      <c r="U74" s="91">
        <f>IF('AAA Summary'!$L$35=4, RANK(H74,H$8:H$82,1)+COUNTIF($H$8:H74,H74)-1, IF('AAA Summary'!$L$35=3, RANK(G74,G$8:G$82,1)+COUNTIF($G$8:G74,G74)-1, IF('AAA Summary'!$L$35=2, RANK(F74,F$8:F$82,1)+COUNTIF($F$8:F74,F74)-1, IF('AAA Summary'!$L$35=1, RANK(E74,E$8:E$82,1)+COUNTIF($E$8:E74,E74)-1))))</f>
        <v>30</v>
      </c>
      <c r="V74" s="54">
        <f>IF('AAA Summary'!$L$35=4, H74, IF('AAA Summary'!$L$35=3, G74, IF('AAA Summary'!$L$35=2, F74, IF('AAA Summary'!$L$35=1, E74))))</f>
        <v>0.87</v>
      </c>
      <c r="W74" s="25">
        <f t="shared" si="19"/>
        <v>12.5</v>
      </c>
      <c r="X74" s="25">
        <f t="shared" si="20"/>
        <v>12.600000000000001</v>
      </c>
      <c r="Y74" s="25">
        <v>80</v>
      </c>
      <c r="Z74" s="25">
        <v>60</v>
      </c>
      <c r="AA74" s="25">
        <v>35</v>
      </c>
      <c r="AB74" s="25">
        <v>103</v>
      </c>
      <c r="AC74" s="25">
        <f t="shared" si="10"/>
        <v>25</v>
      </c>
      <c r="AD74" s="25">
        <f t="shared" si="21"/>
        <v>43</v>
      </c>
      <c r="AE74" s="25">
        <v>56</v>
      </c>
      <c r="AF74">
        <v>28</v>
      </c>
      <c r="AG74" s="91">
        <f>IF('AAA Summary'!$L$4=2, J74, IF('AAA Summary'!$L$4=1, Z74))</f>
        <v>60</v>
      </c>
      <c r="AH74" s="91">
        <f>IF('AAA Summary'!$L$4=2, W74, IF('AAA Summary'!$L$4=1, AC74))</f>
        <v>25</v>
      </c>
      <c r="AI74" s="91">
        <f>IF('AAA Summary'!$L$4=2, X74, IF('AAA Summary'!$L$4=1, AD74))</f>
        <v>43</v>
      </c>
      <c r="AJ74" s="91">
        <f>IF('AAA Summary'!$L$4=2, Y74, IF('AAA Summary'!$L$4=1, AE74))</f>
        <v>56</v>
      </c>
      <c r="AK74" s="19">
        <v>0.48499999999999999</v>
      </c>
    </row>
    <row r="75" spans="1:37" x14ac:dyDescent="0.25">
      <c r="A75" t="s">
        <v>107</v>
      </c>
      <c r="B75" t="s">
        <v>108</v>
      </c>
      <c r="C75" s="96">
        <v>75</v>
      </c>
      <c r="D75" s="96">
        <v>66</v>
      </c>
      <c r="E75" s="97">
        <v>0.93</v>
      </c>
      <c r="F75" s="97">
        <v>0.99</v>
      </c>
      <c r="G75" s="97">
        <v>0.94</v>
      </c>
      <c r="H75" s="97">
        <v>0.93</v>
      </c>
      <c r="I75" s="42" t="s">
        <v>977</v>
      </c>
      <c r="J75">
        <v>45.7</v>
      </c>
      <c r="K75">
        <v>33.700000000000003</v>
      </c>
      <c r="L75">
        <v>58.099999999999994</v>
      </c>
      <c r="M75" s="42" t="s">
        <v>355</v>
      </c>
      <c r="N75" s="42" t="s">
        <v>322</v>
      </c>
      <c r="O75" s="98">
        <v>2.3E-2</v>
      </c>
      <c r="P75" s="42" t="str">
        <f t="shared" si="18"/>
        <v>RRK</v>
      </c>
      <c r="Q75" s="40">
        <f t="shared" si="14"/>
        <v>2</v>
      </c>
      <c r="R75" s="40">
        <f t="shared" si="15"/>
        <v>3</v>
      </c>
      <c r="S75" s="40">
        <f t="shared" si="16"/>
        <v>2</v>
      </c>
      <c r="T75" s="40">
        <f t="shared" si="17"/>
        <v>3</v>
      </c>
      <c r="U75" s="91">
        <f>IF('AAA Summary'!$L$35=4, RANK(H75,H$8:H$82,1)+COUNTIF($H$8:H75,H75)-1, IF('AAA Summary'!$L$35=3, RANK(G75,G$8:G$82,1)+COUNTIF($G$8:G75,G75)-1, IF('AAA Summary'!$L$35=2, RANK(F75,F$8:F$82,1)+COUNTIF($F$8:F75,F75)-1, IF('AAA Summary'!$L$35=1, RANK(E75,E$8:E$82,1)+COUNTIF($E$8:E75,E75)-1))))</f>
        <v>50</v>
      </c>
      <c r="V75" s="54">
        <f>IF('AAA Summary'!$L$35=4, H75, IF('AAA Summary'!$L$35=3, G75, IF('AAA Summary'!$L$35=2, F75, IF('AAA Summary'!$L$35=1, E75))))</f>
        <v>0.93</v>
      </c>
      <c r="W75" s="25">
        <f t="shared" si="19"/>
        <v>12</v>
      </c>
      <c r="X75" s="25">
        <f t="shared" si="20"/>
        <v>12.399999999999991</v>
      </c>
      <c r="Y75" s="25">
        <v>80</v>
      </c>
      <c r="Z75" s="25">
        <v>62</v>
      </c>
      <c r="AA75" s="25">
        <v>34</v>
      </c>
      <c r="AB75" s="25">
        <v>120</v>
      </c>
      <c r="AC75" s="25">
        <f t="shared" si="10"/>
        <v>28</v>
      </c>
      <c r="AD75" s="25">
        <f t="shared" si="21"/>
        <v>58</v>
      </c>
      <c r="AE75" s="25">
        <v>56</v>
      </c>
      <c r="AF75">
        <v>30</v>
      </c>
      <c r="AG75" s="91">
        <f>IF('AAA Summary'!$L$4=2, J75, IF('AAA Summary'!$L$4=1, Z75))</f>
        <v>62</v>
      </c>
      <c r="AH75" s="91">
        <f>IF('AAA Summary'!$L$4=2, W75, IF('AAA Summary'!$L$4=1, AC75))</f>
        <v>28</v>
      </c>
      <c r="AI75" s="91">
        <f>IF('AAA Summary'!$L$4=2, X75, IF('AAA Summary'!$L$4=1, AD75))</f>
        <v>58</v>
      </c>
      <c r="AJ75" s="91">
        <f>IF('AAA Summary'!$L$4=2, Y75, IF('AAA Summary'!$L$4=1, AE75))</f>
        <v>56</v>
      </c>
      <c r="AK75" s="19">
        <v>0.45700000000000002</v>
      </c>
    </row>
    <row r="76" spans="1:37" x14ac:dyDescent="0.25">
      <c r="A76" t="s">
        <v>77</v>
      </c>
      <c r="B76" t="s">
        <v>78</v>
      </c>
      <c r="C76" s="96">
        <v>40</v>
      </c>
      <c r="D76" s="96">
        <v>27</v>
      </c>
      <c r="E76" s="97">
        <v>0.88</v>
      </c>
      <c r="F76" s="97">
        <v>0.98</v>
      </c>
      <c r="G76" s="97">
        <v>0.87</v>
      </c>
      <c r="H76" s="97">
        <v>0.93</v>
      </c>
      <c r="I76" s="42" t="s">
        <v>978</v>
      </c>
      <c r="J76">
        <v>34.300000000000004</v>
      </c>
      <c r="K76">
        <v>19.100000000000001</v>
      </c>
      <c r="L76">
        <v>52.2</v>
      </c>
      <c r="M76" s="42" t="s">
        <v>463</v>
      </c>
      <c r="N76" s="42" t="s">
        <v>236</v>
      </c>
      <c r="O76" s="98">
        <v>2.7999999999999997E-2</v>
      </c>
      <c r="P76" s="42" t="str">
        <f t="shared" si="18"/>
        <v>RKB</v>
      </c>
      <c r="Q76" s="40">
        <f t="shared" si="14"/>
        <v>2</v>
      </c>
      <c r="R76" s="40">
        <f t="shared" si="15"/>
        <v>2</v>
      </c>
      <c r="S76" s="40">
        <f t="shared" si="16"/>
        <v>1</v>
      </c>
      <c r="T76" s="40">
        <f t="shared" si="17"/>
        <v>3</v>
      </c>
      <c r="U76" s="91">
        <f>IF('AAA Summary'!$L$35=4, RANK(H76,H$8:H$82,1)+COUNTIF($H$8:H76,H76)-1, IF('AAA Summary'!$L$35=3, RANK(G76,G$8:G$82,1)+COUNTIF($G$8:G76,G76)-1, IF('AAA Summary'!$L$35=2, RANK(F76,F$8:F$82,1)+COUNTIF($F$8:F76,F76)-1, IF('AAA Summary'!$L$35=1, RANK(E76,E$8:E$82,1)+COUNTIF($E$8:E76,E76)-1))))</f>
        <v>51</v>
      </c>
      <c r="V76" s="54">
        <f>IF('AAA Summary'!$L$35=4, H76, IF('AAA Summary'!$L$35=3, G76, IF('AAA Summary'!$L$35=2, F76, IF('AAA Summary'!$L$35=1, E76))))</f>
        <v>0.93</v>
      </c>
      <c r="W76" s="25">
        <f t="shared" si="19"/>
        <v>15.200000000000003</v>
      </c>
      <c r="X76" s="25">
        <f t="shared" si="20"/>
        <v>17.899999999999999</v>
      </c>
      <c r="Y76" s="25">
        <v>80</v>
      </c>
      <c r="Z76" s="25">
        <v>75</v>
      </c>
      <c r="AA76" s="25">
        <v>48</v>
      </c>
      <c r="AB76" s="25">
        <v>99</v>
      </c>
      <c r="AC76" s="25">
        <f t="shared" si="10"/>
        <v>27</v>
      </c>
      <c r="AD76" s="25">
        <f t="shared" si="21"/>
        <v>24</v>
      </c>
      <c r="AE76" s="25">
        <v>56</v>
      </c>
      <c r="AF76">
        <v>48</v>
      </c>
      <c r="AG76" s="91">
        <f>IF('AAA Summary'!$L$4=2, J76, IF('AAA Summary'!$L$4=1, Z76))</f>
        <v>75</v>
      </c>
      <c r="AH76" s="91">
        <f>IF('AAA Summary'!$L$4=2, W76, IF('AAA Summary'!$L$4=1, AC76))</f>
        <v>27</v>
      </c>
      <c r="AI76" s="91">
        <f>IF('AAA Summary'!$L$4=2, X76, IF('AAA Summary'!$L$4=1, AD76))</f>
        <v>24</v>
      </c>
      <c r="AJ76" s="91">
        <f>IF('AAA Summary'!$L$4=2, Y76, IF('AAA Summary'!$L$4=1, AE76))</f>
        <v>56</v>
      </c>
      <c r="AK76" s="19">
        <v>0.34300000000000003</v>
      </c>
    </row>
    <row r="77" spans="1:37" x14ac:dyDescent="0.25">
      <c r="A77" t="s">
        <v>117</v>
      </c>
      <c r="B77" t="s">
        <v>400</v>
      </c>
      <c r="C77" s="96">
        <v>49</v>
      </c>
      <c r="D77" s="96">
        <v>36</v>
      </c>
      <c r="E77" s="97">
        <v>1</v>
      </c>
      <c r="F77" s="97">
        <v>1</v>
      </c>
      <c r="G77" s="97">
        <v>1</v>
      </c>
      <c r="H77" s="97">
        <v>1</v>
      </c>
      <c r="I77" s="42" t="s">
        <v>979</v>
      </c>
      <c r="J77">
        <v>46.9</v>
      </c>
      <c r="K77">
        <v>32.5</v>
      </c>
      <c r="L77">
        <v>61.7</v>
      </c>
      <c r="M77" s="42" t="s">
        <v>224</v>
      </c>
      <c r="N77" s="42" t="s">
        <v>242</v>
      </c>
      <c r="O77" s="98">
        <v>1.9E-2</v>
      </c>
      <c r="P77" s="42" t="str">
        <f t="shared" si="18"/>
        <v>RTG</v>
      </c>
      <c r="Q77" s="40">
        <f t="shared" si="14"/>
        <v>4</v>
      </c>
      <c r="R77" s="40">
        <f t="shared" si="15"/>
        <v>4</v>
      </c>
      <c r="S77" s="40">
        <f t="shared" si="16"/>
        <v>4</v>
      </c>
      <c r="T77" s="40">
        <f t="shared" si="17"/>
        <v>4</v>
      </c>
      <c r="U77" s="91">
        <f>IF('AAA Summary'!$L$35=4, RANK(H77,H$8:H$82,1)+COUNTIF($H$8:H77,H77)-1, IF('AAA Summary'!$L$35=3, RANK(G77,G$8:G$82,1)+COUNTIF($G$8:G77,G77)-1, IF('AAA Summary'!$L$35=2, RANK(F77,F$8:F$82,1)+COUNTIF($F$8:F77,F77)-1, IF('AAA Summary'!$L$35=1, RANK(E77,E$8:E$82,1)+COUNTIF($E$8:E77,E77)-1))))</f>
        <v>74</v>
      </c>
      <c r="V77" s="54">
        <f>IF('AAA Summary'!$L$35=4, H77, IF('AAA Summary'!$L$35=3, G77, IF('AAA Summary'!$L$35=2, F77, IF('AAA Summary'!$L$35=1, E77))))</f>
        <v>1</v>
      </c>
      <c r="W77" s="25">
        <f t="shared" si="19"/>
        <v>14.399999999999999</v>
      </c>
      <c r="X77" s="25">
        <f t="shared" si="20"/>
        <v>14.800000000000004</v>
      </c>
      <c r="Y77" s="25">
        <v>80</v>
      </c>
      <c r="Z77" s="25">
        <v>62</v>
      </c>
      <c r="AA77" s="25">
        <v>30</v>
      </c>
      <c r="AB77" s="25">
        <v>85</v>
      </c>
      <c r="AC77" s="25">
        <f t="shared" si="10"/>
        <v>32</v>
      </c>
      <c r="AD77" s="25">
        <f t="shared" si="21"/>
        <v>23</v>
      </c>
      <c r="AE77" s="25">
        <v>56</v>
      </c>
      <c r="AF77">
        <v>29</v>
      </c>
      <c r="AG77" s="91">
        <f>IF('AAA Summary'!$L$4=2, J77, IF('AAA Summary'!$L$4=1, Z77))</f>
        <v>62</v>
      </c>
      <c r="AH77" s="91">
        <f>IF('AAA Summary'!$L$4=2, W77, IF('AAA Summary'!$L$4=1, AC77))</f>
        <v>32</v>
      </c>
      <c r="AI77" s="91">
        <f>IF('AAA Summary'!$L$4=2, X77, IF('AAA Summary'!$L$4=1, AD77))</f>
        <v>23</v>
      </c>
      <c r="AJ77" s="91">
        <f>IF('AAA Summary'!$L$4=2, Y77, IF('AAA Summary'!$L$4=1, AE77))</f>
        <v>56</v>
      </c>
      <c r="AK77" s="19">
        <v>0.46899999999999997</v>
      </c>
    </row>
    <row r="78" spans="1:37" x14ac:dyDescent="0.25">
      <c r="A78" t="s">
        <v>134</v>
      </c>
      <c r="B78" t="s">
        <v>135</v>
      </c>
      <c r="C78" s="96">
        <v>51</v>
      </c>
      <c r="D78" s="96">
        <v>26</v>
      </c>
      <c r="E78" s="97">
        <v>0.75</v>
      </c>
      <c r="F78" s="97">
        <v>1</v>
      </c>
      <c r="G78" s="97">
        <v>0.82</v>
      </c>
      <c r="H78" s="97">
        <v>0.24</v>
      </c>
      <c r="I78" s="42" t="s">
        <v>980</v>
      </c>
      <c r="J78">
        <v>73.7</v>
      </c>
      <c r="K78">
        <v>56.899999999999991</v>
      </c>
      <c r="L78">
        <v>86.6</v>
      </c>
      <c r="M78" s="42" t="s">
        <v>358</v>
      </c>
      <c r="N78" s="42" t="s">
        <v>243</v>
      </c>
      <c r="O78" s="98">
        <v>6.0000000000000001E-3</v>
      </c>
      <c r="P78" s="42" t="str">
        <f t="shared" si="18"/>
        <v>RWE</v>
      </c>
      <c r="Q78" s="40">
        <f t="shared" si="14"/>
        <v>1</v>
      </c>
      <c r="R78" s="40">
        <f t="shared" si="15"/>
        <v>4</v>
      </c>
      <c r="S78" s="40">
        <f t="shared" si="16"/>
        <v>1</v>
      </c>
      <c r="T78" s="40">
        <f t="shared" si="17"/>
        <v>1</v>
      </c>
      <c r="U78" s="91">
        <f>IF('AAA Summary'!$L$35=4, RANK(H78,H$8:H$82,1)+COUNTIF($H$8:H78,H78)-1, IF('AAA Summary'!$L$35=3, RANK(G78,G$8:G$82,1)+COUNTIF($G$8:G78,G78)-1, IF('AAA Summary'!$L$35=2, RANK(F78,F$8:F$82,1)+COUNTIF($F$8:F78,F78)-1, IF('AAA Summary'!$L$35=1, RANK(E78,E$8:E$82,1)+COUNTIF($E$8:E78,E78)-1))))</f>
        <v>1</v>
      </c>
      <c r="V78" s="54">
        <f>IF('AAA Summary'!$L$35=4, H78, IF('AAA Summary'!$L$35=3, G78, IF('AAA Summary'!$L$35=2, F78, IF('AAA Summary'!$L$35=1, E78))))</f>
        <v>0.24</v>
      </c>
      <c r="W78" s="25">
        <f t="shared" si="19"/>
        <v>16.800000000000011</v>
      </c>
      <c r="X78" s="25">
        <f t="shared" si="20"/>
        <v>12.899999999999991</v>
      </c>
      <c r="Y78" s="25">
        <v>80</v>
      </c>
      <c r="Z78" s="25">
        <v>42</v>
      </c>
      <c r="AA78" s="25">
        <v>27</v>
      </c>
      <c r="AB78" s="25">
        <v>60</v>
      </c>
      <c r="AC78" s="25">
        <f t="shared" si="10"/>
        <v>15</v>
      </c>
      <c r="AD78" s="25">
        <f t="shared" si="21"/>
        <v>18</v>
      </c>
      <c r="AE78" s="25">
        <v>56</v>
      </c>
      <c r="AF78">
        <v>5</v>
      </c>
      <c r="AG78" s="91">
        <f>IF('AAA Summary'!$L$4=2, J78, IF('AAA Summary'!$L$4=1, Z78))</f>
        <v>42</v>
      </c>
      <c r="AH78" s="91">
        <f>IF('AAA Summary'!$L$4=2, W78, IF('AAA Summary'!$L$4=1, AC78))</f>
        <v>15</v>
      </c>
      <c r="AI78" s="91">
        <f>IF('AAA Summary'!$L$4=2, X78, IF('AAA Summary'!$L$4=1, AD78))</f>
        <v>18</v>
      </c>
      <c r="AJ78" s="91">
        <f>IF('AAA Summary'!$L$4=2, Y78, IF('AAA Summary'!$L$4=1, AE78))</f>
        <v>56</v>
      </c>
      <c r="AK78" s="19">
        <v>0.73699999999999999</v>
      </c>
    </row>
    <row r="79" spans="1:37" x14ac:dyDescent="0.25">
      <c r="A79" t="s">
        <v>76</v>
      </c>
      <c r="B79" t="s">
        <v>214</v>
      </c>
      <c r="C79" s="96">
        <v>43</v>
      </c>
      <c r="D79" s="96">
        <v>24</v>
      </c>
      <c r="E79" s="97">
        <v>1</v>
      </c>
      <c r="F79" s="97">
        <v>0.98</v>
      </c>
      <c r="G79" s="97">
        <v>1</v>
      </c>
      <c r="H79" s="97">
        <v>1</v>
      </c>
      <c r="I79" s="42" t="s">
        <v>981</v>
      </c>
      <c r="J79">
        <v>34.9</v>
      </c>
      <c r="K79">
        <v>21</v>
      </c>
      <c r="L79">
        <v>50.9</v>
      </c>
      <c r="M79" s="42" t="s">
        <v>361</v>
      </c>
      <c r="N79" s="42" t="s">
        <v>320</v>
      </c>
      <c r="O79" s="98">
        <v>1.9E-2</v>
      </c>
      <c r="P79" s="42" t="str">
        <f t="shared" si="18"/>
        <v>RK9</v>
      </c>
      <c r="Q79" s="40">
        <f t="shared" si="14"/>
        <v>4</v>
      </c>
      <c r="R79" s="40">
        <f t="shared" si="15"/>
        <v>2</v>
      </c>
      <c r="S79" s="40">
        <f t="shared" si="16"/>
        <v>4</v>
      </c>
      <c r="T79" s="40">
        <f t="shared" si="17"/>
        <v>4</v>
      </c>
      <c r="U79" s="91">
        <f>IF('AAA Summary'!$L$35=4, RANK(H79,H$8:H$82,1)+COUNTIF($H$8:H79,H79)-1, IF('AAA Summary'!$L$35=3, RANK(G79,G$8:G$82,1)+COUNTIF($G$8:G79,G79)-1, IF('AAA Summary'!$L$35=2, RANK(F79,F$8:F$82,1)+COUNTIF($F$8:F79,F79)-1, IF('AAA Summary'!$L$35=1, RANK(E79,E$8:E$82,1)+COUNTIF($E$8:E79,E79)-1))))</f>
        <v>75</v>
      </c>
      <c r="V79" s="54">
        <f>IF('AAA Summary'!$L$35=4, H79, IF('AAA Summary'!$L$35=3, G79, IF('AAA Summary'!$L$35=2, F79, IF('AAA Summary'!$L$35=1, E79))))</f>
        <v>1</v>
      </c>
      <c r="W79" s="25">
        <f t="shared" si="19"/>
        <v>13.899999999999999</v>
      </c>
      <c r="X79" s="25">
        <f t="shared" si="20"/>
        <v>16</v>
      </c>
      <c r="Y79" s="25">
        <v>80</v>
      </c>
      <c r="Z79" s="25">
        <v>90</v>
      </c>
      <c r="AA79" s="25">
        <v>41</v>
      </c>
      <c r="AB79" s="25">
        <v>135</v>
      </c>
      <c r="AC79" s="25">
        <f t="shared" si="10"/>
        <v>49</v>
      </c>
      <c r="AD79" s="25">
        <f t="shared" si="21"/>
        <v>45</v>
      </c>
      <c r="AE79" s="25">
        <v>56</v>
      </c>
      <c r="AF79">
        <v>63</v>
      </c>
      <c r="AG79" s="91">
        <f>IF('AAA Summary'!$L$4=2, J79, IF('AAA Summary'!$L$4=1, Z79))</f>
        <v>90</v>
      </c>
      <c r="AH79" s="91">
        <f>IF('AAA Summary'!$L$4=2, W79, IF('AAA Summary'!$L$4=1, AC79))</f>
        <v>49</v>
      </c>
      <c r="AI79" s="91">
        <f>IF('AAA Summary'!$L$4=2, X79, IF('AAA Summary'!$L$4=1, AD79))</f>
        <v>45</v>
      </c>
      <c r="AJ79" s="91">
        <f>IF('AAA Summary'!$L$4=2, Y79, IF('AAA Summary'!$L$4=1, AE79))</f>
        <v>56</v>
      </c>
      <c r="AK79" s="19">
        <v>0.34899999999999998</v>
      </c>
    </row>
    <row r="80" spans="1:37" x14ac:dyDescent="0.25">
      <c r="A80" t="s">
        <v>136</v>
      </c>
      <c r="B80" t="s">
        <v>137</v>
      </c>
      <c r="C80" s="96">
        <v>40</v>
      </c>
      <c r="D80" s="96">
        <v>34</v>
      </c>
      <c r="E80" s="97">
        <v>1</v>
      </c>
      <c r="F80" s="97">
        <v>0.95</v>
      </c>
      <c r="G80" s="97">
        <v>1</v>
      </c>
      <c r="H80" s="97">
        <v>0.88</v>
      </c>
      <c r="I80" s="42" t="s">
        <v>982</v>
      </c>
      <c r="J80">
        <v>60</v>
      </c>
      <c r="K80">
        <v>43.3</v>
      </c>
      <c r="L80">
        <v>75.099999999999994</v>
      </c>
      <c r="M80" s="42" t="s">
        <v>353</v>
      </c>
      <c r="N80" s="42" t="s">
        <v>320</v>
      </c>
      <c r="O80" s="98">
        <v>1.4999999999999999E-2</v>
      </c>
      <c r="P80" s="42" t="str">
        <f t="shared" si="18"/>
        <v>RWG</v>
      </c>
      <c r="Q80" s="40">
        <f t="shared" si="14"/>
        <v>4</v>
      </c>
      <c r="R80" s="40">
        <f t="shared" si="15"/>
        <v>1</v>
      </c>
      <c r="S80" s="40">
        <f t="shared" si="16"/>
        <v>4</v>
      </c>
      <c r="T80" s="40">
        <f t="shared" si="17"/>
        <v>2</v>
      </c>
      <c r="U80" s="91">
        <f>IF('AAA Summary'!$L$35=4, RANK(H80,H$8:H$82,1)+COUNTIF($H$8:H80,H80)-1, IF('AAA Summary'!$L$35=3, RANK(G80,G$8:G$82,1)+COUNTIF($G$8:G80,G80)-1, IF('AAA Summary'!$L$35=2, RANK(F80,F$8:F$82,1)+COUNTIF($F$8:F80,F80)-1, IF('AAA Summary'!$L$35=1, RANK(E80,E$8:E$82,1)+COUNTIF($E$8:E80,E80)-1))))</f>
        <v>33</v>
      </c>
      <c r="V80" s="54">
        <f>IF('AAA Summary'!$L$35=4, H80, IF('AAA Summary'!$L$35=3, G80, IF('AAA Summary'!$L$35=2, F80, IF('AAA Summary'!$L$35=1, E80))))</f>
        <v>0.88</v>
      </c>
      <c r="W80" s="25">
        <f t="shared" si="19"/>
        <v>16.700000000000003</v>
      </c>
      <c r="X80" s="25">
        <f t="shared" si="20"/>
        <v>15.099999999999994</v>
      </c>
      <c r="Y80" s="25">
        <v>80</v>
      </c>
      <c r="Z80" s="25">
        <v>47</v>
      </c>
      <c r="AA80" s="25">
        <v>30</v>
      </c>
      <c r="AB80" s="25">
        <v>78</v>
      </c>
      <c r="AC80" s="25">
        <f t="shared" si="10"/>
        <v>17</v>
      </c>
      <c r="AD80" s="25">
        <f t="shared" si="21"/>
        <v>31</v>
      </c>
      <c r="AE80" s="25">
        <v>56</v>
      </c>
      <c r="AF80">
        <v>12</v>
      </c>
      <c r="AG80" s="91">
        <f>IF('AAA Summary'!$L$4=2, J80, IF('AAA Summary'!$L$4=1, Z80))</f>
        <v>47</v>
      </c>
      <c r="AH80" s="91">
        <f>IF('AAA Summary'!$L$4=2, W80, IF('AAA Summary'!$L$4=1, AC80))</f>
        <v>17</v>
      </c>
      <c r="AI80" s="91">
        <f>IF('AAA Summary'!$L$4=2, X80, IF('AAA Summary'!$L$4=1, AD80))</f>
        <v>31</v>
      </c>
      <c r="AJ80" s="91">
        <f>IF('AAA Summary'!$L$4=2, Y80, IF('AAA Summary'!$L$4=1, AE80))</f>
        <v>56</v>
      </c>
      <c r="AK80" s="19">
        <v>0.6</v>
      </c>
    </row>
    <row r="81" spans="1:37" x14ac:dyDescent="0.25">
      <c r="A81" t="s">
        <v>140</v>
      </c>
      <c r="B81" t="s">
        <v>141</v>
      </c>
      <c r="C81" s="96">
        <v>68</v>
      </c>
      <c r="D81" s="96">
        <v>35</v>
      </c>
      <c r="E81" s="97">
        <v>1</v>
      </c>
      <c r="F81" s="97">
        <v>0.99</v>
      </c>
      <c r="G81" s="97">
        <v>1</v>
      </c>
      <c r="H81" s="97">
        <v>0.78</v>
      </c>
      <c r="I81" s="42" t="s">
        <v>983</v>
      </c>
      <c r="J81">
        <v>50</v>
      </c>
      <c r="K81">
        <v>37.6</v>
      </c>
      <c r="L81">
        <v>62.4</v>
      </c>
      <c r="M81" s="42" t="s">
        <v>458</v>
      </c>
      <c r="N81" s="42" t="s">
        <v>984</v>
      </c>
      <c r="O81" s="98">
        <v>0</v>
      </c>
      <c r="P81" s="42" t="str">
        <f t="shared" si="18"/>
        <v>RWP</v>
      </c>
      <c r="Q81" s="40">
        <f t="shared" si="14"/>
        <v>4</v>
      </c>
      <c r="R81" s="40">
        <f t="shared" si="15"/>
        <v>3</v>
      </c>
      <c r="S81" s="40">
        <f t="shared" si="16"/>
        <v>4</v>
      </c>
      <c r="T81" s="40">
        <f t="shared" si="17"/>
        <v>1</v>
      </c>
      <c r="U81" s="91">
        <f>IF('AAA Summary'!$L$35=4, RANK(H81,H$8:H$82,1)+COUNTIF($H$8:H81,H81)-1, IF('AAA Summary'!$L$35=3, RANK(G81,G$8:G$82,1)+COUNTIF($G$8:G81,G81)-1, IF('AAA Summary'!$L$35=2, RANK(F81,F$8:F$82,1)+COUNTIF($F$8:F81,F81)-1, IF('AAA Summary'!$L$35=1, RANK(E81,E$8:E$82,1)+COUNTIF($E$8:E81,E81)-1))))</f>
        <v>19</v>
      </c>
      <c r="V81" s="54">
        <f>IF('AAA Summary'!$L$35=4, H81, IF('AAA Summary'!$L$35=3, G81, IF('AAA Summary'!$L$35=2, F81, IF('AAA Summary'!$L$35=1, E81))))</f>
        <v>0.78</v>
      </c>
      <c r="W81" s="25">
        <f t="shared" si="19"/>
        <v>12.399999999999999</v>
      </c>
      <c r="X81" s="25">
        <f t="shared" si="20"/>
        <v>12.399999999999999</v>
      </c>
      <c r="Y81" s="25">
        <v>80</v>
      </c>
      <c r="Z81" s="25">
        <v>59</v>
      </c>
      <c r="AA81" s="25">
        <v>21</v>
      </c>
      <c r="AB81" s="25">
        <v>144</v>
      </c>
      <c r="AC81" s="25">
        <f t="shared" si="10"/>
        <v>38</v>
      </c>
      <c r="AD81" s="25">
        <f t="shared" si="21"/>
        <v>85</v>
      </c>
      <c r="AE81" s="25">
        <v>56</v>
      </c>
      <c r="AF81">
        <v>25</v>
      </c>
      <c r="AG81" s="91">
        <f>IF('AAA Summary'!$L$4=2, J81, IF('AAA Summary'!$L$4=1, Z81))</f>
        <v>59</v>
      </c>
      <c r="AH81" s="91">
        <f>IF('AAA Summary'!$L$4=2, W81, IF('AAA Summary'!$L$4=1, AC81))</f>
        <v>38</v>
      </c>
      <c r="AI81" s="91">
        <f>IF('AAA Summary'!$L$4=2, X81, IF('AAA Summary'!$L$4=1, AD81))</f>
        <v>85</v>
      </c>
      <c r="AJ81" s="91">
        <f>IF('AAA Summary'!$L$4=2, Y81, IF('AAA Summary'!$L$4=1, AE81))</f>
        <v>56</v>
      </c>
      <c r="AK81" s="19">
        <v>0.5</v>
      </c>
    </row>
    <row r="82" spans="1:37" x14ac:dyDescent="0.25">
      <c r="A82" t="s">
        <v>35</v>
      </c>
      <c r="B82" t="s">
        <v>36</v>
      </c>
      <c r="C82" s="96">
        <v>56</v>
      </c>
      <c r="D82" s="96">
        <v>20</v>
      </c>
      <c r="E82" s="97">
        <v>0.77</v>
      </c>
      <c r="F82" s="97">
        <v>0.98</v>
      </c>
      <c r="G82" s="97">
        <v>0.76</v>
      </c>
      <c r="H82" s="97">
        <v>0.7</v>
      </c>
      <c r="I82" s="42" t="s">
        <v>985</v>
      </c>
      <c r="J82">
        <v>44.2</v>
      </c>
      <c r="K82">
        <v>29.099999999999998</v>
      </c>
      <c r="L82">
        <v>60.099999999999994</v>
      </c>
      <c r="M82" s="42" t="s">
        <v>333</v>
      </c>
      <c r="N82" s="42" t="s">
        <v>349</v>
      </c>
      <c r="O82" s="98">
        <v>1.8000000000000002E-2</v>
      </c>
      <c r="P82" s="42" t="str">
        <f t="shared" si="18"/>
        <v>RCB</v>
      </c>
      <c r="Q82" s="40">
        <f t="shared" si="14"/>
        <v>1</v>
      </c>
      <c r="R82" s="40">
        <f t="shared" si="15"/>
        <v>2</v>
      </c>
      <c r="S82" s="40">
        <f t="shared" si="16"/>
        <v>1</v>
      </c>
      <c r="T82" s="40">
        <f t="shared" si="17"/>
        <v>1</v>
      </c>
      <c r="U82" s="91">
        <f>IF('AAA Summary'!$L$35=4, RANK(H82,H$8:H$82,1)+COUNTIF($H$8:H82,H82)-1, IF('AAA Summary'!$L$35=3, RANK(G82,G$8:G$82,1)+COUNTIF($G$8:G82,G82)-1, IF('AAA Summary'!$L$35=2, RANK(F82,F$8:F$82,1)+COUNTIF($F$8:F82,F82)-1, IF('AAA Summary'!$L$35=1, RANK(E82,E$8:E$82,1)+COUNTIF($E$8:E82,E82)-1))))</f>
        <v>10</v>
      </c>
      <c r="V82" s="54">
        <f>IF('AAA Summary'!$L$35=4, H82, IF('AAA Summary'!$L$35=3, G82, IF('AAA Summary'!$L$35=2, F82, IF('AAA Summary'!$L$35=1, E82))))</f>
        <v>0.7</v>
      </c>
      <c r="W82" s="25">
        <f t="shared" si="19"/>
        <v>15.100000000000005</v>
      </c>
      <c r="X82" s="25">
        <f t="shared" si="20"/>
        <v>15.899999999999991</v>
      </c>
      <c r="Y82" s="25">
        <v>80</v>
      </c>
      <c r="Z82" s="25">
        <v>63</v>
      </c>
      <c r="AA82" s="25">
        <v>33</v>
      </c>
      <c r="AB82" s="25">
        <v>89</v>
      </c>
      <c r="AC82" s="25">
        <f t="shared" si="10"/>
        <v>30</v>
      </c>
      <c r="AD82" s="25">
        <f t="shared" si="21"/>
        <v>26</v>
      </c>
      <c r="AE82" s="25">
        <v>56</v>
      </c>
      <c r="AF82">
        <v>32</v>
      </c>
      <c r="AG82" s="91">
        <f>IF('AAA Summary'!$L$4=2, J82, IF('AAA Summary'!$L$4=1, Z82))</f>
        <v>63</v>
      </c>
      <c r="AH82" s="91">
        <f>IF('AAA Summary'!$L$4=2, W82, IF('AAA Summary'!$L$4=1, AC82))</f>
        <v>30</v>
      </c>
      <c r="AI82" s="91">
        <f>IF('AAA Summary'!$L$4=2, X82, IF('AAA Summary'!$L$4=1, AD82))</f>
        <v>26</v>
      </c>
      <c r="AJ82" s="91">
        <f>IF('AAA Summary'!$L$4=2, Y82, IF('AAA Summary'!$L$4=1, AE82))</f>
        <v>56</v>
      </c>
      <c r="AK82" s="19">
        <v>0.442</v>
      </c>
    </row>
  </sheetData>
  <sortState ref="A2:M77">
    <sortCondition ref="B2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C6" sqref="C6"/>
    </sheetView>
  </sheetViews>
  <sheetFormatPr defaultRowHeight="15" x14ac:dyDescent="0.25"/>
  <cols>
    <col min="3" max="3" width="13.7109375" style="46" bestFit="1" customWidth="1"/>
  </cols>
  <sheetData>
    <row r="1" spans="1:3" x14ac:dyDescent="0.25">
      <c r="A1" t="s">
        <v>420</v>
      </c>
      <c r="B1" t="s">
        <v>444</v>
      </c>
      <c r="C1" s="46" t="s">
        <v>443</v>
      </c>
    </row>
    <row r="2" spans="1:3" x14ac:dyDescent="0.25">
      <c r="A2" t="s">
        <v>0</v>
      </c>
      <c r="B2">
        <v>114</v>
      </c>
      <c r="C2">
        <v>0.9</v>
      </c>
    </row>
    <row r="3" spans="1:3" x14ac:dyDescent="0.25">
      <c r="A3" t="s">
        <v>4</v>
      </c>
      <c r="B3">
        <v>179</v>
      </c>
      <c r="C3">
        <v>3.8</v>
      </c>
    </row>
    <row r="4" spans="1:3" x14ac:dyDescent="0.25">
      <c r="A4" t="s">
        <v>5</v>
      </c>
      <c r="B4">
        <v>94</v>
      </c>
      <c r="C4">
        <v>5.6</v>
      </c>
    </row>
    <row r="5" spans="1:3" x14ac:dyDescent="0.25">
      <c r="A5" t="s">
        <v>7</v>
      </c>
      <c r="B5">
        <v>56</v>
      </c>
      <c r="C5">
        <v>1.8</v>
      </c>
    </row>
    <row r="6" spans="1:3" x14ac:dyDescent="0.25">
      <c r="A6" t="s">
        <v>9</v>
      </c>
      <c r="B6">
        <v>133</v>
      </c>
      <c r="C6">
        <v>1.6</v>
      </c>
    </row>
    <row r="7" spans="1:3" x14ac:dyDescent="0.25">
      <c r="A7" t="s">
        <v>11</v>
      </c>
      <c r="B7">
        <v>306</v>
      </c>
      <c r="C7">
        <v>0.7</v>
      </c>
    </row>
    <row r="8" spans="1:3" x14ac:dyDescent="0.25">
      <c r="A8" t="s">
        <v>13</v>
      </c>
      <c r="B8">
        <v>98</v>
      </c>
      <c r="C8">
        <v>4.5999999999999996</v>
      </c>
    </row>
    <row r="9" spans="1:3" x14ac:dyDescent="0.25">
      <c r="A9" t="s">
        <v>15</v>
      </c>
      <c r="B9">
        <v>80</v>
      </c>
      <c r="C9">
        <v>1.2</v>
      </c>
    </row>
    <row r="10" spans="1:3" x14ac:dyDescent="0.25">
      <c r="A10" t="s">
        <v>17</v>
      </c>
      <c r="B10">
        <v>73</v>
      </c>
      <c r="C10">
        <v>0</v>
      </c>
    </row>
    <row r="11" spans="1:3" x14ac:dyDescent="0.25">
      <c r="A11" t="s">
        <v>19</v>
      </c>
      <c r="B11">
        <v>90</v>
      </c>
      <c r="C11">
        <v>1.1000000000000001</v>
      </c>
    </row>
    <row r="12" spans="1:3" x14ac:dyDescent="0.25">
      <c r="A12" t="s">
        <v>21</v>
      </c>
      <c r="B12">
        <v>106</v>
      </c>
      <c r="C12">
        <v>2.2000000000000002</v>
      </c>
    </row>
    <row r="13" spans="1:3" x14ac:dyDescent="0.25">
      <c r="A13" t="s">
        <v>23</v>
      </c>
      <c r="B13">
        <v>146</v>
      </c>
      <c r="C13">
        <v>0</v>
      </c>
    </row>
    <row r="14" spans="1:3" x14ac:dyDescent="0.25">
      <c r="A14" t="s">
        <v>25</v>
      </c>
      <c r="B14">
        <v>190</v>
      </c>
      <c r="C14">
        <v>1.6</v>
      </c>
    </row>
    <row r="15" spans="1:3" x14ac:dyDescent="0.25">
      <c r="A15" t="s">
        <v>33</v>
      </c>
      <c r="B15">
        <v>195</v>
      </c>
      <c r="C15">
        <v>1.5</v>
      </c>
    </row>
    <row r="16" spans="1:3" x14ac:dyDescent="0.25">
      <c r="A16" t="s">
        <v>35</v>
      </c>
      <c r="B16">
        <v>169</v>
      </c>
      <c r="C16">
        <v>1.8</v>
      </c>
    </row>
    <row r="17" spans="1:3" x14ac:dyDescent="0.25">
      <c r="A17" t="s">
        <v>37</v>
      </c>
      <c r="B17">
        <v>93</v>
      </c>
      <c r="C17">
        <v>2.2000000000000002</v>
      </c>
    </row>
    <row r="18" spans="1:3" x14ac:dyDescent="0.25">
      <c r="A18" t="s">
        <v>39</v>
      </c>
      <c r="B18">
        <v>188</v>
      </c>
      <c r="C18">
        <v>2.2000000000000002</v>
      </c>
    </row>
    <row r="19" spans="1:3" x14ac:dyDescent="0.25">
      <c r="A19" t="s">
        <v>40</v>
      </c>
      <c r="B19">
        <v>190</v>
      </c>
      <c r="C19">
        <v>2.8</v>
      </c>
    </row>
    <row r="20" spans="1:3" x14ac:dyDescent="0.25">
      <c r="A20" t="s">
        <v>42</v>
      </c>
      <c r="B20">
        <v>184</v>
      </c>
      <c r="C20">
        <v>2.8</v>
      </c>
    </row>
    <row r="21" spans="1:3" x14ac:dyDescent="0.25">
      <c r="A21" t="s">
        <v>44</v>
      </c>
      <c r="B21">
        <v>86</v>
      </c>
      <c r="C21">
        <v>1.2</v>
      </c>
    </row>
    <row r="22" spans="1:3" x14ac:dyDescent="0.25">
      <c r="A22" t="s">
        <v>46</v>
      </c>
      <c r="B22">
        <v>256</v>
      </c>
      <c r="C22">
        <v>1.1000000000000001</v>
      </c>
    </row>
    <row r="23" spans="1:3" x14ac:dyDescent="0.25">
      <c r="A23" t="s">
        <v>48</v>
      </c>
      <c r="B23">
        <v>89</v>
      </c>
      <c r="C23">
        <v>1.2</v>
      </c>
    </row>
    <row r="24" spans="1:3" x14ac:dyDescent="0.25">
      <c r="A24" t="s">
        <v>54</v>
      </c>
      <c r="B24">
        <v>340</v>
      </c>
      <c r="C24">
        <v>0.3</v>
      </c>
    </row>
    <row r="25" spans="1:3" x14ac:dyDescent="0.25">
      <c r="A25" t="s">
        <v>56</v>
      </c>
      <c r="B25">
        <v>79</v>
      </c>
      <c r="C25">
        <v>1.4</v>
      </c>
    </row>
    <row r="26" spans="1:3" x14ac:dyDescent="0.25">
      <c r="A26" t="s">
        <v>58</v>
      </c>
      <c r="B26">
        <v>270</v>
      </c>
      <c r="C26">
        <v>1.1000000000000001</v>
      </c>
    </row>
    <row r="27" spans="1:3" x14ac:dyDescent="0.25">
      <c r="A27" t="s">
        <v>60</v>
      </c>
      <c r="B27">
        <v>118</v>
      </c>
      <c r="C27">
        <v>2.5</v>
      </c>
    </row>
    <row r="28" spans="1:3" x14ac:dyDescent="0.25">
      <c r="A28" t="s">
        <v>66</v>
      </c>
      <c r="B28">
        <v>314</v>
      </c>
      <c r="C28">
        <v>0.3</v>
      </c>
    </row>
    <row r="29" spans="1:3" x14ac:dyDescent="0.25">
      <c r="A29" t="s">
        <v>68</v>
      </c>
      <c r="B29">
        <v>235</v>
      </c>
      <c r="C29">
        <v>0</v>
      </c>
    </row>
    <row r="30" spans="1:3" x14ac:dyDescent="0.25">
      <c r="A30" t="s">
        <v>70</v>
      </c>
      <c r="B30">
        <v>362</v>
      </c>
      <c r="C30">
        <v>1.8</v>
      </c>
    </row>
    <row r="31" spans="1:3" x14ac:dyDescent="0.25">
      <c r="A31" t="s">
        <v>72</v>
      </c>
      <c r="B31">
        <v>226</v>
      </c>
      <c r="C31">
        <v>1.3</v>
      </c>
    </row>
    <row r="32" spans="1:3" x14ac:dyDescent="0.25">
      <c r="A32" t="s">
        <v>74</v>
      </c>
      <c r="B32">
        <v>16</v>
      </c>
      <c r="C32">
        <v>5.7</v>
      </c>
    </row>
    <row r="33" spans="1:3" x14ac:dyDescent="0.25">
      <c r="A33" t="s">
        <v>76</v>
      </c>
      <c r="B33">
        <v>110</v>
      </c>
      <c r="C33">
        <v>1.9</v>
      </c>
    </row>
    <row r="34" spans="1:3" x14ac:dyDescent="0.25">
      <c r="A34" t="s">
        <v>77</v>
      </c>
      <c r="B34">
        <v>133</v>
      </c>
      <c r="C34">
        <v>2.8</v>
      </c>
    </row>
    <row r="35" spans="1:3" x14ac:dyDescent="0.25">
      <c r="A35" t="s">
        <v>81</v>
      </c>
      <c r="B35">
        <v>101</v>
      </c>
      <c r="C35">
        <v>2.8</v>
      </c>
    </row>
    <row r="36" spans="1:3" x14ac:dyDescent="0.25">
      <c r="A36" t="s">
        <v>83</v>
      </c>
      <c r="B36">
        <v>252</v>
      </c>
      <c r="C36">
        <v>2.5</v>
      </c>
    </row>
    <row r="37" spans="1:3" x14ac:dyDescent="0.25">
      <c r="A37" t="s">
        <v>87</v>
      </c>
      <c r="B37">
        <v>200</v>
      </c>
      <c r="C37">
        <v>0</v>
      </c>
    </row>
    <row r="38" spans="1:3" x14ac:dyDescent="0.25">
      <c r="A38" t="s">
        <v>89</v>
      </c>
      <c r="B38">
        <v>107</v>
      </c>
      <c r="C38">
        <v>3.6</v>
      </c>
    </row>
    <row r="39" spans="1:3" x14ac:dyDescent="0.25">
      <c r="A39" t="s">
        <v>91</v>
      </c>
      <c r="B39">
        <v>119</v>
      </c>
      <c r="C39">
        <v>2.5</v>
      </c>
    </row>
    <row r="40" spans="1:3" x14ac:dyDescent="0.25">
      <c r="A40" t="s">
        <v>93</v>
      </c>
      <c r="B40">
        <v>116</v>
      </c>
      <c r="C40">
        <v>0.9</v>
      </c>
    </row>
    <row r="41" spans="1:3" x14ac:dyDescent="0.25">
      <c r="A41" t="s">
        <v>95</v>
      </c>
      <c r="B41">
        <v>65</v>
      </c>
      <c r="C41">
        <v>1.6</v>
      </c>
    </row>
    <row r="42" spans="1:3" x14ac:dyDescent="0.25">
      <c r="A42" t="s">
        <v>99</v>
      </c>
      <c r="B42">
        <v>96</v>
      </c>
      <c r="C42">
        <v>3</v>
      </c>
    </row>
    <row r="43" spans="1:3" x14ac:dyDescent="0.25">
      <c r="A43" t="s">
        <v>101</v>
      </c>
      <c r="B43">
        <v>65</v>
      </c>
      <c r="C43">
        <v>1.7</v>
      </c>
    </row>
    <row r="44" spans="1:3" x14ac:dyDescent="0.25">
      <c r="A44" t="s">
        <v>105</v>
      </c>
      <c r="B44">
        <v>182</v>
      </c>
      <c r="C44">
        <v>0.6</v>
      </c>
    </row>
    <row r="45" spans="1:3" x14ac:dyDescent="0.25">
      <c r="A45" t="s">
        <v>107</v>
      </c>
      <c r="B45">
        <v>259</v>
      </c>
      <c r="C45">
        <v>2.2999999999999998</v>
      </c>
    </row>
    <row r="46" spans="1:3" x14ac:dyDescent="0.25">
      <c r="A46" t="s">
        <v>111</v>
      </c>
      <c r="B46">
        <v>18</v>
      </c>
      <c r="C46">
        <v>0</v>
      </c>
    </row>
    <row r="47" spans="1:3" x14ac:dyDescent="0.25">
      <c r="A47" t="s">
        <v>113</v>
      </c>
      <c r="B47">
        <v>204</v>
      </c>
      <c r="C47">
        <v>3.1</v>
      </c>
    </row>
    <row r="48" spans="1:3" x14ac:dyDescent="0.25">
      <c r="A48" t="s">
        <v>115</v>
      </c>
      <c r="B48">
        <v>175</v>
      </c>
      <c r="C48">
        <v>0.6</v>
      </c>
    </row>
    <row r="49" spans="1:3" x14ac:dyDescent="0.25">
      <c r="A49" t="s">
        <v>117</v>
      </c>
      <c r="B49">
        <v>200</v>
      </c>
      <c r="C49">
        <v>1.9</v>
      </c>
    </row>
    <row r="50" spans="1:3" x14ac:dyDescent="0.25">
      <c r="A50" t="s">
        <v>118</v>
      </c>
      <c r="B50">
        <v>266</v>
      </c>
      <c r="C50">
        <v>0</v>
      </c>
    </row>
    <row r="51" spans="1:3" x14ac:dyDescent="0.25">
      <c r="A51" t="s">
        <v>120</v>
      </c>
      <c r="B51">
        <v>104</v>
      </c>
      <c r="C51">
        <v>0</v>
      </c>
    </row>
    <row r="52" spans="1:3" x14ac:dyDescent="0.25">
      <c r="A52" t="s">
        <v>122</v>
      </c>
      <c r="B52">
        <v>131</v>
      </c>
      <c r="C52">
        <v>0</v>
      </c>
    </row>
    <row r="53" spans="1:3" x14ac:dyDescent="0.25">
      <c r="A53" t="s">
        <v>124</v>
      </c>
      <c r="B53">
        <v>180</v>
      </c>
      <c r="C53">
        <v>3.5</v>
      </c>
    </row>
    <row r="54" spans="1:3" x14ac:dyDescent="0.25">
      <c r="A54" t="s">
        <v>126</v>
      </c>
      <c r="B54">
        <v>187</v>
      </c>
      <c r="C54">
        <v>0.6</v>
      </c>
    </row>
    <row r="55" spans="1:3" x14ac:dyDescent="0.25">
      <c r="A55" t="s">
        <v>128</v>
      </c>
      <c r="B55">
        <v>164</v>
      </c>
      <c r="C55">
        <v>1.2</v>
      </c>
    </row>
    <row r="56" spans="1:3" x14ac:dyDescent="0.25">
      <c r="A56" t="s">
        <v>130</v>
      </c>
      <c r="B56">
        <v>168</v>
      </c>
      <c r="C56">
        <v>0</v>
      </c>
    </row>
    <row r="57" spans="1:3" x14ac:dyDescent="0.25">
      <c r="A57" t="s">
        <v>132</v>
      </c>
      <c r="B57">
        <v>98</v>
      </c>
      <c r="C57">
        <v>3.2</v>
      </c>
    </row>
    <row r="58" spans="1:3" x14ac:dyDescent="0.25">
      <c r="A58" t="s">
        <v>134</v>
      </c>
      <c r="B58">
        <v>172</v>
      </c>
      <c r="C58">
        <v>0.6</v>
      </c>
    </row>
    <row r="59" spans="1:3" x14ac:dyDescent="0.25">
      <c r="A59" t="s">
        <v>136</v>
      </c>
      <c r="B59">
        <v>130</v>
      </c>
      <c r="C59">
        <v>1.5</v>
      </c>
    </row>
    <row r="60" spans="1:3" x14ac:dyDescent="0.25">
      <c r="A60" t="s">
        <v>138</v>
      </c>
      <c r="B60">
        <v>73</v>
      </c>
      <c r="C60">
        <v>0</v>
      </c>
    </row>
    <row r="61" spans="1:3" x14ac:dyDescent="0.25">
      <c r="A61" t="s">
        <v>140</v>
      </c>
      <c r="B61">
        <v>219</v>
      </c>
      <c r="C61">
        <v>0</v>
      </c>
    </row>
    <row r="62" spans="1:3" x14ac:dyDescent="0.25">
      <c r="A62" t="s">
        <v>142</v>
      </c>
      <c r="B62">
        <v>65</v>
      </c>
      <c r="C62">
        <v>0</v>
      </c>
    </row>
    <row r="63" spans="1:3" x14ac:dyDescent="0.25">
      <c r="A63" t="s">
        <v>144</v>
      </c>
      <c r="B63">
        <v>171</v>
      </c>
      <c r="C63">
        <v>1.2</v>
      </c>
    </row>
    <row r="64" spans="1:3" x14ac:dyDescent="0.25">
      <c r="A64" t="s">
        <v>148</v>
      </c>
      <c r="B64">
        <v>214</v>
      </c>
      <c r="C64">
        <v>1</v>
      </c>
    </row>
    <row r="65" spans="1:3" x14ac:dyDescent="0.25">
      <c r="A65" t="s">
        <v>150</v>
      </c>
      <c r="B65">
        <v>220</v>
      </c>
      <c r="C65">
        <v>0.9</v>
      </c>
    </row>
    <row r="66" spans="1:3" x14ac:dyDescent="0.25">
      <c r="A66" t="s">
        <v>154</v>
      </c>
      <c r="B66">
        <v>113</v>
      </c>
      <c r="C66">
        <v>0.9</v>
      </c>
    </row>
    <row r="67" spans="1:3" x14ac:dyDescent="0.25">
      <c r="A67" t="s">
        <v>156</v>
      </c>
      <c r="B67">
        <v>108</v>
      </c>
      <c r="C67">
        <v>0</v>
      </c>
    </row>
    <row r="68" spans="1:3" x14ac:dyDescent="0.25">
      <c r="A68" t="s">
        <v>158</v>
      </c>
      <c r="B68">
        <v>104</v>
      </c>
      <c r="C68">
        <v>0</v>
      </c>
    </row>
    <row r="69" spans="1:3" x14ac:dyDescent="0.25">
      <c r="A69" t="s">
        <v>160</v>
      </c>
      <c r="B69">
        <v>24</v>
      </c>
      <c r="C69">
        <v>0</v>
      </c>
    </row>
    <row r="70" spans="1:3" x14ac:dyDescent="0.25">
      <c r="A70" t="s">
        <v>164</v>
      </c>
      <c r="B70">
        <v>186</v>
      </c>
      <c r="C70">
        <v>3</v>
      </c>
    </row>
    <row r="71" spans="1:3" x14ac:dyDescent="0.25">
      <c r="A71" t="s">
        <v>166</v>
      </c>
      <c r="B71">
        <v>55</v>
      </c>
      <c r="C71">
        <v>0</v>
      </c>
    </row>
    <row r="72" spans="1:3" x14ac:dyDescent="0.25">
      <c r="A72" t="s">
        <v>168</v>
      </c>
      <c r="B72">
        <v>138</v>
      </c>
      <c r="C72">
        <v>1.4</v>
      </c>
    </row>
    <row r="73" spans="1:3" x14ac:dyDescent="0.25">
      <c r="A73" t="s">
        <v>170</v>
      </c>
      <c r="B73">
        <v>56</v>
      </c>
      <c r="C73">
        <v>0</v>
      </c>
    </row>
    <row r="74" spans="1:3" x14ac:dyDescent="0.25">
      <c r="A74" t="s">
        <v>172</v>
      </c>
      <c r="B74">
        <v>150</v>
      </c>
      <c r="C74">
        <v>0.7</v>
      </c>
    </row>
    <row r="75" spans="1:3" x14ac:dyDescent="0.25">
      <c r="A75" t="s">
        <v>174</v>
      </c>
      <c r="B75">
        <v>57</v>
      </c>
      <c r="C75">
        <v>0</v>
      </c>
    </row>
    <row r="76" spans="1:3" x14ac:dyDescent="0.25">
      <c r="A76" t="s">
        <v>180</v>
      </c>
      <c r="B76">
        <v>343</v>
      </c>
      <c r="C76">
        <v>0.6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showGridLines="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71.5703125" bestFit="1" customWidth="1"/>
    <col min="5" max="6" width="11.140625" customWidth="1"/>
    <col min="7" max="8" width="13" customWidth="1"/>
    <col min="9" max="9" width="11.140625" customWidth="1"/>
    <col min="10" max="10" width="11" customWidth="1"/>
    <col min="15" max="15" width="37.28515625" customWidth="1"/>
    <col min="27" max="31" width="9.140625" style="43"/>
    <col min="32" max="32" width="63.7109375" style="43" bestFit="1" customWidth="1"/>
    <col min="33" max="37" width="9.140625" style="43"/>
  </cols>
  <sheetData>
    <row r="1" spans="1:37" ht="30.75" customHeight="1" x14ac:dyDescent="0.25">
      <c r="A1" s="28" t="s">
        <v>404</v>
      </c>
      <c r="B1" s="29" t="s">
        <v>10</v>
      </c>
      <c r="AA1" s="113" t="s">
        <v>567</v>
      </c>
      <c r="AB1" s="114" t="s">
        <v>409</v>
      </c>
      <c r="AC1" s="114" t="s">
        <v>410</v>
      </c>
      <c r="AD1" s="115" t="s">
        <v>406</v>
      </c>
      <c r="AE1" s="116" t="s">
        <v>189</v>
      </c>
      <c r="AF1" s="116" t="s">
        <v>183</v>
      </c>
      <c r="AG1" s="114" t="s">
        <v>471</v>
      </c>
      <c r="AH1" s="117" t="s">
        <v>1097</v>
      </c>
      <c r="AI1" s="117" t="s">
        <v>590</v>
      </c>
      <c r="AJ1" s="117" t="s">
        <v>591</v>
      </c>
      <c r="AK1" s="114" t="s">
        <v>566</v>
      </c>
    </row>
    <row r="2" spans="1:37" ht="15.75" x14ac:dyDescent="0.25">
      <c r="O2" s="108" t="s">
        <v>436</v>
      </c>
      <c r="AA2" s="43">
        <f>VLOOKUP($B$1,$AF:$AK,3,FALSE)</f>
        <v>5</v>
      </c>
      <c r="AB2" s="43">
        <f>VLOOKUP($B$1,$AF:$AK,4,FALSE)</f>
        <v>3</v>
      </c>
      <c r="AC2" s="43">
        <f>VLOOKUP($B$1,$AF:$AK,5,FALSE)</f>
        <v>2</v>
      </c>
      <c r="AD2" s="43">
        <f>VLOOKUP($B$1,$AF:$AK,2,FALSE)</f>
        <v>24</v>
      </c>
      <c r="AE2" s="118" t="s">
        <v>120</v>
      </c>
      <c r="AF2" s="119" t="s">
        <v>612</v>
      </c>
      <c r="AG2" s="120">
        <v>1</v>
      </c>
      <c r="AH2" s="43">
        <f>VLOOKUP($AE2,'Lower Limb Bypass'!$A:$Y,22,FALSE)</f>
        <v>3</v>
      </c>
      <c r="AI2" s="43">
        <f>VLOOKUP($AE2,'Lower Limb Bypass'!$A:$Y,23,FALSE)</f>
        <v>2</v>
      </c>
      <c r="AJ2" s="43">
        <f>VLOOKUP($AE2,'Lower Limb Bypass'!$A:$Y,24,FALSE)</f>
        <v>2</v>
      </c>
      <c r="AK2" s="43">
        <f>VLOOKUP($AE2,'Lower Limb Bypass'!$A:$Y,25,FALSE)</f>
        <v>5</v>
      </c>
    </row>
    <row r="3" spans="1:37" ht="31.5" x14ac:dyDescent="0.25">
      <c r="O3" s="53" t="s">
        <v>1136</v>
      </c>
      <c r="AE3" s="118" t="s">
        <v>35</v>
      </c>
      <c r="AF3" s="119" t="s">
        <v>36</v>
      </c>
      <c r="AG3" s="120">
        <v>2</v>
      </c>
      <c r="AH3" s="43">
        <f>VLOOKUP($AE3,'Lower Limb Bypass'!$A:$Y,22,FALSE)</f>
        <v>3</v>
      </c>
      <c r="AI3" s="43">
        <f>VLOOKUP($AE3,'Lower Limb Bypass'!$A:$Y,23,FALSE)</f>
        <v>2</v>
      </c>
      <c r="AJ3" s="43">
        <f>VLOOKUP($AE3,'Lower Limb Bypass'!$A:$Y,24,FALSE)</f>
        <v>2</v>
      </c>
      <c r="AK3" s="43">
        <f>VLOOKUP($AE3,'Lower Limb Bypass'!$A:$Y,25,FALSE)</f>
        <v>5</v>
      </c>
    </row>
    <row r="4" spans="1:37" x14ac:dyDescent="0.25">
      <c r="O4" s="43">
        <f>MATCH(O3,'Lower Limb Bypass'!$H$1:$I$1,0)</f>
        <v>1</v>
      </c>
      <c r="AE4" s="118" t="s">
        <v>172</v>
      </c>
      <c r="AF4" s="119" t="s">
        <v>173</v>
      </c>
      <c r="AG4" s="120">
        <v>3</v>
      </c>
      <c r="AH4" s="43">
        <f>VLOOKUP($AE4,'Lower Limb Bypass'!$A:$Y,22,FALSE)</f>
        <v>3</v>
      </c>
      <c r="AI4" s="43">
        <f>VLOOKUP($AE4,'Lower Limb Bypass'!$A:$Y,23,FALSE)</f>
        <v>2</v>
      </c>
      <c r="AJ4" s="43">
        <f>VLOOKUP($AE4,'Lower Limb Bypass'!$A:$Y,24,FALSE)</f>
        <v>3</v>
      </c>
      <c r="AK4" s="43">
        <f>VLOOKUP($AE4,'Lower Limb Bypass'!$A:$Y,25,FALSE)</f>
        <v>5</v>
      </c>
    </row>
    <row r="5" spans="1:37" x14ac:dyDescent="0.25">
      <c r="AE5" s="118" t="s">
        <v>44</v>
      </c>
      <c r="AF5" s="119" t="s">
        <v>45</v>
      </c>
      <c r="AG5" s="120">
        <v>4</v>
      </c>
      <c r="AH5" s="43">
        <f>VLOOKUP($AE5,'Lower Limb Bypass'!$A:$Y,22,FALSE)</f>
        <v>3</v>
      </c>
      <c r="AI5" s="43">
        <f>VLOOKUP($AE5,'Lower Limb Bypass'!$A:$Y,23,FALSE)</f>
        <v>1</v>
      </c>
      <c r="AJ5" s="43">
        <f>VLOOKUP($AE5,'Lower Limb Bypass'!$A:$Y,24,FALSE)</f>
        <v>3</v>
      </c>
      <c r="AK5" s="43">
        <f>VLOOKUP($AE5,'Lower Limb Bypass'!$A:$Y,25,FALSE)</f>
        <v>5</v>
      </c>
    </row>
    <row r="6" spans="1:37" x14ac:dyDescent="0.25">
      <c r="AE6" s="118" t="s">
        <v>156</v>
      </c>
      <c r="AF6" s="119" t="s">
        <v>157</v>
      </c>
      <c r="AG6" s="120">
        <v>5</v>
      </c>
      <c r="AH6" s="43">
        <f>VLOOKUP($AE6,'Lower Limb Bypass'!$A:$Y,22,FALSE)</f>
        <v>3</v>
      </c>
      <c r="AI6" s="43">
        <f>VLOOKUP($AE6,'Lower Limb Bypass'!$A:$Y,23,FALSE)</f>
        <v>1</v>
      </c>
      <c r="AJ6" s="43">
        <f>VLOOKUP($AE6,'Lower Limb Bypass'!$A:$Y,24,FALSE)</f>
        <v>3</v>
      </c>
      <c r="AK6" s="43">
        <f>VLOOKUP($AE6,'Lower Limb Bypass'!$A:$Y,25,FALSE)</f>
        <v>5</v>
      </c>
    </row>
    <row r="7" spans="1:37" x14ac:dyDescent="0.25">
      <c r="AE7" s="118" t="s">
        <v>126</v>
      </c>
      <c r="AF7" s="119" t="s">
        <v>127</v>
      </c>
      <c r="AG7" s="120">
        <v>6</v>
      </c>
      <c r="AH7" s="43">
        <f>VLOOKUP($AE7,'Lower Limb Bypass'!$A:$Y,22,FALSE)</f>
        <v>3</v>
      </c>
      <c r="AI7" s="43">
        <f>VLOOKUP($AE7,'Lower Limb Bypass'!$A:$Y,23,FALSE)</f>
        <v>1</v>
      </c>
      <c r="AJ7" s="43">
        <f>VLOOKUP($AE7,'Lower Limb Bypass'!$A:$Y,24,FALSE)</f>
        <v>10</v>
      </c>
      <c r="AK7" s="43">
        <f>VLOOKUP($AE7,'Lower Limb Bypass'!$A:$Y,25,FALSE)</f>
        <v>5</v>
      </c>
    </row>
    <row r="8" spans="1:37" x14ac:dyDescent="0.25">
      <c r="AE8" s="118" t="s">
        <v>170</v>
      </c>
      <c r="AF8" s="119" t="s">
        <v>171</v>
      </c>
      <c r="AG8" s="120">
        <v>7</v>
      </c>
      <c r="AH8" s="43">
        <f>VLOOKUP($AE8,'Lower Limb Bypass'!$A:$Y,22,FALSE)</f>
        <v>4</v>
      </c>
      <c r="AI8" s="43">
        <f>VLOOKUP($AE8,'Lower Limb Bypass'!$A:$Y,23,FALSE)</f>
        <v>3</v>
      </c>
      <c r="AJ8" s="43">
        <f>VLOOKUP($AE8,'Lower Limb Bypass'!$A:$Y,24,FALSE)</f>
        <v>3</v>
      </c>
      <c r="AK8" s="43">
        <f>VLOOKUP($AE8,'Lower Limb Bypass'!$A:$Y,25,FALSE)</f>
        <v>5</v>
      </c>
    </row>
    <row r="9" spans="1:37" x14ac:dyDescent="0.25">
      <c r="AE9" s="118" t="s">
        <v>25</v>
      </c>
      <c r="AF9" s="119" t="s">
        <v>26</v>
      </c>
      <c r="AG9" s="120">
        <v>8</v>
      </c>
      <c r="AH9" s="43">
        <f>VLOOKUP($AE9,'Lower Limb Bypass'!$A:$Y,22,FALSE)</f>
        <v>4</v>
      </c>
      <c r="AI9" s="43">
        <f>VLOOKUP($AE9,'Lower Limb Bypass'!$A:$Y,23,FALSE)</f>
        <v>3</v>
      </c>
      <c r="AJ9" s="43">
        <f>VLOOKUP($AE9,'Lower Limb Bypass'!$A:$Y,24,FALSE)</f>
        <v>3</v>
      </c>
      <c r="AK9" s="43">
        <f>VLOOKUP($AE9,'Lower Limb Bypass'!$A:$Y,25,FALSE)</f>
        <v>5</v>
      </c>
    </row>
    <row r="10" spans="1:37" x14ac:dyDescent="0.25">
      <c r="AE10" s="118" t="s">
        <v>87</v>
      </c>
      <c r="AF10" s="119" t="s">
        <v>88</v>
      </c>
      <c r="AG10" s="120">
        <v>9</v>
      </c>
      <c r="AH10" s="43">
        <f>VLOOKUP($AE10,'Lower Limb Bypass'!$A:$Y,22,FALSE)</f>
        <v>4</v>
      </c>
      <c r="AI10" s="43">
        <f>VLOOKUP($AE10,'Lower Limb Bypass'!$A:$Y,23,FALSE)</f>
        <v>3</v>
      </c>
      <c r="AJ10" s="43">
        <f>VLOOKUP($AE10,'Lower Limb Bypass'!$A:$Y,24,FALSE)</f>
        <v>3</v>
      </c>
      <c r="AK10" s="43">
        <f>VLOOKUP($AE10,'Lower Limb Bypass'!$A:$Y,25,FALSE)</f>
        <v>5</v>
      </c>
    </row>
    <row r="11" spans="1:37" x14ac:dyDescent="0.25">
      <c r="AE11" s="118" t="s">
        <v>134</v>
      </c>
      <c r="AF11" s="119" t="s">
        <v>135</v>
      </c>
      <c r="AG11" s="120">
        <v>10</v>
      </c>
      <c r="AH11" s="43">
        <f>VLOOKUP($AE11,'Lower Limb Bypass'!$A:$Y,22,FALSE)</f>
        <v>4</v>
      </c>
      <c r="AI11" s="43">
        <f>VLOOKUP($AE11,'Lower Limb Bypass'!$A:$Y,23,FALSE)</f>
        <v>3</v>
      </c>
      <c r="AJ11" s="43">
        <f>VLOOKUP($AE11,'Lower Limb Bypass'!$A:$Y,24,FALSE)</f>
        <v>3</v>
      </c>
      <c r="AK11" s="43">
        <f>VLOOKUP($AE11,'Lower Limb Bypass'!$A:$Y,25,FALSE)</f>
        <v>5</v>
      </c>
    </row>
    <row r="12" spans="1:37" x14ac:dyDescent="0.25">
      <c r="AE12" s="118" t="s">
        <v>166</v>
      </c>
      <c r="AF12" s="119" t="s">
        <v>167</v>
      </c>
      <c r="AG12" s="120">
        <v>11</v>
      </c>
      <c r="AH12" s="43">
        <f>VLOOKUP($AE12,'Lower Limb Bypass'!$A:$Y,22,FALSE)</f>
        <v>4</v>
      </c>
      <c r="AI12" s="43">
        <f>VLOOKUP($AE12,'Lower Limb Bypass'!$A:$Y,23,FALSE)</f>
        <v>3</v>
      </c>
      <c r="AJ12" s="43">
        <f>VLOOKUP($AE12,'Lower Limb Bypass'!$A:$Y,24,FALSE)</f>
        <v>6</v>
      </c>
      <c r="AK12" s="43">
        <f>VLOOKUP($AE12,'Lower Limb Bypass'!$A:$Y,25,FALSE)</f>
        <v>5</v>
      </c>
    </row>
    <row r="13" spans="1:37" x14ac:dyDescent="0.25">
      <c r="AE13" s="118" t="s">
        <v>118</v>
      </c>
      <c r="AF13" s="119" t="s">
        <v>622</v>
      </c>
      <c r="AG13" s="120">
        <v>12</v>
      </c>
      <c r="AH13" s="43">
        <f>VLOOKUP($AE13,'Lower Limb Bypass'!$A:$Y,22,FALSE)</f>
        <v>4</v>
      </c>
      <c r="AI13" s="43">
        <f>VLOOKUP($AE13,'Lower Limb Bypass'!$A:$Y,23,FALSE)</f>
        <v>2</v>
      </c>
      <c r="AJ13" s="43">
        <f>VLOOKUP($AE13,'Lower Limb Bypass'!$A:$Y,24,FALSE)</f>
        <v>2</v>
      </c>
      <c r="AK13" s="43">
        <f>VLOOKUP($AE13,'Lower Limb Bypass'!$A:$Y,25,FALSE)</f>
        <v>5</v>
      </c>
    </row>
    <row r="14" spans="1:37" x14ac:dyDescent="0.25">
      <c r="AE14" s="118" t="s">
        <v>180</v>
      </c>
      <c r="AF14" s="119" t="s">
        <v>181</v>
      </c>
      <c r="AG14" s="120">
        <v>13</v>
      </c>
      <c r="AH14" s="43">
        <f>VLOOKUP($AE14,'Lower Limb Bypass'!$A:$Y,22,FALSE)</f>
        <v>4</v>
      </c>
      <c r="AI14" s="43">
        <f>VLOOKUP($AE14,'Lower Limb Bypass'!$A:$Y,23,FALSE)</f>
        <v>2</v>
      </c>
      <c r="AJ14" s="43">
        <f>VLOOKUP($AE14,'Lower Limb Bypass'!$A:$Y,24,FALSE)</f>
        <v>3</v>
      </c>
      <c r="AK14" s="43">
        <f>VLOOKUP($AE14,'Lower Limb Bypass'!$A:$Y,25,FALSE)</f>
        <v>5</v>
      </c>
    </row>
    <row r="15" spans="1:37" x14ac:dyDescent="0.25">
      <c r="AE15" s="118" t="s">
        <v>154</v>
      </c>
      <c r="AF15" s="119" t="s">
        <v>155</v>
      </c>
      <c r="AG15" s="120">
        <v>14</v>
      </c>
      <c r="AH15" s="43">
        <f>VLOOKUP($AE15,'Lower Limb Bypass'!$A:$Y,22,FALSE)</f>
        <v>4</v>
      </c>
      <c r="AI15" s="43">
        <f>VLOOKUP($AE15,'Lower Limb Bypass'!$A:$Y,23,FALSE)</f>
        <v>2</v>
      </c>
      <c r="AJ15" s="43">
        <f>VLOOKUP($AE15,'Lower Limb Bypass'!$A:$Y,24,FALSE)</f>
        <v>3</v>
      </c>
      <c r="AK15" s="43">
        <f>VLOOKUP($AE15,'Lower Limb Bypass'!$A:$Y,25,FALSE)</f>
        <v>5</v>
      </c>
    </row>
    <row r="16" spans="1:37" x14ac:dyDescent="0.25">
      <c r="AE16" s="118" t="s">
        <v>115</v>
      </c>
      <c r="AF16" s="119" t="s">
        <v>116</v>
      </c>
      <c r="AG16" s="120">
        <v>15</v>
      </c>
      <c r="AH16" s="43">
        <f>VLOOKUP($AE16,'Lower Limb Bypass'!$A:$Y,22,FALSE)</f>
        <v>4</v>
      </c>
      <c r="AI16" s="43">
        <f>VLOOKUP($AE16,'Lower Limb Bypass'!$A:$Y,23,FALSE)</f>
        <v>2</v>
      </c>
      <c r="AJ16" s="43">
        <f>VLOOKUP($AE16,'Lower Limb Bypass'!$A:$Y,24,FALSE)</f>
        <v>3</v>
      </c>
      <c r="AK16" s="43">
        <f>VLOOKUP($AE16,'Lower Limb Bypass'!$A:$Y,25,FALSE)</f>
        <v>5</v>
      </c>
    </row>
    <row r="17" spans="2:37" x14ac:dyDescent="0.25">
      <c r="AE17" s="118" t="s">
        <v>95</v>
      </c>
      <c r="AF17" s="119" t="s">
        <v>96</v>
      </c>
      <c r="AG17" s="120">
        <v>16</v>
      </c>
      <c r="AH17" s="43">
        <f>VLOOKUP($AE17,'Lower Limb Bypass'!$A:$Y,22,FALSE)</f>
        <v>4</v>
      </c>
      <c r="AI17" s="43">
        <f>VLOOKUP($AE17,'Lower Limb Bypass'!$A:$Y,23,FALSE)</f>
        <v>2</v>
      </c>
      <c r="AJ17" s="43">
        <f>VLOOKUP($AE17,'Lower Limb Bypass'!$A:$Y,24,FALSE)</f>
        <v>3</v>
      </c>
      <c r="AK17" s="43">
        <f>VLOOKUP($AE17,'Lower Limb Bypass'!$A:$Y,25,FALSE)</f>
        <v>5</v>
      </c>
    </row>
    <row r="18" spans="2:37" x14ac:dyDescent="0.25">
      <c r="AE18" s="118" t="s">
        <v>124</v>
      </c>
      <c r="AF18" s="119" t="s">
        <v>125</v>
      </c>
      <c r="AG18" s="120">
        <v>17</v>
      </c>
      <c r="AH18" s="43">
        <f>VLOOKUP($AE18,'Lower Limb Bypass'!$A:$Y,22,FALSE)</f>
        <v>4</v>
      </c>
      <c r="AI18" s="43">
        <f>VLOOKUP($AE18,'Lower Limb Bypass'!$A:$Y,23,FALSE)</f>
        <v>2</v>
      </c>
      <c r="AJ18" s="43">
        <f>VLOOKUP($AE18,'Lower Limb Bypass'!$A:$Y,24,FALSE)</f>
        <v>3</v>
      </c>
      <c r="AK18" s="43">
        <f>VLOOKUP($AE18,'Lower Limb Bypass'!$A:$Y,25,FALSE)</f>
        <v>5</v>
      </c>
    </row>
    <row r="19" spans="2:37" x14ac:dyDescent="0.25">
      <c r="AE19" s="118" t="s">
        <v>89</v>
      </c>
      <c r="AF19" s="119" t="s">
        <v>90</v>
      </c>
      <c r="AG19" s="120">
        <v>18</v>
      </c>
      <c r="AH19" s="43">
        <f>VLOOKUP($AE19,'Lower Limb Bypass'!$A:$Y,22,FALSE)</f>
        <v>4</v>
      </c>
      <c r="AI19" s="43">
        <f>VLOOKUP($AE19,'Lower Limb Bypass'!$A:$Y,23,FALSE)</f>
        <v>2</v>
      </c>
      <c r="AJ19" s="43">
        <f>VLOOKUP($AE19,'Lower Limb Bypass'!$A:$Y,24,FALSE)</f>
        <v>3</v>
      </c>
      <c r="AK19" s="43">
        <f>VLOOKUP($AE19,'Lower Limb Bypass'!$A:$Y,25,FALSE)</f>
        <v>5</v>
      </c>
    </row>
    <row r="20" spans="2:37" x14ac:dyDescent="0.25">
      <c r="AE20" s="118" t="s">
        <v>42</v>
      </c>
      <c r="AF20" s="119" t="s">
        <v>43</v>
      </c>
      <c r="AG20" s="120">
        <v>19</v>
      </c>
      <c r="AH20" s="43">
        <f>VLOOKUP($AE20,'Lower Limb Bypass'!$A:$Y,22,FALSE)</f>
        <v>4</v>
      </c>
      <c r="AI20" s="43">
        <f>VLOOKUP($AE20,'Lower Limb Bypass'!$A:$Y,23,FALSE)</f>
        <v>2</v>
      </c>
      <c r="AJ20" s="43">
        <f>VLOOKUP($AE20,'Lower Limb Bypass'!$A:$Y,24,FALSE)</f>
        <v>3</v>
      </c>
      <c r="AK20" s="43">
        <f>VLOOKUP($AE20,'Lower Limb Bypass'!$A:$Y,25,FALSE)</f>
        <v>5</v>
      </c>
    </row>
    <row r="21" spans="2:37" x14ac:dyDescent="0.25">
      <c r="AE21" s="118" t="s">
        <v>15</v>
      </c>
      <c r="AF21" s="119" t="s">
        <v>620</v>
      </c>
      <c r="AG21" s="120">
        <v>20</v>
      </c>
      <c r="AH21" s="43">
        <f>VLOOKUP($AE21,'Lower Limb Bypass'!$A:$Y,22,FALSE)</f>
        <v>4</v>
      </c>
      <c r="AI21" s="43">
        <f>VLOOKUP($AE21,'Lower Limb Bypass'!$A:$Y,23,FALSE)</f>
        <v>2</v>
      </c>
      <c r="AJ21" s="43">
        <f>VLOOKUP($AE21,'Lower Limb Bypass'!$A:$Y,24,FALSE)</f>
        <v>5</v>
      </c>
      <c r="AK21" s="43">
        <f>VLOOKUP($AE21,'Lower Limb Bypass'!$A:$Y,25,FALSE)</f>
        <v>5</v>
      </c>
    </row>
    <row r="22" spans="2:37" x14ac:dyDescent="0.25">
      <c r="AE22" s="118" t="s">
        <v>144</v>
      </c>
      <c r="AF22" s="119" t="s">
        <v>145</v>
      </c>
      <c r="AG22" s="120">
        <v>21</v>
      </c>
      <c r="AH22" s="43">
        <f>VLOOKUP($AE22,'Lower Limb Bypass'!$A:$Y,22,FALSE)</f>
        <v>4</v>
      </c>
      <c r="AI22" s="43">
        <f>VLOOKUP($AE22,'Lower Limb Bypass'!$A:$Y,23,FALSE)</f>
        <v>1</v>
      </c>
      <c r="AJ22" s="43">
        <f>VLOOKUP($AE22,'Lower Limb Bypass'!$A:$Y,24,FALSE)</f>
        <v>6</v>
      </c>
      <c r="AK22" s="43">
        <f>VLOOKUP($AE22,'Lower Limb Bypass'!$A:$Y,25,FALSE)</f>
        <v>5</v>
      </c>
    </row>
    <row r="23" spans="2:37" x14ac:dyDescent="0.25">
      <c r="AE23" s="118" t="s">
        <v>122</v>
      </c>
      <c r="AF23" s="119" t="s">
        <v>123</v>
      </c>
      <c r="AG23" s="120">
        <v>22</v>
      </c>
      <c r="AH23" s="43">
        <f>VLOOKUP($AE23,'Lower Limb Bypass'!$A:$Y,22,FALSE)</f>
        <v>5</v>
      </c>
      <c r="AI23" s="43">
        <f>VLOOKUP($AE23,'Lower Limb Bypass'!$A:$Y,23,FALSE)</f>
        <v>4</v>
      </c>
      <c r="AJ23" s="43">
        <f>VLOOKUP($AE23,'Lower Limb Bypass'!$A:$Y,24,FALSE)</f>
        <v>3</v>
      </c>
      <c r="AK23" s="43">
        <f>VLOOKUP($AE23,'Lower Limb Bypass'!$A:$Y,25,FALSE)</f>
        <v>5</v>
      </c>
    </row>
    <row r="24" spans="2:37" x14ac:dyDescent="0.25">
      <c r="AE24" s="118" t="s">
        <v>83</v>
      </c>
      <c r="AF24" s="119" t="s">
        <v>84</v>
      </c>
      <c r="AG24" s="120">
        <v>23</v>
      </c>
      <c r="AH24" s="43">
        <f>VLOOKUP($AE24,'Lower Limb Bypass'!$A:$Y,22,FALSE)</f>
        <v>5</v>
      </c>
      <c r="AI24" s="43">
        <f>VLOOKUP($AE24,'Lower Limb Bypass'!$A:$Y,23,FALSE)</f>
        <v>3</v>
      </c>
      <c r="AJ24" s="43">
        <f>VLOOKUP($AE24,'Lower Limb Bypass'!$A:$Y,24,FALSE)</f>
        <v>1</v>
      </c>
      <c r="AK24" s="43">
        <f>VLOOKUP($AE24,'Lower Limb Bypass'!$A:$Y,25,FALSE)</f>
        <v>5</v>
      </c>
    </row>
    <row r="25" spans="2:37" x14ac:dyDescent="0.25">
      <c r="AE25" s="118" t="s">
        <v>9</v>
      </c>
      <c r="AF25" s="119" t="s">
        <v>10</v>
      </c>
      <c r="AG25" s="120">
        <v>24</v>
      </c>
      <c r="AH25" s="43">
        <f>VLOOKUP($AE25,'Lower Limb Bypass'!$A:$Y,22,FALSE)</f>
        <v>5</v>
      </c>
      <c r="AI25" s="43">
        <f>VLOOKUP($AE25,'Lower Limb Bypass'!$A:$Y,23,FALSE)</f>
        <v>3</v>
      </c>
      <c r="AJ25" s="43">
        <f>VLOOKUP($AE25,'Lower Limb Bypass'!$A:$Y,24,FALSE)</f>
        <v>2</v>
      </c>
      <c r="AK25" s="43">
        <f>VLOOKUP($AE25,'Lower Limb Bypass'!$A:$Y,25,FALSE)</f>
        <v>5</v>
      </c>
    </row>
    <row r="26" spans="2:37" x14ac:dyDescent="0.25">
      <c r="AE26" s="118" t="s">
        <v>150</v>
      </c>
      <c r="AF26" s="119" t="s">
        <v>151</v>
      </c>
      <c r="AG26" s="120">
        <v>25</v>
      </c>
      <c r="AH26" s="43">
        <f>VLOOKUP($AE26,'Lower Limb Bypass'!$A:$Y,22,FALSE)</f>
        <v>5</v>
      </c>
      <c r="AI26" s="43">
        <f>VLOOKUP($AE26,'Lower Limb Bypass'!$A:$Y,23,FALSE)</f>
        <v>3</v>
      </c>
      <c r="AJ26" s="43">
        <f>VLOOKUP($AE26,'Lower Limb Bypass'!$A:$Y,24,FALSE)</f>
        <v>2</v>
      </c>
      <c r="AK26" s="43">
        <f>VLOOKUP($AE26,'Lower Limb Bypass'!$A:$Y,25,FALSE)</f>
        <v>5</v>
      </c>
    </row>
    <row r="27" spans="2:37" x14ac:dyDescent="0.25">
      <c r="AE27" s="118" t="s">
        <v>91</v>
      </c>
      <c r="AF27" s="119" t="s">
        <v>92</v>
      </c>
      <c r="AG27" s="120">
        <v>26</v>
      </c>
      <c r="AH27" s="43">
        <f>VLOOKUP($AE27,'Lower Limb Bypass'!$A:$Y,22,FALSE)</f>
        <v>5</v>
      </c>
      <c r="AI27" s="43">
        <f>VLOOKUP($AE27,'Lower Limb Bypass'!$A:$Y,23,FALSE)</f>
        <v>3</v>
      </c>
      <c r="AJ27" s="43">
        <f>VLOOKUP($AE27,'Lower Limb Bypass'!$A:$Y,24,FALSE)</f>
        <v>2</v>
      </c>
      <c r="AK27" s="43">
        <f>VLOOKUP($AE27,'Lower Limb Bypass'!$A:$Y,25,FALSE)</f>
        <v>5</v>
      </c>
    </row>
    <row r="28" spans="2:37" ht="15.75" thickBot="1" x14ac:dyDescent="0.3">
      <c r="AE28" s="118" t="s">
        <v>54</v>
      </c>
      <c r="AF28" s="119" t="s">
        <v>55</v>
      </c>
      <c r="AG28" s="120">
        <v>27</v>
      </c>
      <c r="AH28" s="43">
        <f>VLOOKUP($AE28,'Lower Limb Bypass'!$A:$Y,22,FALSE)</f>
        <v>5</v>
      </c>
      <c r="AI28" s="43">
        <f>VLOOKUP($AE28,'Lower Limb Bypass'!$A:$Y,23,FALSE)</f>
        <v>3</v>
      </c>
      <c r="AJ28" s="43">
        <f>VLOOKUP($AE28,'Lower Limb Bypass'!$A:$Y,24,FALSE)</f>
        <v>3</v>
      </c>
      <c r="AK28" s="43">
        <f>VLOOKUP($AE28,'Lower Limb Bypass'!$A:$Y,25,FALSE)</f>
        <v>5</v>
      </c>
    </row>
    <row r="29" spans="2:37" ht="60.75" thickBot="1" x14ac:dyDescent="0.3">
      <c r="B29" s="30" t="s">
        <v>183</v>
      </c>
      <c r="C29" s="30" t="s">
        <v>189</v>
      </c>
      <c r="D29" s="65" t="s">
        <v>190</v>
      </c>
      <c r="E29" s="30" t="s">
        <v>206</v>
      </c>
      <c r="F29" s="65" t="s">
        <v>207</v>
      </c>
      <c r="G29" s="66" t="s">
        <v>569</v>
      </c>
      <c r="H29" s="66" t="s">
        <v>1098</v>
      </c>
      <c r="I29" s="66" t="s">
        <v>1099</v>
      </c>
      <c r="J29" s="30" t="s">
        <v>1100</v>
      </c>
      <c r="AE29" s="118" t="s">
        <v>56</v>
      </c>
      <c r="AF29" s="119" t="s">
        <v>57</v>
      </c>
      <c r="AG29" s="120">
        <v>28</v>
      </c>
      <c r="AH29" s="43">
        <f>VLOOKUP($AE29,'Lower Limb Bypass'!$A:$Y,22,FALSE)</f>
        <v>5</v>
      </c>
      <c r="AI29" s="43">
        <f>VLOOKUP($AE29,'Lower Limb Bypass'!$A:$Y,23,FALSE)</f>
        <v>3</v>
      </c>
      <c r="AJ29" s="43">
        <f>VLOOKUP($AE29,'Lower Limb Bypass'!$A:$Y,24,FALSE)</f>
        <v>3</v>
      </c>
      <c r="AK29" s="43">
        <f>VLOOKUP($AE29,'Lower Limb Bypass'!$A:$Y,25,FALSE)</f>
        <v>5</v>
      </c>
    </row>
    <row r="30" spans="2:37" ht="15.75" thickBot="1" x14ac:dyDescent="0.3">
      <c r="B30" s="32" t="str">
        <f>B1</f>
        <v>Aneurin Bevan University Health Board</v>
      </c>
      <c r="C30" s="34" t="str">
        <f>VLOOKUP($B30,'Lower Limb Bypass'!$B:$J,9,FALSE)</f>
        <v>7A6</v>
      </c>
      <c r="D30" s="67">
        <f>VLOOKUP($B30,'Lower Limb Bypass'!$B:$J,2,FALSE)</f>
        <v>206</v>
      </c>
      <c r="E30" s="33" t="str">
        <f>VLOOKUP($B30,'Lower Limb Bypass'!$B:$J,3,FALSE)</f>
        <v>7 (3 - 15)</v>
      </c>
      <c r="F30" s="68">
        <f>VLOOKUP($B30,'Lower Limb Bypass'!$B:$J,4,FALSE)</f>
        <v>2.1999999999999999E-2</v>
      </c>
      <c r="G30" s="68">
        <f>VLOOKUP($B30,'Lower Limb Bypass'!$B:$J,5,FALSE)</f>
        <v>8.1000000000000003E-2</v>
      </c>
      <c r="H30" s="67">
        <f>VLOOKUP($B30,'Lower Limb Bypass'!$B:$J,6,FALSE)</f>
        <v>65</v>
      </c>
      <c r="I30" s="33" t="str">
        <f>VLOOKUP($B30,'Lower Limb Bypass'!$B:$J,7,FALSE)</f>
        <v>5 (2 - 7)</v>
      </c>
      <c r="J30" s="123">
        <f>VLOOKUP($B30,'Lower Limb Bypass'!$B:$Z,25,FALSE)</f>
        <v>0.55000000000000004</v>
      </c>
      <c r="AE30" s="118" t="s">
        <v>72</v>
      </c>
      <c r="AF30" s="119" t="s">
        <v>73</v>
      </c>
      <c r="AG30" s="120">
        <v>29</v>
      </c>
      <c r="AH30" s="43">
        <f>VLOOKUP($AE30,'Lower Limb Bypass'!$A:$Y,22,FALSE)</f>
        <v>5</v>
      </c>
      <c r="AI30" s="43">
        <f>VLOOKUP($AE30,'Lower Limb Bypass'!$A:$Y,23,FALSE)</f>
        <v>3</v>
      </c>
      <c r="AJ30" s="43">
        <f>VLOOKUP($AE30,'Lower Limb Bypass'!$A:$Y,24,FALSE)</f>
        <v>4</v>
      </c>
      <c r="AK30" s="43">
        <f>VLOOKUP($AE30,'Lower Limb Bypass'!$A:$Y,25,FALSE)</f>
        <v>5</v>
      </c>
    </row>
    <row r="31" spans="2:37" ht="15.75" thickBot="1" x14ac:dyDescent="0.3">
      <c r="B31" s="135" t="s">
        <v>405</v>
      </c>
      <c r="C31" s="135"/>
      <c r="D31" s="69">
        <v>18090</v>
      </c>
      <c r="E31" s="33" t="s">
        <v>272</v>
      </c>
      <c r="F31" s="68">
        <v>2.4E-2</v>
      </c>
      <c r="G31" s="68">
        <v>0.12</v>
      </c>
      <c r="H31" s="70">
        <v>4507</v>
      </c>
      <c r="I31" s="33" t="s">
        <v>807</v>
      </c>
      <c r="J31" s="123">
        <v>0.5</v>
      </c>
      <c r="AE31" s="118" t="s">
        <v>164</v>
      </c>
      <c r="AF31" s="119" t="s">
        <v>165</v>
      </c>
      <c r="AG31" s="120">
        <v>30</v>
      </c>
      <c r="AH31" s="43">
        <f>VLOOKUP($AE31,'Lower Limb Bypass'!$A:$Y,22,FALSE)</f>
        <v>5</v>
      </c>
      <c r="AI31" s="43">
        <f>VLOOKUP($AE31,'Lower Limb Bypass'!$A:$Y,23,FALSE)</f>
        <v>2</v>
      </c>
      <c r="AJ31" s="43">
        <f>VLOOKUP($AE31,'Lower Limb Bypass'!$A:$Y,24,FALSE)</f>
        <v>2</v>
      </c>
      <c r="AK31" s="43">
        <f>VLOOKUP($AE31,'Lower Limb Bypass'!$A:$Y,25,FALSE)</f>
        <v>5</v>
      </c>
    </row>
    <row r="32" spans="2:37" x14ac:dyDescent="0.25">
      <c r="AE32" s="118" t="s">
        <v>128</v>
      </c>
      <c r="AF32" s="119" t="s">
        <v>129</v>
      </c>
      <c r="AG32" s="120">
        <v>31</v>
      </c>
      <c r="AH32" s="43">
        <f>VLOOKUP($AE32,'Lower Limb Bypass'!$A:$Y,22,FALSE)</f>
        <v>5</v>
      </c>
      <c r="AI32" s="43">
        <f>VLOOKUP($AE32,'Lower Limb Bypass'!$A:$Y,23,FALSE)</f>
        <v>2</v>
      </c>
      <c r="AJ32" s="43">
        <f>VLOOKUP($AE32,'Lower Limb Bypass'!$A:$Y,24,FALSE)</f>
        <v>3</v>
      </c>
      <c r="AK32" s="43">
        <f>VLOOKUP($AE32,'Lower Limb Bypass'!$A:$Y,25,FALSE)</f>
        <v>5</v>
      </c>
    </row>
    <row r="33" spans="9:37" x14ac:dyDescent="0.25">
      <c r="AE33" s="118" t="s">
        <v>58</v>
      </c>
      <c r="AF33" s="119" t="s">
        <v>59</v>
      </c>
      <c r="AG33" s="120">
        <v>32</v>
      </c>
      <c r="AH33" s="43">
        <f>VLOOKUP($AE33,'Lower Limb Bypass'!$A:$Y,22,FALSE)</f>
        <v>5</v>
      </c>
      <c r="AI33" s="43">
        <f>VLOOKUP($AE33,'Lower Limb Bypass'!$A:$Y,23,FALSE)</f>
        <v>2</v>
      </c>
      <c r="AJ33" s="43">
        <f>VLOOKUP($AE33,'Lower Limb Bypass'!$A:$Y,24,FALSE)</f>
        <v>3</v>
      </c>
      <c r="AK33" s="43">
        <f>VLOOKUP($AE33,'Lower Limb Bypass'!$A:$Y,25,FALSE)</f>
        <v>5</v>
      </c>
    </row>
    <row r="34" spans="9:37" x14ac:dyDescent="0.25">
      <c r="AE34" s="118" t="s">
        <v>23</v>
      </c>
      <c r="AF34" s="119" t="s">
        <v>24</v>
      </c>
      <c r="AG34" s="120">
        <v>33</v>
      </c>
      <c r="AH34" s="43">
        <f>VLOOKUP($AE34,'Lower Limb Bypass'!$A:$Y,22,FALSE)</f>
        <v>6</v>
      </c>
      <c r="AI34" s="43">
        <f>VLOOKUP($AE34,'Lower Limb Bypass'!$A:$Y,23,FALSE)</f>
        <v>4</v>
      </c>
      <c r="AJ34" s="43">
        <f>VLOOKUP($AE34,'Lower Limb Bypass'!$A:$Y,24,FALSE)</f>
        <v>2</v>
      </c>
      <c r="AK34" s="43">
        <f>VLOOKUP($AE34,'Lower Limb Bypass'!$A:$Y,25,FALSE)</f>
        <v>5</v>
      </c>
    </row>
    <row r="35" spans="9:37" x14ac:dyDescent="0.25">
      <c r="I35" s="95"/>
      <c r="AE35" s="118" t="s">
        <v>140</v>
      </c>
      <c r="AF35" s="119" t="s">
        <v>141</v>
      </c>
      <c r="AG35" s="120">
        <v>34</v>
      </c>
      <c r="AH35" s="43">
        <f>VLOOKUP($AE35,'Lower Limb Bypass'!$A:$Y,22,FALSE)</f>
        <v>6</v>
      </c>
      <c r="AI35" s="43">
        <f>VLOOKUP($AE35,'Lower Limb Bypass'!$A:$Y,23,FALSE)</f>
        <v>4</v>
      </c>
      <c r="AJ35" s="43">
        <f>VLOOKUP($AE35,'Lower Limb Bypass'!$A:$Y,24,FALSE)</f>
        <v>2</v>
      </c>
      <c r="AK35" s="43">
        <f>VLOOKUP($AE35,'Lower Limb Bypass'!$A:$Y,25,FALSE)</f>
        <v>5</v>
      </c>
    </row>
    <row r="36" spans="9:37" x14ac:dyDescent="0.25">
      <c r="AE36" s="118" t="s">
        <v>148</v>
      </c>
      <c r="AF36" s="119" t="s">
        <v>149</v>
      </c>
      <c r="AG36" s="120">
        <v>35</v>
      </c>
      <c r="AH36" s="43">
        <f>VLOOKUP($AE36,'Lower Limb Bypass'!$A:$Y,22,FALSE)</f>
        <v>6</v>
      </c>
      <c r="AI36" s="43">
        <f>VLOOKUP($AE36,'Lower Limb Bypass'!$A:$Y,23,FALSE)</f>
        <v>4</v>
      </c>
      <c r="AJ36" s="43">
        <f>VLOOKUP($AE36,'Lower Limb Bypass'!$A:$Y,24,FALSE)</f>
        <v>3</v>
      </c>
      <c r="AK36" s="43">
        <f>VLOOKUP($AE36,'Lower Limb Bypass'!$A:$Y,25,FALSE)</f>
        <v>5</v>
      </c>
    </row>
    <row r="37" spans="9:37" x14ac:dyDescent="0.25">
      <c r="AE37" s="118" t="s">
        <v>66</v>
      </c>
      <c r="AF37" s="119" t="s">
        <v>67</v>
      </c>
      <c r="AG37" s="120">
        <v>36</v>
      </c>
      <c r="AH37" s="43">
        <f>VLOOKUP($AE37,'Lower Limb Bypass'!$A:$Y,22,FALSE)</f>
        <v>6</v>
      </c>
      <c r="AI37" s="43">
        <f>VLOOKUP($AE37,'Lower Limb Bypass'!$A:$Y,23,FALSE)</f>
        <v>4</v>
      </c>
      <c r="AJ37" s="43">
        <f>VLOOKUP($AE37,'Lower Limb Bypass'!$A:$Y,24,FALSE)</f>
        <v>3</v>
      </c>
      <c r="AK37" s="43">
        <f>VLOOKUP($AE37,'Lower Limb Bypass'!$A:$Y,25,FALSE)</f>
        <v>5</v>
      </c>
    </row>
    <row r="38" spans="9:37" x14ac:dyDescent="0.25">
      <c r="AE38" s="118" t="s">
        <v>21</v>
      </c>
      <c r="AF38" s="119" t="s">
        <v>22</v>
      </c>
      <c r="AG38" s="120">
        <v>37</v>
      </c>
      <c r="AH38" s="43">
        <f>VLOOKUP($AE38,'Lower Limb Bypass'!$A:$Y,22,FALSE)</f>
        <v>6</v>
      </c>
      <c r="AI38" s="43">
        <f>VLOOKUP($AE38,'Lower Limb Bypass'!$A:$Y,23,FALSE)</f>
        <v>4</v>
      </c>
      <c r="AJ38" s="43">
        <f>VLOOKUP($AE38,'Lower Limb Bypass'!$A:$Y,24,FALSE)</f>
        <v>3</v>
      </c>
      <c r="AK38" s="43">
        <f>VLOOKUP($AE38,'Lower Limb Bypass'!$A:$Y,25,FALSE)</f>
        <v>5</v>
      </c>
    </row>
    <row r="39" spans="9:37" x14ac:dyDescent="0.25">
      <c r="AE39" s="118" t="s">
        <v>60</v>
      </c>
      <c r="AF39" s="119" t="s">
        <v>61</v>
      </c>
      <c r="AG39" s="120">
        <v>38</v>
      </c>
      <c r="AH39" s="43">
        <f>VLOOKUP($AE39,'Lower Limb Bypass'!$A:$Y,22,FALSE)</f>
        <v>6</v>
      </c>
      <c r="AI39" s="43">
        <f>VLOOKUP($AE39,'Lower Limb Bypass'!$A:$Y,23,FALSE)</f>
        <v>4</v>
      </c>
      <c r="AJ39" s="43">
        <f>VLOOKUP($AE39,'Lower Limb Bypass'!$A:$Y,24,FALSE)</f>
        <v>4</v>
      </c>
      <c r="AK39" s="43">
        <f>VLOOKUP($AE39,'Lower Limb Bypass'!$A:$Y,25,FALSE)</f>
        <v>5</v>
      </c>
    </row>
    <row r="40" spans="9:37" x14ac:dyDescent="0.25">
      <c r="AE40" s="118" t="s">
        <v>39</v>
      </c>
      <c r="AF40" s="119" t="s">
        <v>215</v>
      </c>
      <c r="AG40" s="120">
        <v>39</v>
      </c>
      <c r="AH40" s="43">
        <f>VLOOKUP($AE40,'Lower Limb Bypass'!$A:$Y,22,FALSE)</f>
        <v>6</v>
      </c>
      <c r="AI40" s="43">
        <f>VLOOKUP($AE40,'Lower Limb Bypass'!$A:$Y,23,FALSE)</f>
        <v>4</v>
      </c>
      <c r="AJ40" s="43">
        <f>VLOOKUP($AE40,'Lower Limb Bypass'!$A:$Y,24,FALSE)</f>
        <v>6</v>
      </c>
      <c r="AK40" s="43">
        <f>VLOOKUP($AE40,'Lower Limb Bypass'!$A:$Y,25,FALSE)</f>
        <v>5</v>
      </c>
    </row>
    <row r="41" spans="9:37" x14ac:dyDescent="0.25">
      <c r="AE41" s="118" t="s">
        <v>33</v>
      </c>
      <c r="AF41" s="119" t="s">
        <v>34</v>
      </c>
      <c r="AG41" s="120">
        <v>40</v>
      </c>
      <c r="AH41" s="43">
        <f>VLOOKUP($AE41,'Lower Limb Bypass'!$A:$Y,22,FALSE)</f>
        <v>6</v>
      </c>
      <c r="AI41" s="43">
        <f>VLOOKUP($AE41,'Lower Limb Bypass'!$A:$Y,23,FALSE)</f>
        <v>3</v>
      </c>
      <c r="AJ41" s="43">
        <f>VLOOKUP($AE41,'Lower Limb Bypass'!$A:$Y,24,FALSE)</f>
        <v>3</v>
      </c>
      <c r="AK41" s="43">
        <f>VLOOKUP($AE41,'Lower Limb Bypass'!$A:$Y,25,FALSE)</f>
        <v>5</v>
      </c>
    </row>
    <row r="42" spans="9:37" x14ac:dyDescent="0.25">
      <c r="AE42" s="118" t="s">
        <v>77</v>
      </c>
      <c r="AF42" s="119" t="s">
        <v>78</v>
      </c>
      <c r="AG42" s="120">
        <v>41</v>
      </c>
      <c r="AH42" s="43">
        <f>VLOOKUP($AE42,'Lower Limb Bypass'!$A:$Y,22,FALSE)</f>
        <v>6</v>
      </c>
      <c r="AI42" s="43">
        <f>VLOOKUP($AE42,'Lower Limb Bypass'!$A:$Y,23,FALSE)</f>
        <v>3</v>
      </c>
      <c r="AJ42" s="43">
        <f>VLOOKUP($AE42,'Lower Limb Bypass'!$A:$Y,24,FALSE)</f>
        <v>4</v>
      </c>
      <c r="AK42" s="43">
        <f>VLOOKUP($AE42,'Lower Limb Bypass'!$A:$Y,25,FALSE)</f>
        <v>5</v>
      </c>
    </row>
    <row r="43" spans="9:37" x14ac:dyDescent="0.25">
      <c r="AE43" s="118" t="s">
        <v>40</v>
      </c>
      <c r="AF43" s="119" t="s">
        <v>41</v>
      </c>
      <c r="AG43" s="120">
        <v>42</v>
      </c>
      <c r="AH43" s="43">
        <f>VLOOKUP($AE43,'Lower Limb Bypass'!$A:$Y,22,FALSE)</f>
        <v>6</v>
      </c>
      <c r="AI43" s="43">
        <f>VLOOKUP($AE43,'Lower Limb Bypass'!$A:$Y,23,FALSE)</f>
        <v>3</v>
      </c>
      <c r="AJ43" s="43">
        <f>VLOOKUP($AE43,'Lower Limb Bypass'!$A:$Y,24,FALSE)</f>
        <v>6</v>
      </c>
      <c r="AK43" s="43">
        <f>VLOOKUP($AE43,'Lower Limb Bypass'!$A:$Y,25,FALSE)</f>
        <v>5</v>
      </c>
    </row>
    <row r="44" spans="9:37" x14ac:dyDescent="0.25">
      <c r="AE44" s="118" t="s">
        <v>130</v>
      </c>
      <c r="AF44" s="119" t="s">
        <v>618</v>
      </c>
      <c r="AG44" s="120">
        <v>43</v>
      </c>
      <c r="AH44" s="43">
        <f>VLOOKUP($AE44,'Lower Limb Bypass'!$A:$Y,22,FALSE)</f>
        <v>6</v>
      </c>
      <c r="AI44" s="43">
        <f>VLOOKUP($AE44,'Lower Limb Bypass'!$A:$Y,23,FALSE)</f>
        <v>2</v>
      </c>
      <c r="AJ44" s="43">
        <f>VLOOKUP($AE44,'Lower Limb Bypass'!$A:$Y,24,FALSE)</f>
        <v>5</v>
      </c>
      <c r="AK44" s="43">
        <f>VLOOKUP($AE44,'Lower Limb Bypass'!$A:$Y,25,FALSE)</f>
        <v>5</v>
      </c>
    </row>
    <row r="45" spans="9:37" x14ac:dyDescent="0.25">
      <c r="AE45" s="118" t="s">
        <v>136</v>
      </c>
      <c r="AF45" s="119" t="s">
        <v>137</v>
      </c>
      <c r="AG45" s="120">
        <v>44</v>
      </c>
      <c r="AH45" s="43">
        <f>VLOOKUP($AE45,'Lower Limb Bypass'!$A:$Y,22,FALSE)</f>
        <v>6</v>
      </c>
      <c r="AI45" s="43">
        <f>VLOOKUP($AE45,'Lower Limb Bypass'!$A:$Y,23,FALSE)</f>
        <v>1</v>
      </c>
      <c r="AJ45" s="43">
        <f>VLOOKUP($AE45,'Lower Limb Bypass'!$A:$Y,24,FALSE)</f>
        <v>9</v>
      </c>
      <c r="AK45" s="43">
        <f>VLOOKUP($AE45,'Lower Limb Bypass'!$A:$Y,25,FALSE)</f>
        <v>5</v>
      </c>
    </row>
    <row r="46" spans="9:37" x14ac:dyDescent="0.25">
      <c r="AE46" s="118" t="s">
        <v>142</v>
      </c>
      <c r="AF46" s="119" t="s">
        <v>143</v>
      </c>
      <c r="AG46" s="120">
        <v>45</v>
      </c>
      <c r="AH46" s="43">
        <f>VLOOKUP($AE46,'Lower Limb Bypass'!$A:$Y,22,FALSE)</f>
        <v>7</v>
      </c>
      <c r="AI46" s="43">
        <f>VLOOKUP($AE46,'Lower Limb Bypass'!$A:$Y,23,FALSE)</f>
        <v>7</v>
      </c>
      <c r="AJ46" s="43">
        <f>VLOOKUP($AE46,'Lower Limb Bypass'!$A:$Y,24,FALSE)</f>
        <v>5</v>
      </c>
      <c r="AK46" s="43">
        <f>VLOOKUP($AE46,'Lower Limb Bypass'!$A:$Y,25,FALSE)</f>
        <v>5</v>
      </c>
    </row>
    <row r="47" spans="9:37" x14ac:dyDescent="0.25">
      <c r="AE47" s="118" t="s">
        <v>107</v>
      </c>
      <c r="AF47" s="119" t="s">
        <v>108</v>
      </c>
      <c r="AG47" s="120">
        <v>46</v>
      </c>
      <c r="AH47" s="43">
        <f>VLOOKUP($AE47,'Lower Limb Bypass'!$A:$Y,22,FALSE)</f>
        <v>7</v>
      </c>
      <c r="AI47" s="43">
        <f>VLOOKUP($AE47,'Lower Limb Bypass'!$A:$Y,23,FALSE)</f>
        <v>4</v>
      </c>
      <c r="AJ47" s="43">
        <f>VLOOKUP($AE47,'Lower Limb Bypass'!$A:$Y,24,FALSE)</f>
        <v>3</v>
      </c>
      <c r="AK47" s="43">
        <f>VLOOKUP($AE47,'Lower Limb Bypass'!$A:$Y,25,FALSE)</f>
        <v>5</v>
      </c>
    </row>
    <row r="48" spans="9:37" x14ac:dyDescent="0.25">
      <c r="AE48" s="118" t="s">
        <v>117</v>
      </c>
      <c r="AF48" s="119" t="s">
        <v>400</v>
      </c>
      <c r="AG48" s="120">
        <v>47</v>
      </c>
      <c r="AH48" s="43">
        <f>VLOOKUP($AE48,'Lower Limb Bypass'!$A:$Y,22,FALSE)</f>
        <v>7</v>
      </c>
      <c r="AI48" s="43">
        <f>VLOOKUP($AE48,'Lower Limb Bypass'!$A:$Y,23,FALSE)</f>
        <v>4</v>
      </c>
      <c r="AJ48" s="43">
        <f>VLOOKUP($AE48,'Lower Limb Bypass'!$A:$Y,24,FALSE)</f>
        <v>3</v>
      </c>
      <c r="AK48" s="43">
        <f>VLOOKUP($AE48,'Lower Limb Bypass'!$A:$Y,25,FALSE)</f>
        <v>5</v>
      </c>
    </row>
    <row r="49" spans="31:37" x14ac:dyDescent="0.25">
      <c r="AE49" s="118" t="s">
        <v>5</v>
      </c>
      <c r="AF49" s="119" t="s">
        <v>6</v>
      </c>
      <c r="AG49" s="120">
        <v>48</v>
      </c>
      <c r="AH49" s="43">
        <f>VLOOKUP($AE49,'Lower Limb Bypass'!$A:$Y,22,FALSE)</f>
        <v>7</v>
      </c>
      <c r="AI49" s="43">
        <f>VLOOKUP($AE49,'Lower Limb Bypass'!$A:$Y,23,FALSE)</f>
        <v>3</v>
      </c>
      <c r="AJ49" s="43">
        <f>VLOOKUP($AE49,'Lower Limb Bypass'!$A:$Y,24,FALSE)</f>
        <v>2</v>
      </c>
      <c r="AK49" s="43">
        <f>VLOOKUP($AE49,'Lower Limb Bypass'!$A:$Y,25,FALSE)</f>
        <v>5</v>
      </c>
    </row>
    <row r="50" spans="31:37" x14ac:dyDescent="0.25">
      <c r="AE50" s="118" t="s">
        <v>7</v>
      </c>
      <c r="AF50" s="119" t="s">
        <v>616</v>
      </c>
      <c r="AG50" s="120">
        <v>49</v>
      </c>
      <c r="AH50" s="43">
        <f>VLOOKUP($AE50,'Lower Limb Bypass'!$A:$Y,22,FALSE)</f>
        <v>7</v>
      </c>
      <c r="AI50" s="43">
        <f>VLOOKUP($AE50,'Lower Limb Bypass'!$A:$Y,23,FALSE)</f>
        <v>3</v>
      </c>
      <c r="AJ50" s="43">
        <f>VLOOKUP($AE50,'Lower Limb Bypass'!$A:$Y,24,FALSE)</f>
        <v>2</v>
      </c>
      <c r="AK50" s="43">
        <f>VLOOKUP($AE50,'Lower Limb Bypass'!$A:$Y,25,FALSE)</f>
        <v>5</v>
      </c>
    </row>
    <row r="51" spans="31:37" x14ac:dyDescent="0.25">
      <c r="AE51" s="118" t="s">
        <v>68</v>
      </c>
      <c r="AF51" s="119" t="s">
        <v>69</v>
      </c>
      <c r="AG51" s="120">
        <v>50</v>
      </c>
      <c r="AH51" s="43">
        <f>VLOOKUP($AE51,'Lower Limb Bypass'!$A:$Y,22,FALSE)</f>
        <v>7</v>
      </c>
      <c r="AI51" s="43">
        <f>VLOOKUP($AE51,'Lower Limb Bypass'!$A:$Y,23,FALSE)</f>
        <v>3</v>
      </c>
      <c r="AJ51" s="43">
        <f>VLOOKUP($AE51,'Lower Limb Bypass'!$A:$Y,24,FALSE)</f>
        <v>3</v>
      </c>
      <c r="AK51" s="43">
        <f>VLOOKUP($AE51,'Lower Limb Bypass'!$A:$Y,25,FALSE)</f>
        <v>5</v>
      </c>
    </row>
    <row r="52" spans="31:37" x14ac:dyDescent="0.25">
      <c r="AE52" s="118" t="s">
        <v>4</v>
      </c>
      <c r="AF52" s="119" t="s">
        <v>213</v>
      </c>
      <c r="AG52" s="120">
        <v>51</v>
      </c>
      <c r="AH52" s="43">
        <f>VLOOKUP($AE52,'Lower Limb Bypass'!$A:$Y,22,FALSE)</f>
        <v>7</v>
      </c>
      <c r="AI52" s="43">
        <f>VLOOKUP($AE52,'Lower Limb Bypass'!$A:$Y,23,FALSE)</f>
        <v>3</v>
      </c>
      <c r="AJ52" s="43">
        <f>VLOOKUP($AE52,'Lower Limb Bypass'!$A:$Y,24,FALSE)</f>
        <v>4</v>
      </c>
      <c r="AK52" s="43">
        <f>VLOOKUP($AE52,'Lower Limb Bypass'!$A:$Y,25,FALSE)</f>
        <v>5</v>
      </c>
    </row>
    <row r="53" spans="31:37" x14ac:dyDescent="0.25">
      <c r="AE53" s="118" t="s">
        <v>70</v>
      </c>
      <c r="AF53" s="119" t="s">
        <v>71</v>
      </c>
      <c r="AG53" s="120">
        <v>52</v>
      </c>
      <c r="AH53" s="43">
        <f>VLOOKUP($AE53,'Lower Limb Bypass'!$A:$Y,22,FALSE)</f>
        <v>7</v>
      </c>
      <c r="AI53" s="43">
        <f>VLOOKUP($AE53,'Lower Limb Bypass'!$A:$Y,23,FALSE)</f>
        <v>3</v>
      </c>
      <c r="AJ53" s="43">
        <f>VLOOKUP($AE53,'Lower Limb Bypass'!$A:$Y,24,FALSE)</f>
        <v>4</v>
      </c>
      <c r="AK53" s="43">
        <f>VLOOKUP($AE53,'Lower Limb Bypass'!$A:$Y,25,FALSE)</f>
        <v>5</v>
      </c>
    </row>
    <row r="54" spans="31:37" x14ac:dyDescent="0.25">
      <c r="AE54" s="118" t="s">
        <v>105</v>
      </c>
      <c r="AF54" s="119" t="s">
        <v>106</v>
      </c>
      <c r="AG54" s="120">
        <v>53</v>
      </c>
      <c r="AH54" s="43">
        <f>VLOOKUP($AE54,'Lower Limb Bypass'!$A:$Y,22,FALSE)</f>
        <v>7</v>
      </c>
      <c r="AI54" s="43">
        <f>VLOOKUP($AE54,'Lower Limb Bypass'!$A:$Y,23,FALSE)</f>
        <v>3</v>
      </c>
      <c r="AJ54" s="43">
        <f>VLOOKUP($AE54,'Lower Limb Bypass'!$A:$Y,24,FALSE)</f>
        <v>5</v>
      </c>
      <c r="AK54" s="43">
        <f>VLOOKUP($AE54,'Lower Limb Bypass'!$A:$Y,25,FALSE)</f>
        <v>5</v>
      </c>
    </row>
    <row r="55" spans="31:37" x14ac:dyDescent="0.25">
      <c r="AE55" s="118" t="s">
        <v>76</v>
      </c>
      <c r="AF55" s="119" t="s">
        <v>214</v>
      </c>
      <c r="AG55" s="120">
        <v>54</v>
      </c>
      <c r="AH55" s="43">
        <f>VLOOKUP($AE55,'Lower Limb Bypass'!$A:$Y,22,FALSE)</f>
        <v>7</v>
      </c>
      <c r="AI55" s="43">
        <f>VLOOKUP($AE55,'Lower Limb Bypass'!$A:$Y,23,FALSE)</f>
        <v>3</v>
      </c>
      <c r="AJ55" s="43">
        <f>VLOOKUP($AE55,'Lower Limb Bypass'!$A:$Y,24,FALSE)</f>
        <v>5</v>
      </c>
      <c r="AK55" s="43">
        <f>VLOOKUP($AE55,'Lower Limb Bypass'!$A:$Y,25,FALSE)</f>
        <v>5</v>
      </c>
    </row>
    <row r="56" spans="31:37" x14ac:dyDescent="0.25">
      <c r="AE56" s="118" t="s">
        <v>19</v>
      </c>
      <c r="AF56" s="119" t="s">
        <v>20</v>
      </c>
      <c r="AG56" s="120">
        <v>55</v>
      </c>
      <c r="AH56" s="43">
        <f>VLOOKUP($AE56,'Lower Limb Bypass'!$A:$Y,22,FALSE)</f>
        <v>7</v>
      </c>
      <c r="AI56" s="43">
        <f>VLOOKUP($AE56,'Lower Limb Bypass'!$A:$Y,23,FALSE)</f>
        <v>3</v>
      </c>
      <c r="AJ56" s="43">
        <f>VLOOKUP($AE56,'Lower Limb Bypass'!$A:$Y,24,FALSE)</f>
        <v>6</v>
      </c>
      <c r="AK56" s="43">
        <f>VLOOKUP($AE56,'Lower Limb Bypass'!$A:$Y,25,FALSE)</f>
        <v>5</v>
      </c>
    </row>
    <row r="57" spans="31:37" x14ac:dyDescent="0.25">
      <c r="AE57" s="118" t="s">
        <v>158</v>
      </c>
      <c r="AF57" s="119" t="s">
        <v>159</v>
      </c>
      <c r="AG57" s="120">
        <v>56</v>
      </c>
      <c r="AH57" s="43">
        <f>VLOOKUP($AE57,'Lower Limb Bypass'!$A:$Y,22,FALSE)</f>
        <v>7</v>
      </c>
      <c r="AI57" s="43">
        <f>VLOOKUP($AE57,'Lower Limb Bypass'!$A:$Y,23,FALSE)</f>
        <v>3</v>
      </c>
      <c r="AJ57" s="43">
        <f>VLOOKUP($AE57,'Lower Limb Bypass'!$A:$Y,24,FALSE)</f>
        <v>6</v>
      </c>
      <c r="AK57" s="43">
        <f>VLOOKUP($AE57,'Lower Limb Bypass'!$A:$Y,25,FALSE)</f>
        <v>5</v>
      </c>
    </row>
    <row r="58" spans="31:37" x14ac:dyDescent="0.25">
      <c r="AE58" s="118" t="s">
        <v>11</v>
      </c>
      <c r="AF58" s="119" t="s">
        <v>12</v>
      </c>
      <c r="AG58" s="120">
        <v>57</v>
      </c>
      <c r="AH58" s="43">
        <f>VLOOKUP($AE58,'Lower Limb Bypass'!$A:$Y,22,FALSE)</f>
        <v>7</v>
      </c>
      <c r="AI58" s="43">
        <f>VLOOKUP($AE58,'Lower Limb Bypass'!$A:$Y,23,FALSE)</f>
        <v>3</v>
      </c>
      <c r="AJ58" s="43">
        <f>VLOOKUP($AE58,'Lower Limb Bypass'!$A:$Y,24,FALSE)</f>
        <v>6</v>
      </c>
      <c r="AK58" s="43">
        <f>VLOOKUP($AE58,'Lower Limb Bypass'!$A:$Y,25,FALSE)</f>
        <v>5</v>
      </c>
    </row>
    <row r="59" spans="31:37" x14ac:dyDescent="0.25">
      <c r="AE59" s="118" t="s">
        <v>174</v>
      </c>
      <c r="AF59" s="119" t="s">
        <v>175</v>
      </c>
      <c r="AG59" s="120">
        <v>58</v>
      </c>
      <c r="AH59" s="43">
        <f>VLOOKUP($AE59,'Lower Limb Bypass'!$A:$Y,22,FALSE)</f>
        <v>7</v>
      </c>
      <c r="AI59" s="43">
        <f>VLOOKUP($AE59,'Lower Limb Bypass'!$A:$Y,23,FALSE)</f>
        <v>3</v>
      </c>
      <c r="AJ59" s="43">
        <f>VLOOKUP($AE59,'Lower Limb Bypass'!$A:$Y,24,FALSE)</f>
        <v>6</v>
      </c>
      <c r="AK59" s="43">
        <f>VLOOKUP($AE59,'Lower Limb Bypass'!$A:$Y,25,FALSE)</f>
        <v>5</v>
      </c>
    </row>
    <row r="60" spans="31:37" x14ac:dyDescent="0.25">
      <c r="AE60" s="118" t="s">
        <v>46</v>
      </c>
      <c r="AF60" s="119" t="s">
        <v>619</v>
      </c>
      <c r="AG60" s="120">
        <v>59</v>
      </c>
      <c r="AH60" s="43">
        <f>VLOOKUP($AE60,'Lower Limb Bypass'!$A:$Y,22,FALSE)</f>
        <v>7</v>
      </c>
      <c r="AI60" s="43">
        <f>VLOOKUP($AE60,'Lower Limb Bypass'!$A:$Y,23,FALSE)</f>
        <v>2</v>
      </c>
      <c r="AJ60" s="43">
        <f>VLOOKUP($AE60,'Lower Limb Bypass'!$A:$Y,24,FALSE)</f>
        <v>3</v>
      </c>
      <c r="AK60" s="43">
        <f>VLOOKUP($AE60,'Lower Limb Bypass'!$A:$Y,25,FALSE)</f>
        <v>5</v>
      </c>
    </row>
    <row r="61" spans="31:37" x14ac:dyDescent="0.25">
      <c r="AE61" s="118" t="s">
        <v>113</v>
      </c>
      <c r="AF61" s="119" t="s">
        <v>114</v>
      </c>
      <c r="AG61" s="120">
        <v>60</v>
      </c>
      <c r="AH61" s="43">
        <f>VLOOKUP($AE61,'Lower Limb Bypass'!$A:$Y,22,FALSE)</f>
        <v>7</v>
      </c>
      <c r="AI61" s="43">
        <f>VLOOKUP($AE61,'Lower Limb Bypass'!$A:$Y,23,FALSE)</f>
        <v>2</v>
      </c>
      <c r="AJ61" s="43">
        <f>VLOOKUP($AE61,'Lower Limb Bypass'!$A:$Y,24,FALSE)</f>
        <v>3</v>
      </c>
      <c r="AK61" s="43">
        <f>VLOOKUP($AE61,'Lower Limb Bypass'!$A:$Y,25,FALSE)</f>
        <v>5</v>
      </c>
    </row>
    <row r="62" spans="31:37" x14ac:dyDescent="0.25">
      <c r="AE62" s="118" t="s">
        <v>132</v>
      </c>
      <c r="AF62" s="119" t="s">
        <v>133</v>
      </c>
      <c r="AG62" s="120">
        <v>61</v>
      </c>
      <c r="AH62" s="43">
        <f>VLOOKUP($AE62,'Lower Limb Bypass'!$A:$Y,22,FALSE)</f>
        <v>8</v>
      </c>
      <c r="AI62" s="43">
        <f>VLOOKUP($AE62,'Lower Limb Bypass'!$A:$Y,23,FALSE)</f>
        <v>5</v>
      </c>
      <c r="AJ62" s="43">
        <f>VLOOKUP($AE62,'Lower Limb Bypass'!$A:$Y,24,FALSE)</f>
        <v>6</v>
      </c>
      <c r="AK62" s="43">
        <f>VLOOKUP($AE62,'Lower Limb Bypass'!$A:$Y,25,FALSE)</f>
        <v>5</v>
      </c>
    </row>
    <row r="63" spans="31:37" x14ac:dyDescent="0.25">
      <c r="AE63" s="118" t="s">
        <v>74</v>
      </c>
      <c r="AF63" s="119" t="s">
        <v>75</v>
      </c>
      <c r="AG63" s="120">
        <v>62</v>
      </c>
      <c r="AH63" s="43">
        <f>VLOOKUP($AE63,'Lower Limb Bypass'!$A:$Y,22,FALSE)</f>
        <v>8</v>
      </c>
      <c r="AI63" s="43">
        <f>VLOOKUP($AE63,'Lower Limb Bypass'!$A:$Y,23,FALSE)</f>
        <v>4</v>
      </c>
      <c r="AJ63" s="43">
        <f>VLOOKUP($AE63,'Lower Limb Bypass'!$A:$Y,24,FALSE)</f>
        <v>6</v>
      </c>
      <c r="AK63" s="43">
        <f>VLOOKUP($AE63,'Lower Limb Bypass'!$A:$Y,25,FALSE)</f>
        <v>5</v>
      </c>
    </row>
    <row r="64" spans="31:37" x14ac:dyDescent="0.25">
      <c r="AE64" s="118" t="s">
        <v>81</v>
      </c>
      <c r="AF64" s="119" t="s">
        <v>82</v>
      </c>
      <c r="AG64" s="120">
        <v>63</v>
      </c>
      <c r="AH64" s="43">
        <f>VLOOKUP($AE64,'Lower Limb Bypass'!$A:$Y,22,FALSE)</f>
        <v>8</v>
      </c>
      <c r="AI64" s="43">
        <f>VLOOKUP($AE64,'Lower Limb Bypass'!$A:$Y,23,FALSE)</f>
        <v>3</v>
      </c>
      <c r="AJ64" s="43">
        <f>VLOOKUP($AE64,'Lower Limb Bypass'!$A:$Y,24,FALSE)</f>
        <v>3</v>
      </c>
      <c r="AK64" s="43">
        <f>VLOOKUP($AE64,'Lower Limb Bypass'!$A:$Y,25,FALSE)</f>
        <v>5</v>
      </c>
    </row>
    <row r="65" spans="31:37" x14ac:dyDescent="0.25">
      <c r="AE65" s="118" t="s">
        <v>99</v>
      </c>
      <c r="AF65" s="119" t="s">
        <v>100</v>
      </c>
      <c r="AG65" s="120">
        <v>64</v>
      </c>
      <c r="AH65" s="43">
        <f>VLOOKUP($AE65,'Lower Limb Bypass'!$A:$Y,22,FALSE)</f>
        <v>9</v>
      </c>
      <c r="AI65" s="43">
        <f>VLOOKUP($AE65,'Lower Limb Bypass'!$A:$Y,23,FALSE)</f>
        <v>5</v>
      </c>
      <c r="AJ65" s="43">
        <f>VLOOKUP($AE65,'Lower Limb Bypass'!$A:$Y,24,FALSE)</f>
        <v>4</v>
      </c>
      <c r="AK65" s="43">
        <f>VLOOKUP($AE65,'Lower Limb Bypass'!$A:$Y,25,FALSE)</f>
        <v>5</v>
      </c>
    </row>
    <row r="66" spans="31:37" x14ac:dyDescent="0.25">
      <c r="AE66" s="118" t="s">
        <v>13</v>
      </c>
      <c r="AF66" s="119" t="s">
        <v>14</v>
      </c>
      <c r="AG66" s="120">
        <v>65</v>
      </c>
      <c r="AH66" s="43">
        <f>VLOOKUP($AE66,'Lower Limb Bypass'!$A:$Y,22,FALSE)</f>
        <v>9</v>
      </c>
      <c r="AI66" s="43">
        <f>VLOOKUP($AE66,'Lower Limb Bypass'!$A:$Y,23,FALSE)</f>
        <v>4</v>
      </c>
      <c r="AJ66" s="43">
        <f>VLOOKUP($AE66,'Lower Limb Bypass'!$A:$Y,24,FALSE)</f>
        <v>3</v>
      </c>
      <c r="AK66" s="43">
        <f>VLOOKUP($AE66,'Lower Limb Bypass'!$A:$Y,25,FALSE)</f>
        <v>5</v>
      </c>
    </row>
    <row r="67" spans="31:37" x14ac:dyDescent="0.25">
      <c r="AE67" s="118" t="s">
        <v>0</v>
      </c>
      <c r="AF67" s="119" t="s">
        <v>1</v>
      </c>
      <c r="AG67" s="120">
        <v>66</v>
      </c>
      <c r="AH67" s="43">
        <f>VLOOKUP($AE67,'Lower Limb Bypass'!$A:$Y,22,FALSE)</f>
        <v>9</v>
      </c>
      <c r="AI67" s="43">
        <f>VLOOKUP($AE67,'Lower Limb Bypass'!$A:$Y,23,FALSE)</f>
        <v>3</v>
      </c>
      <c r="AJ67" s="43">
        <f>VLOOKUP($AE67,'Lower Limb Bypass'!$A:$Y,24,FALSE)</f>
        <v>6</v>
      </c>
      <c r="AK67" s="43">
        <f>VLOOKUP($AE67,'Lower Limb Bypass'!$A:$Y,25,FALSE)</f>
        <v>5</v>
      </c>
    </row>
    <row r="68" spans="31:37" x14ac:dyDescent="0.25">
      <c r="AE68" s="118" t="s">
        <v>93</v>
      </c>
      <c r="AF68" s="119" t="s">
        <v>617</v>
      </c>
      <c r="AG68" s="120">
        <v>67</v>
      </c>
      <c r="AH68" s="43">
        <f>VLOOKUP($AE68,'Lower Limb Bypass'!$A:$Y,22,FALSE)</f>
        <v>9</v>
      </c>
      <c r="AI68" s="43">
        <f>VLOOKUP($AE68,'Lower Limb Bypass'!$A:$Y,23,FALSE)</f>
        <v>2</v>
      </c>
      <c r="AJ68" s="43">
        <f>VLOOKUP($AE68,'Lower Limb Bypass'!$A:$Y,24,FALSE)</f>
        <v>4</v>
      </c>
      <c r="AK68" s="43">
        <f>VLOOKUP($AE68,'Lower Limb Bypass'!$A:$Y,25,FALSE)</f>
        <v>5</v>
      </c>
    </row>
    <row r="69" spans="31:37" x14ac:dyDescent="0.25">
      <c r="AE69" s="118" t="s">
        <v>160</v>
      </c>
      <c r="AF69" s="119" t="s">
        <v>161</v>
      </c>
      <c r="AG69" s="120">
        <v>68</v>
      </c>
      <c r="AH69" s="43">
        <f>VLOOKUP($AE69,'Lower Limb Bypass'!$A:$Y,22,FALSE)</f>
        <v>13</v>
      </c>
      <c r="AI69" s="43">
        <f>VLOOKUP($AE69,'Lower Limb Bypass'!$A:$Y,23,FALSE)</f>
        <v>7</v>
      </c>
      <c r="AJ69" s="43">
        <f>VLOOKUP($AE69,'Lower Limb Bypass'!$A:$Y,24,FALSE)</f>
        <v>2</v>
      </c>
      <c r="AK69" s="43">
        <f>VLOOKUP($AE69,'Lower Limb Bypass'!$A:$Y,25,FALSE)</f>
        <v>5</v>
      </c>
    </row>
    <row r="70" spans="31:37" x14ac:dyDescent="0.25">
      <c r="AE70" s="118" t="s">
        <v>48</v>
      </c>
      <c r="AF70" s="119" t="s">
        <v>613</v>
      </c>
      <c r="AG70" s="120">
        <v>69</v>
      </c>
      <c r="AH70" s="43">
        <f>VLOOKUP($AE70,'Lower Limb Bypass'!$A:$Y,22,FALSE)</f>
        <v>14</v>
      </c>
      <c r="AI70" s="43">
        <f>VLOOKUP($AE70,'Lower Limb Bypass'!$A:$Y,23,FALSE)</f>
        <v>7</v>
      </c>
      <c r="AJ70" s="43">
        <f>VLOOKUP($AE70,'Lower Limb Bypass'!$A:$Y,24,FALSE)</f>
        <v>4</v>
      </c>
      <c r="AK70" s="43">
        <f>VLOOKUP($AE70,'Lower Limb Bypass'!$A:$Y,25,FALSE)</f>
        <v>5</v>
      </c>
    </row>
  </sheetData>
  <mergeCells count="1">
    <mergeCell ref="B31:C3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'Lower Limb Bypass'!$B$2:$B$77</xm:f>
          </x14:formula1>
          <xm:sqref>B1</xm:sqref>
        </x14:dataValidation>
        <x14:dataValidation type="list" allowBlank="1" showInputMessage="1" showErrorMessage="1">
          <x14:formula1>
            <xm:f>'Lower Limb Bypass'!$H$1:$I$1</xm:f>
          </x14:formula1>
          <xm:sqref>O3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" sqref="H1"/>
    </sheetView>
  </sheetViews>
  <sheetFormatPr defaultRowHeight="15" x14ac:dyDescent="0.25"/>
  <cols>
    <col min="1" max="1" width="11.28515625" customWidth="1"/>
    <col min="2" max="2" width="63.7109375" bestFit="1" customWidth="1"/>
    <col min="3" max="3" width="12.5703125" customWidth="1"/>
    <col min="4" max="4" width="18.7109375" customWidth="1"/>
    <col min="5" max="5" width="19.28515625" customWidth="1"/>
    <col min="8" max="8" width="10.42578125" bestFit="1" customWidth="1"/>
    <col min="10" max="16" width="11.28515625" customWidth="1"/>
  </cols>
  <sheetData>
    <row r="1" spans="1:26" ht="75" x14ac:dyDescent="0.25">
      <c r="A1" s="17" t="s">
        <v>189</v>
      </c>
      <c r="B1" s="17" t="s">
        <v>183</v>
      </c>
      <c r="C1" s="17" t="s">
        <v>190</v>
      </c>
      <c r="D1" s="6" t="s">
        <v>206</v>
      </c>
      <c r="E1" s="17" t="s">
        <v>207</v>
      </c>
      <c r="F1" s="22" t="s">
        <v>371</v>
      </c>
      <c r="G1" s="22" t="s">
        <v>1098</v>
      </c>
      <c r="H1" s="22" t="s">
        <v>1136</v>
      </c>
      <c r="I1" s="27" t="s">
        <v>1100</v>
      </c>
      <c r="J1" s="17" t="s">
        <v>189</v>
      </c>
      <c r="K1" s="105" t="s">
        <v>1103</v>
      </c>
      <c r="L1" s="105" t="s">
        <v>1104</v>
      </c>
      <c r="M1" s="105" t="s">
        <v>1105</v>
      </c>
      <c r="N1" s="105" t="s">
        <v>1107</v>
      </c>
      <c r="O1" s="105" t="s">
        <v>1108</v>
      </c>
      <c r="P1" s="105" t="s">
        <v>1106</v>
      </c>
      <c r="Q1" s="22" t="s">
        <v>1101</v>
      </c>
      <c r="R1" s="22" t="s">
        <v>1102</v>
      </c>
      <c r="S1" s="22" t="s">
        <v>1109</v>
      </c>
      <c r="T1" s="22" t="s">
        <v>1110</v>
      </c>
      <c r="U1" s="22" t="s">
        <v>1111</v>
      </c>
      <c r="V1" s="52" t="s">
        <v>1097</v>
      </c>
      <c r="W1" s="52" t="s">
        <v>590</v>
      </c>
      <c r="X1" s="52" t="s">
        <v>591</v>
      </c>
      <c r="Y1" s="52" t="s">
        <v>1084</v>
      </c>
      <c r="Z1" s="27" t="s">
        <v>1100</v>
      </c>
    </row>
    <row r="2" spans="1:26" x14ac:dyDescent="0.25">
      <c r="A2" s="16" t="s">
        <v>9</v>
      </c>
      <c r="B2" s="2" t="s">
        <v>10</v>
      </c>
      <c r="C2" s="42">
        <v>206</v>
      </c>
      <c r="D2" s="42" t="s">
        <v>223</v>
      </c>
      <c r="E2" s="94">
        <v>2.1999999999999999E-2</v>
      </c>
      <c r="F2" s="94">
        <v>8.1000000000000003E-2</v>
      </c>
      <c r="G2" s="42">
        <v>65</v>
      </c>
      <c r="H2" s="42" t="s">
        <v>310</v>
      </c>
      <c r="I2">
        <v>55</v>
      </c>
      <c r="J2" s="9" t="str">
        <f>A2</f>
        <v>7A6</v>
      </c>
      <c r="K2" s="106">
        <v>5</v>
      </c>
      <c r="L2" s="9">
        <v>2</v>
      </c>
      <c r="M2" s="9">
        <v>7</v>
      </c>
      <c r="N2" s="9">
        <f>K2-L2</f>
        <v>3</v>
      </c>
      <c r="O2" s="9">
        <f>M2-K2</f>
        <v>2</v>
      </c>
      <c r="P2" s="9">
        <v>5</v>
      </c>
      <c r="Q2">
        <v>42.531910000000003</v>
      </c>
      <c r="R2">
        <v>67.730579999999989</v>
      </c>
      <c r="S2">
        <f t="shared" ref="S2:S33" si="0">I2-Q2</f>
        <v>12.468089999999997</v>
      </c>
      <c r="T2" s="107">
        <f t="shared" ref="T2:T33" si="1">R2-I2</f>
        <v>12.730579999999989</v>
      </c>
      <c r="U2" s="107">
        <v>80</v>
      </c>
      <c r="V2" s="91">
        <f>IF('Bypass Summary'!$O$4=2, I2, IF('Bypass Summary'!$O$4=1, K2))</f>
        <v>5</v>
      </c>
      <c r="W2" s="91">
        <f>IF('Bypass Summary'!$O$4=2, S2, IF('Bypass Summary'!$O$4=1, N2))</f>
        <v>3</v>
      </c>
      <c r="X2" s="91">
        <f>IF('Bypass Summary'!$O$4=2, T2, IF('Bypass Summary'!$O$4=1, O2))</f>
        <v>2</v>
      </c>
      <c r="Y2" s="91">
        <f>IF('Bypass Summary'!$O$4=2, U2, IF('Bypass Summary'!$O$4=1, P2))</f>
        <v>5</v>
      </c>
      <c r="Z2" s="124">
        <v>0.55000000000000004</v>
      </c>
    </row>
    <row r="3" spans="1:26" x14ac:dyDescent="0.25">
      <c r="A3" s="16" t="s">
        <v>120</v>
      </c>
      <c r="B3" s="2" t="s">
        <v>612</v>
      </c>
      <c r="C3" s="42">
        <v>181</v>
      </c>
      <c r="D3" s="42" t="s">
        <v>258</v>
      </c>
      <c r="E3" s="94">
        <v>5.8000000000000003E-2</v>
      </c>
      <c r="F3" s="94">
        <v>6.6000000000000003E-2</v>
      </c>
      <c r="G3" s="42">
        <v>29</v>
      </c>
      <c r="H3" s="42" t="s">
        <v>327</v>
      </c>
      <c r="I3">
        <v>76</v>
      </c>
      <c r="J3" s="9" t="str">
        <f t="shared" ref="J3:J64" si="2">A3</f>
        <v>RTK</v>
      </c>
      <c r="K3" s="106">
        <v>3</v>
      </c>
      <c r="L3" s="9">
        <v>1</v>
      </c>
      <c r="M3" s="9">
        <v>5</v>
      </c>
      <c r="N3" s="9">
        <f t="shared" ref="N3:N66" si="3">K3-L3</f>
        <v>2</v>
      </c>
      <c r="O3" s="9">
        <f t="shared" ref="O3:O66" si="4">M3-K3</f>
        <v>2</v>
      </c>
      <c r="P3" s="9">
        <v>5</v>
      </c>
      <c r="Q3">
        <v>56.459959999999995</v>
      </c>
      <c r="R3">
        <v>89.701650000000001</v>
      </c>
      <c r="S3">
        <f t="shared" si="0"/>
        <v>19.540040000000005</v>
      </c>
      <c r="T3" s="107">
        <f t="shared" si="1"/>
        <v>13.701650000000001</v>
      </c>
      <c r="U3" s="107">
        <v>80</v>
      </c>
      <c r="V3" s="91">
        <f>IF('Bypass Summary'!$O$4=2, I3, IF('Bypass Summary'!$O$4=1, K3))</f>
        <v>3</v>
      </c>
      <c r="W3" s="91">
        <f>IF('Bypass Summary'!$O$4=2, S3, IF('Bypass Summary'!$O$4=1, N3))</f>
        <v>2</v>
      </c>
      <c r="X3" s="91">
        <f>IF('Bypass Summary'!$O$4=2, T3, IF('Bypass Summary'!$O$4=1, O3))</f>
        <v>2</v>
      </c>
      <c r="Y3" s="91">
        <f>IF('Bypass Summary'!$O$4=2, U3, IF('Bypass Summary'!$O$4=1, P3))</f>
        <v>5</v>
      </c>
      <c r="Z3" s="124">
        <v>0.76</v>
      </c>
    </row>
    <row r="4" spans="1:26" x14ac:dyDescent="0.25">
      <c r="A4" s="16" t="s">
        <v>48</v>
      </c>
      <c r="B4" s="2" t="s">
        <v>613</v>
      </c>
      <c r="C4" s="42">
        <v>104</v>
      </c>
      <c r="D4" s="42" t="s">
        <v>336</v>
      </c>
      <c r="E4" s="94">
        <v>4.1000000000000002E-2</v>
      </c>
      <c r="F4" s="94">
        <v>0.158</v>
      </c>
      <c r="G4" s="42">
        <v>13</v>
      </c>
      <c r="H4" s="42" t="s">
        <v>804</v>
      </c>
      <c r="I4">
        <v>0</v>
      </c>
      <c r="J4" s="9" t="str">
        <f t="shared" si="2"/>
        <v>RF4</v>
      </c>
      <c r="K4" s="106">
        <v>14</v>
      </c>
      <c r="L4" s="9">
        <v>7</v>
      </c>
      <c r="M4" s="9">
        <v>18</v>
      </c>
      <c r="N4" s="9">
        <f t="shared" si="3"/>
        <v>7</v>
      </c>
      <c r="O4" s="9">
        <f t="shared" si="4"/>
        <v>4</v>
      </c>
      <c r="P4" s="9">
        <v>5</v>
      </c>
      <c r="Q4">
        <v>0</v>
      </c>
      <c r="R4">
        <v>24.705260000000003</v>
      </c>
      <c r="S4">
        <f t="shared" si="0"/>
        <v>0</v>
      </c>
      <c r="T4" s="107">
        <f t="shared" si="1"/>
        <v>24.705260000000003</v>
      </c>
      <c r="U4" s="107">
        <v>80</v>
      </c>
      <c r="V4" s="91">
        <f>IF('Bypass Summary'!$O$4=2, I4, IF('Bypass Summary'!$O$4=1, K4))</f>
        <v>14</v>
      </c>
      <c r="W4" s="91">
        <f>IF('Bypass Summary'!$O$4=2, S4, IF('Bypass Summary'!$O$4=1, N4))</f>
        <v>7</v>
      </c>
      <c r="X4" s="91">
        <f>IF('Bypass Summary'!$O$4=2, T4, IF('Bypass Summary'!$O$4=1, O4))</f>
        <v>4</v>
      </c>
      <c r="Y4" s="91">
        <f>IF('Bypass Summary'!$O$4=2, U4, IF('Bypass Summary'!$O$4=1, P4))</f>
        <v>5</v>
      </c>
      <c r="Z4" s="124">
        <v>0</v>
      </c>
    </row>
    <row r="5" spans="1:26" x14ac:dyDescent="0.25">
      <c r="A5" s="16" t="s">
        <v>13</v>
      </c>
      <c r="B5" s="2" t="s">
        <v>14</v>
      </c>
      <c r="C5" s="42">
        <v>231</v>
      </c>
      <c r="D5" s="42" t="s">
        <v>260</v>
      </c>
      <c r="E5" s="94">
        <v>1.7999999999999999E-2</v>
      </c>
      <c r="F5" s="94">
        <v>0.159</v>
      </c>
      <c r="G5" s="42">
        <v>50</v>
      </c>
      <c r="H5" s="42" t="s">
        <v>805</v>
      </c>
      <c r="I5">
        <v>30</v>
      </c>
      <c r="J5" s="9" t="str">
        <f t="shared" si="2"/>
        <v>R1H</v>
      </c>
      <c r="K5" s="106">
        <v>9</v>
      </c>
      <c r="L5" s="9">
        <v>5</v>
      </c>
      <c r="M5" s="9">
        <v>12</v>
      </c>
      <c r="N5" s="9">
        <f t="shared" si="3"/>
        <v>4</v>
      </c>
      <c r="O5" s="9">
        <f t="shared" si="4"/>
        <v>3</v>
      </c>
      <c r="P5" s="9">
        <v>5</v>
      </c>
      <c r="Q5">
        <v>17.86178</v>
      </c>
      <c r="R5">
        <v>44.608229999999999</v>
      </c>
      <c r="S5">
        <f t="shared" si="0"/>
        <v>12.13822</v>
      </c>
      <c r="T5" s="107">
        <f t="shared" si="1"/>
        <v>14.608229999999999</v>
      </c>
      <c r="U5" s="107">
        <v>80</v>
      </c>
      <c r="V5" s="91">
        <f>IF('Bypass Summary'!$O$4=2, I5, IF('Bypass Summary'!$O$4=1, K5))</f>
        <v>9</v>
      </c>
      <c r="W5" s="91">
        <f>IF('Bypass Summary'!$O$4=2, S5, IF('Bypass Summary'!$O$4=1, N5))</f>
        <v>4</v>
      </c>
      <c r="X5" s="91">
        <f>IF('Bypass Summary'!$O$4=2, T5, IF('Bypass Summary'!$O$4=1, O5))</f>
        <v>3</v>
      </c>
      <c r="Y5" s="91">
        <f>IF('Bypass Summary'!$O$4=2, U5, IF('Bypass Summary'!$O$4=1, P5))</f>
        <v>5</v>
      </c>
      <c r="Z5" s="124">
        <v>0.3</v>
      </c>
    </row>
    <row r="6" spans="1:26" x14ac:dyDescent="0.25">
      <c r="A6" s="16" t="s">
        <v>37</v>
      </c>
      <c r="B6" s="2" t="s">
        <v>38</v>
      </c>
      <c r="C6" s="42">
        <v>43</v>
      </c>
      <c r="D6" s="42" t="s">
        <v>265</v>
      </c>
      <c r="E6" s="94">
        <v>6.5000000000000002E-2</v>
      </c>
      <c r="F6" s="94">
        <v>5.3999999999999999E-2</v>
      </c>
      <c r="G6" s="42">
        <v>5</v>
      </c>
      <c r="H6" s="42" t="s">
        <v>399</v>
      </c>
      <c r="I6" t="s">
        <v>384</v>
      </c>
      <c r="J6" s="9" t="str">
        <f t="shared" si="2"/>
        <v>RDD</v>
      </c>
      <c r="K6" s="9" t="s">
        <v>399</v>
      </c>
      <c r="L6" s="9" t="s">
        <v>399</v>
      </c>
      <c r="M6" s="9" t="s">
        <v>399</v>
      </c>
      <c r="N6" s="9" t="s">
        <v>399</v>
      </c>
      <c r="O6" s="9" t="s">
        <v>399</v>
      </c>
      <c r="P6" s="9">
        <v>5</v>
      </c>
      <c r="Q6" t="e">
        <v>#VALUE!</v>
      </c>
      <c r="R6" t="e">
        <v>#VALUE!</v>
      </c>
      <c r="S6" t="e">
        <f t="shared" si="0"/>
        <v>#VALUE!</v>
      </c>
      <c r="T6" s="107" t="e">
        <f t="shared" si="1"/>
        <v>#VALUE!</v>
      </c>
      <c r="U6" s="107">
        <v>80</v>
      </c>
      <c r="V6" s="91" t="str">
        <f>IF('Bypass Summary'!$O$4=2, I6, IF('Bypass Summary'!$O$4=1, K6))</f>
        <v>xx</v>
      </c>
      <c r="W6" s="91" t="str">
        <f>IF('Bypass Summary'!$O$4=2, S6, IF('Bypass Summary'!$O$4=1, N6))</f>
        <v>xx</v>
      </c>
      <c r="X6" s="91" t="str">
        <f>IF('Bypass Summary'!$O$4=2, T6, IF('Bypass Summary'!$O$4=1, O6))</f>
        <v>xx</v>
      </c>
      <c r="Y6" s="91">
        <f>IF('Bypass Summary'!$O$4=2, U6, IF('Bypass Summary'!$O$4=1, P6))</f>
        <v>5</v>
      </c>
      <c r="Z6" t="s">
        <v>399</v>
      </c>
    </row>
    <row r="7" spans="1:26" x14ac:dyDescent="0.25">
      <c r="A7" s="16" t="s">
        <v>33</v>
      </c>
      <c r="B7" s="2" t="s">
        <v>34</v>
      </c>
      <c r="C7" s="42">
        <v>173</v>
      </c>
      <c r="D7" s="42" t="s">
        <v>280</v>
      </c>
      <c r="E7" s="94">
        <v>3.1E-2</v>
      </c>
      <c r="F7" s="94">
        <v>0.106</v>
      </c>
      <c r="G7" s="42">
        <v>31</v>
      </c>
      <c r="H7" s="42" t="s">
        <v>368</v>
      </c>
      <c r="I7">
        <v>45</v>
      </c>
      <c r="J7" s="9" t="str">
        <f t="shared" si="2"/>
        <v>RC1</v>
      </c>
      <c r="K7" s="106">
        <v>6</v>
      </c>
      <c r="L7" s="9">
        <v>3</v>
      </c>
      <c r="M7" s="9">
        <v>9</v>
      </c>
      <c r="N7" s="9">
        <f t="shared" si="3"/>
        <v>3</v>
      </c>
      <c r="O7" s="9">
        <f t="shared" si="4"/>
        <v>3</v>
      </c>
      <c r="P7" s="9">
        <v>5</v>
      </c>
      <c r="Q7">
        <v>27.316499999999998</v>
      </c>
      <c r="R7">
        <v>63.965769999999999</v>
      </c>
      <c r="S7">
        <f t="shared" si="0"/>
        <v>17.683500000000002</v>
      </c>
      <c r="T7" s="107">
        <f t="shared" si="1"/>
        <v>18.965769999999999</v>
      </c>
      <c r="U7" s="107">
        <v>80</v>
      </c>
      <c r="V7" s="91">
        <f>IF('Bypass Summary'!$O$4=2, I7, IF('Bypass Summary'!$O$4=1, K7))</f>
        <v>6</v>
      </c>
      <c r="W7" s="91">
        <f>IF('Bypass Summary'!$O$4=2, S7, IF('Bypass Summary'!$O$4=1, N7))</f>
        <v>3</v>
      </c>
      <c r="X7" s="91">
        <f>IF('Bypass Summary'!$O$4=2, T7, IF('Bypass Summary'!$O$4=1, O7))</f>
        <v>3</v>
      </c>
      <c r="Y7" s="91">
        <f>IF('Bypass Summary'!$O$4=2, U7, IF('Bypass Summary'!$O$4=1, P7))</f>
        <v>5</v>
      </c>
      <c r="Z7" s="124">
        <v>0.45</v>
      </c>
    </row>
    <row r="8" spans="1:26" x14ac:dyDescent="0.25">
      <c r="A8" s="16" t="s">
        <v>180</v>
      </c>
      <c r="B8" s="2" t="s">
        <v>181</v>
      </c>
      <c r="C8" s="42">
        <v>473</v>
      </c>
      <c r="D8" s="42" t="s">
        <v>274</v>
      </c>
      <c r="E8" s="94">
        <v>2.7E-2</v>
      </c>
      <c r="F8" s="94">
        <v>8.4000000000000005E-2</v>
      </c>
      <c r="G8" s="42">
        <v>109</v>
      </c>
      <c r="H8" s="42" t="s">
        <v>248</v>
      </c>
      <c r="I8">
        <v>59</v>
      </c>
      <c r="J8" s="9" t="str">
        <f t="shared" si="2"/>
        <v>ZT001</v>
      </c>
      <c r="K8" s="106">
        <v>4</v>
      </c>
      <c r="L8" s="9">
        <v>2</v>
      </c>
      <c r="M8" s="9">
        <v>7</v>
      </c>
      <c r="N8" s="9">
        <f t="shared" si="3"/>
        <v>2</v>
      </c>
      <c r="O8" s="9">
        <f t="shared" si="4"/>
        <v>3</v>
      </c>
      <c r="P8" s="9">
        <v>5</v>
      </c>
      <c r="Q8">
        <v>48.883369999999999</v>
      </c>
      <c r="R8">
        <v>68.062010000000001</v>
      </c>
      <c r="S8">
        <f t="shared" si="0"/>
        <v>10.116630000000001</v>
      </c>
      <c r="T8" s="107">
        <f t="shared" si="1"/>
        <v>9.0620100000000008</v>
      </c>
      <c r="U8" s="107">
        <v>80</v>
      </c>
      <c r="V8" s="91">
        <f>IF('Bypass Summary'!$O$4=2, I8, IF('Bypass Summary'!$O$4=1, K8))</f>
        <v>4</v>
      </c>
      <c r="W8" s="91">
        <f>IF('Bypass Summary'!$O$4=2, S8, IF('Bypass Summary'!$O$4=1, N8))</f>
        <v>2</v>
      </c>
      <c r="X8" s="91">
        <f>IF('Bypass Summary'!$O$4=2, T8, IF('Bypass Summary'!$O$4=1, O8))</f>
        <v>3</v>
      </c>
      <c r="Y8" s="91">
        <f>IF('Bypass Summary'!$O$4=2, U8, IF('Bypass Summary'!$O$4=1, P8))</f>
        <v>5</v>
      </c>
      <c r="Z8" s="124">
        <v>0.59</v>
      </c>
    </row>
    <row r="9" spans="1:26" x14ac:dyDescent="0.25">
      <c r="A9" s="16" t="s">
        <v>0</v>
      </c>
      <c r="B9" s="2" t="s">
        <v>1</v>
      </c>
      <c r="C9" s="42">
        <v>111</v>
      </c>
      <c r="D9" s="42" t="s">
        <v>806</v>
      </c>
      <c r="E9" s="94">
        <v>2.3E-2</v>
      </c>
      <c r="F9" s="94">
        <v>9.2999999999999999E-2</v>
      </c>
      <c r="G9" s="42">
        <v>36</v>
      </c>
      <c r="H9" s="42" t="s">
        <v>833</v>
      </c>
      <c r="I9">
        <v>25</v>
      </c>
      <c r="J9" s="9" t="str">
        <f t="shared" si="2"/>
        <v>7A1</v>
      </c>
      <c r="K9" s="106">
        <v>9</v>
      </c>
      <c r="L9" s="9">
        <v>6</v>
      </c>
      <c r="M9" s="9">
        <v>15</v>
      </c>
      <c r="N9" s="9">
        <f t="shared" si="3"/>
        <v>3</v>
      </c>
      <c r="O9" s="9">
        <f t="shared" si="4"/>
        <v>6</v>
      </c>
      <c r="P9" s="9">
        <v>5</v>
      </c>
      <c r="Q9">
        <v>12.120329999999999</v>
      </c>
      <c r="R9">
        <v>42.202959999999997</v>
      </c>
      <c r="S9">
        <f t="shared" si="0"/>
        <v>12.879670000000001</v>
      </c>
      <c r="T9" s="107">
        <f t="shared" si="1"/>
        <v>17.202959999999997</v>
      </c>
      <c r="U9" s="107">
        <v>80</v>
      </c>
      <c r="V9" s="91">
        <f>IF('Bypass Summary'!$O$4=2, I9, IF('Bypass Summary'!$O$4=1, K9))</f>
        <v>9</v>
      </c>
      <c r="W9" s="91">
        <f>IF('Bypass Summary'!$O$4=2, S9, IF('Bypass Summary'!$O$4=1, N9))</f>
        <v>3</v>
      </c>
      <c r="X9" s="91">
        <f>IF('Bypass Summary'!$O$4=2, T9, IF('Bypass Summary'!$O$4=1, O9))</f>
        <v>6</v>
      </c>
      <c r="Y9" s="91">
        <f>IF('Bypass Summary'!$O$4=2, U9, IF('Bypass Summary'!$O$4=1, P9))</f>
        <v>5</v>
      </c>
      <c r="Z9" s="124">
        <v>0.25</v>
      </c>
    </row>
    <row r="10" spans="1:26" x14ac:dyDescent="0.25">
      <c r="A10" s="16" t="s">
        <v>19</v>
      </c>
      <c r="B10" s="2" t="s">
        <v>20</v>
      </c>
      <c r="C10" s="42">
        <v>242</v>
      </c>
      <c r="D10" s="42" t="s">
        <v>278</v>
      </c>
      <c r="E10" s="94">
        <v>2.5999999999999999E-2</v>
      </c>
      <c r="F10" s="94">
        <v>5.1999999999999998E-2</v>
      </c>
      <c r="G10" s="42">
        <v>59</v>
      </c>
      <c r="H10" s="42" t="s">
        <v>228</v>
      </c>
      <c r="I10">
        <v>34</v>
      </c>
      <c r="J10" s="9" t="str">
        <f t="shared" si="2"/>
        <v>RAE</v>
      </c>
      <c r="K10" s="106">
        <v>7</v>
      </c>
      <c r="L10" s="9">
        <v>4</v>
      </c>
      <c r="M10" s="9">
        <v>13</v>
      </c>
      <c r="N10" s="9">
        <f t="shared" si="3"/>
        <v>3</v>
      </c>
      <c r="O10" s="9">
        <f t="shared" si="4"/>
        <v>6</v>
      </c>
      <c r="P10" s="9">
        <v>5</v>
      </c>
      <c r="Q10">
        <v>22.08117</v>
      </c>
      <c r="R10">
        <v>47.392910000000001</v>
      </c>
      <c r="S10">
        <f t="shared" si="0"/>
        <v>11.91883</v>
      </c>
      <c r="T10" s="107">
        <f t="shared" si="1"/>
        <v>13.392910000000001</v>
      </c>
      <c r="U10" s="107">
        <v>80</v>
      </c>
      <c r="V10" s="91">
        <f>IF('Bypass Summary'!$O$4=2, I10, IF('Bypass Summary'!$O$4=1, K10))</f>
        <v>7</v>
      </c>
      <c r="W10" s="91">
        <f>IF('Bypass Summary'!$O$4=2, S10, IF('Bypass Summary'!$O$4=1, N10))</f>
        <v>3</v>
      </c>
      <c r="X10" s="91">
        <f>IF('Bypass Summary'!$O$4=2, T10, IF('Bypass Summary'!$O$4=1, O10))</f>
        <v>6</v>
      </c>
      <c r="Y10" s="91">
        <f>IF('Bypass Summary'!$O$4=2, U10, IF('Bypass Summary'!$O$4=1, P10))</f>
        <v>5</v>
      </c>
      <c r="Z10" s="124">
        <v>0.34</v>
      </c>
    </row>
    <row r="11" spans="1:26" x14ac:dyDescent="0.25">
      <c r="A11" s="16" t="s">
        <v>148</v>
      </c>
      <c r="B11" s="2" t="s">
        <v>149</v>
      </c>
      <c r="C11" s="42">
        <v>265</v>
      </c>
      <c r="D11" s="42" t="s">
        <v>317</v>
      </c>
      <c r="E11" s="94">
        <v>0.01</v>
      </c>
      <c r="F11" s="94">
        <v>8.7999999999999995E-2</v>
      </c>
      <c r="G11" s="42">
        <v>122</v>
      </c>
      <c r="H11" s="42" t="s">
        <v>807</v>
      </c>
      <c r="I11">
        <v>49</v>
      </c>
      <c r="J11" s="9" t="str">
        <f t="shared" si="2"/>
        <v>RXH</v>
      </c>
      <c r="K11" s="106">
        <v>6</v>
      </c>
      <c r="L11" s="9">
        <v>2</v>
      </c>
      <c r="M11" s="9">
        <v>9</v>
      </c>
      <c r="N11" s="9">
        <f t="shared" si="3"/>
        <v>4</v>
      </c>
      <c r="O11" s="9">
        <f t="shared" si="4"/>
        <v>3</v>
      </c>
      <c r="P11" s="9">
        <v>5</v>
      </c>
      <c r="Q11">
        <v>40.016730000000003</v>
      </c>
      <c r="R11">
        <v>58.384639999999997</v>
      </c>
      <c r="S11">
        <f t="shared" si="0"/>
        <v>8.9832699999999974</v>
      </c>
      <c r="T11" s="107">
        <f t="shared" si="1"/>
        <v>9.3846399999999974</v>
      </c>
      <c r="U11" s="107">
        <v>80</v>
      </c>
      <c r="V11" s="91">
        <f>IF('Bypass Summary'!$O$4=2, I11, IF('Bypass Summary'!$O$4=1, K11))</f>
        <v>6</v>
      </c>
      <c r="W11" s="91">
        <f>IF('Bypass Summary'!$O$4=2, S11, IF('Bypass Summary'!$O$4=1, N11))</f>
        <v>4</v>
      </c>
      <c r="X11" s="91">
        <f>IF('Bypass Summary'!$O$4=2, T11, IF('Bypass Summary'!$O$4=1, O11))</f>
        <v>3</v>
      </c>
      <c r="Y11" s="91">
        <f>IF('Bypass Summary'!$O$4=2, U11, IF('Bypass Summary'!$O$4=1, P11))</f>
        <v>5</v>
      </c>
      <c r="Z11" s="124">
        <v>0.49</v>
      </c>
    </row>
    <row r="12" spans="1:26" x14ac:dyDescent="0.25">
      <c r="A12" s="16" t="s">
        <v>142</v>
      </c>
      <c r="B12" s="2" t="s">
        <v>143</v>
      </c>
      <c r="C12" s="42">
        <v>139</v>
      </c>
      <c r="D12" s="42" t="s">
        <v>274</v>
      </c>
      <c r="E12" s="94">
        <v>1.9E-2</v>
      </c>
      <c r="F12" s="94">
        <v>3.9E-2</v>
      </c>
      <c r="G12" s="42">
        <v>27</v>
      </c>
      <c r="H12" s="42" t="s">
        <v>808</v>
      </c>
      <c r="I12">
        <v>41</v>
      </c>
      <c r="J12" s="9" t="str">
        <f t="shared" si="2"/>
        <v>RWY</v>
      </c>
      <c r="K12" s="106">
        <v>7</v>
      </c>
      <c r="L12" s="9">
        <v>0</v>
      </c>
      <c r="M12" s="9">
        <v>12</v>
      </c>
      <c r="N12" s="9">
        <f t="shared" si="3"/>
        <v>7</v>
      </c>
      <c r="O12" s="9">
        <f t="shared" si="4"/>
        <v>5</v>
      </c>
      <c r="P12" s="9">
        <v>5</v>
      </c>
      <c r="Q12">
        <v>22.38973</v>
      </c>
      <c r="R12">
        <v>61.201609999999995</v>
      </c>
      <c r="S12">
        <f t="shared" si="0"/>
        <v>18.61027</v>
      </c>
      <c r="T12" s="107">
        <f t="shared" si="1"/>
        <v>20.201609999999995</v>
      </c>
      <c r="U12" s="107">
        <v>80</v>
      </c>
      <c r="V12" s="91">
        <f>IF('Bypass Summary'!$O$4=2, I12, IF('Bypass Summary'!$O$4=1, K12))</f>
        <v>7</v>
      </c>
      <c r="W12" s="91">
        <f>IF('Bypass Summary'!$O$4=2, S12, IF('Bypass Summary'!$O$4=1, N12))</f>
        <v>7</v>
      </c>
      <c r="X12" s="91">
        <f>IF('Bypass Summary'!$O$4=2, T12, IF('Bypass Summary'!$O$4=1, O12))</f>
        <v>5</v>
      </c>
      <c r="Y12" s="91">
        <f>IF('Bypass Summary'!$O$4=2, U12, IF('Bypass Summary'!$O$4=1, P12))</f>
        <v>5</v>
      </c>
      <c r="Z12" s="124">
        <v>0.41</v>
      </c>
    </row>
    <row r="13" spans="1:26" x14ac:dyDescent="0.25">
      <c r="A13" s="16" t="s">
        <v>54</v>
      </c>
      <c r="B13" s="2" t="s">
        <v>55</v>
      </c>
      <c r="C13" s="42">
        <v>369</v>
      </c>
      <c r="D13" s="42" t="s">
        <v>219</v>
      </c>
      <c r="E13" s="94">
        <v>4.0000000000000001E-3</v>
      </c>
      <c r="F13" s="94">
        <v>0.111</v>
      </c>
      <c r="G13" s="42">
        <v>58</v>
      </c>
      <c r="H13" s="42" t="s">
        <v>318</v>
      </c>
      <c r="I13">
        <v>53</v>
      </c>
      <c r="J13" s="9" t="str">
        <f t="shared" si="2"/>
        <v>RGT</v>
      </c>
      <c r="K13" s="106">
        <v>5</v>
      </c>
      <c r="L13" s="9">
        <v>2</v>
      </c>
      <c r="M13" s="9">
        <v>8</v>
      </c>
      <c r="N13" s="9">
        <f t="shared" si="3"/>
        <v>3</v>
      </c>
      <c r="O13" s="9">
        <f t="shared" si="4"/>
        <v>3</v>
      </c>
      <c r="P13" s="9">
        <v>5</v>
      </c>
      <c r="Q13">
        <v>39.872489999999999</v>
      </c>
      <c r="R13">
        <v>66.659959999999998</v>
      </c>
      <c r="S13">
        <f t="shared" si="0"/>
        <v>13.127510000000001</v>
      </c>
      <c r="T13" s="107">
        <f t="shared" si="1"/>
        <v>13.659959999999998</v>
      </c>
      <c r="U13" s="107">
        <v>80</v>
      </c>
      <c r="V13" s="91">
        <f>IF('Bypass Summary'!$O$4=2, I13, IF('Bypass Summary'!$O$4=1, K13))</f>
        <v>5</v>
      </c>
      <c r="W13" s="91">
        <f>IF('Bypass Summary'!$O$4=2, S13, IF('Bypass Summary'!$O$4=1, N13))</f>
        <v>3</v>
      </c>
      <c r="X13" s="91">
        <f>IF('Bypass Summary'!$O$4=2, T13, IF('Bypass Summary'!$O$4=1, O13))</f>
        <v>3</v>
      </c>
      <c r="Y13" s="91">
        <f>IF('Bypass Summary'!$O$4=2, U13, IF('Bypass Summary'!$O$4=1, P13))</f>
        <v>5</v>
      </c>
      <c r="Z13" s="124">
        <v>0.53</v>
      </c>
    </row>
    <row r="14" spans="1:26" x14ac:dyDescent="0.25">
      <c r="A14" s="16" t="s">
        <v>5</v>
      </c>
      <c r="B14" s="2" t="s">
        <v>6</v>
      </c>
      <c r="C14" s="42">
        <v>209</v>
      </c>
      <c r="D14" s="42" t="s">
        <v>809</v>
      </c>
      <c r="E14" s="94">
        <v>3.2000000000000001E-2</v>
      </c>
      <c r="F14" s="94">
        <v>0.17599999999999999</v>
      </c>
      <c r="G14" s="42">
        <v>17</v>
      </c>
      <c r="H14" s="42" t="s">
        <v>810</v>
      </c>
      <c r="I14">
        <v>29</v>
      </c>
      <c r="J14" s="9" t="str">
        <f t="shared" si="2"/>
        <v>7A4</v>
      </c>
      <c r="K14" s="106">
        <v>7</v>
      </c>
      <c r="L14" s="9">
        <v>4</v>
      </c>
      <c r="M14" s="9">
        <v>9</v>
      </c>
      <c r="N14" s="9">
        <f t="shared" si="3"/>
        <v>3</v>
      </c>
      <c r="O14" s="9">
        <f t="shared" si="4"/>
        <v>2</v>
      </c>
      <c r="P14" s="9">
        <v>5</v>
      </c>
      <c r="Q14">
        <v>10.313550000000001</v>
      </c>
      <c r="R14">
        <v>55.958269999999999</v>
      </c>
      <c r="S14">
        <f t="shared" si="0"/>
        <v>18.686450000000001</v>
      </c>
      <c r="T14" s="107">
        <f t="shared" si="1"/>
        <v>26.958269999999999</v>
      </c>
      <c r="U14" s="107">
        <v>80</v>
      </c>
      <c r="V14" s="91">
        <f>IF('Bypass Summary'!$O$4=2, I14, IF('Bypass Summary'!$O$4=1, K14))</f>
        <v>7</v>
      </c>
      <c r="W14" s="91">
        <f>IF('Bypass Summary'!$O$4=2, S14, IF('Bypass Summary'!$O$4=1, N14))</f>
        <v>3</v>
      </c>
      <c r="X14" s="91">
        <f>IF('Bypass Summary'!$O$4=2, T14, IF('Bypass Summary'!$O$4=1, O14))</f>
        <v>2</v>
      </c>
      <c r="Y14" s="91">
        <f>IF('Bypass Summary'!$O$4=2, U14, IF('Bypass Summary'!$O$4=1, P14))</f>
        <v>5</v>
      </c>
      <c r="Z14" s="124">
        <v>0.28999999999999998</v>
      </c>
    </row>
    <row r="15" spans="1:26" x14ac:dyDescent="0.25">
      <c r="A15" s="16" t="s">
        <v>81</v>
      </c>
      <c r="B15" s="2" t="s">
        <v>82</v>
      </c>
      <c r="C15" s="42">
        <v>114</v>
      </c>
      <c r="D15" s="42" t="s">
        <v>811</v>
      </c>
      <c r="E15" s="94">
        <v>1.7000000000000001E-2</v>
      </c>
      <c r="F15" s="94">
        <v>0.109</v>
      </c>
      <c r="G15" s="42">
        <v>21</v>
      </c>
      <c r="H15" s="42" t="s">
        <v>253</v>
      </c>
      <c r="I15">
        <v>29</v>
      </c>
      <c r="J15" s="9" t="str">
        <f t="shared" si="2"/>
        <v>RLN</v>
      </c>
      <c r="K15" s="106">
        <v>8</v>
      </c>
      <c r="L15" s="9">
        <v>5</v>
      </c>
      <c r="M15" s="9">
        <v>11</v>
      </c>
      <c r="N15" s="9">
        <f t="shared" si="3"/>
        <v>3</v>
      </c>
      <c r="O15" s="9">
        <f t="shared" si="4"/>
        <v>3</v>
      </c>
      <c r="P15" s="9">
        <v>5</v>
      </c>
      <c r="Q15">
        <v>11.280940000000001</v>
      </c>
      <c r="R15">
        <v>52.175110000000004</v>
      </c>
      <c r="S15">
        <f t="shared" si="0"/>
        <v>17.719059999999999</v>
      </c>
      <c r="T15" s="107">
        <f t="shared" si="1"/>
        <v>23.175110000000004</v>
      </c>
      <c r="U15" s="107">
        <v>80</v>
      </c>
      <c r="V15" s="91">
        <f>IF('Bypass Summary'!$O$4=2, I15, IF('Bypass Summary'!$O$4=1, K15))</f>
        <v>8</v>
      </c>
      <c r="W15" s="91">
        <f>IF('Bypass Summary'!$O$4=2, S15, IF('Bypass Summary'!$O$4=1, N15))</f>
        <v>3</v>
      </c>
      <c r="X15" s="91">
        <f>IF('Bypass Summary'!$O$4=2, T15, IF('Bypass Summary'!$O$4=1, O15))</f>
        <v>3</v>
      </c>
      <c r="Y15" s="91">
        <f>IF('Bypass Summary'!$O$4=2, U15, IF('Bypass Summary'!$O$4=1, P15))</f>
        <v>5</v>
      </c>
      <c r="Z15" s="124">
        <v>0.28999999999999998</v>
      </c>
    </row>
    <row r="16" spans="1:26" x14ac:dyDescent="0.25">
      <c r="A16" s="16" t="s">
        <v>72</v>
      </c>
      <c r="B16" s="2" t="s">
        <v>73</v>
      </c>
      <c r="C16" s="42">
        <v>388</v>
      </c>
      <c r="D16" s="42" t="s">
        <v>812</v>
      </c>
      <c r="E16" s="94">
        <v>2.5999999999999999E-2</v>
      </c>
      <c r="F16" s="94">
        <v>4.2000000000000003E-2</v>
      </c>
      <c r="G16" s="42">
        <v>121</v>
      </c>
      <c r="H16" s="42" t="s">
        <v>378</v>
      </c>
      <c r="I16">
        <v>53</v>
      </c>
      <c r="J16" s="9" t="str">
        <f t="shared" si="2"/>
        <v>RJR</v>
      </c>
      <c r="K16" s="106">
        <v>5</v>
      </c>
      <c r="L16" s="9">
        <v>2</v>
      </c>
      <c r="M16" s="9">
        <v>9</v>
      </c>
      <c r="N16" s="9">
        <f t="shared" si="3"/>
        <v>3</v>
      </c>
      <c r="O16" s="9">
        <f t="shared" si="4"/>
        <v>4</v>
      </c>
      <c r="P16" s="9">
        <v>5</v>
      </c>
      <c r="Q16">
        <v>43.610869999999998</v>
      </c>
      <c r="R16">
        <v>62.029350000000008</v>
      </c>
      <c r="S16">
        <f t="shared" si="0"/>
        <v>9.3891300000000015</v>
      </c>
      <c r="T16" s="107">
        <f t="shared" si="1"/>
        <v>9.029350000000008</v>
      </c>
      <c r="U16" s="107">
        <v>80</v>
      </c>
      <c r="V16" s="91">
        <f>IF('Bypass Summary'!$O$4=2, I16, IF('Bypass Summary'!$O$4=1, K16))</f>
        <v>5</v>
      </c>
      <c r="W16" s="91">
        <f>IF('Bypass Summary'!$O$4=2, S16, IF('Bypass Summary'!$O$4=1, N16))</f>
        <v>3</v>
      </c>
      <c r="X16" s="91">
        <f>IF('Bypass Summary'!$O$4=2, T16, IF('Bypass Summary'!$O$4=1, O16))</f>
        <v>4</v>
      </c>
      <c r="Y16" s="91">
        <f>IF('Bypass Summary'!$O$4=2, U16, IF('Bypass Summary'!$O$4=1, P16))</f>
        <v>5</v>
      </c>
      <c r="Z16" s="124">
        <v>0.53</v>
      </c>
    </row>
    <row r="17" spans="1:26" x14ac:dyDescent="0.25">
      <c r="A17" s="16" t="s">
        <v>7</v>
      </c>
      <c r="B17" s="2" t="s">
        <v>616</v>
      </c>
      <c r="C17" s="42">
        <v>82</v>
      </c>
      <c r="D17" s="42" t="s">
        <v>218</v>
      </c>
      <c r="E17" s="94">
        <v>0.01</v>
      </c>
      <c r="F17" s="94">
        <v>0.1</v>
      </c>
      <c r="G17" s="42">
        <v>26</v>
      </c>
      <c r="H17" s="42" t="s">
        <v>810</v>
      </c>
      <c r="I17">
        <v>35</v>
      </c>
      <c r="J17" s="9" t="str">
        <f t="shared" si="2"/>
        <v>7A5</v>
      </c>
      <c r="K17" s="106">
        <v>7</v>
      </c>
      <c r="L17" s="9">
        <v>4</v>
      </c>
      <c r="M17" s="9">
        <v>9</v>
      </c>
      <c r="N17" s="9">
        <f t="shared" si="3"/>
        <v>3</v>
      </c>
      <c r="O17" s="9">
        <f t="shared" si="4"/>
        <v>2</v>
      </c>
      <c r="P17" s="9">
        <v>5</v>
      </c>
      <c r="Q17">
        <v>17.214410000000001</v>
      </c>
      <c r="R17">
        <v>55.667189999999998</v>
      </c>
      <c r="S17">
        <f t="shared" si="0"/>
        <v>17.785589999999999</v>
      </c>
      <c r="T17" s="107">
        <f t="shared" si="1"/>
        <v>20.667189999999998</v>
      </c>
      <c r="U17" s="107">
        <v>80</v>
      </c>
      <c r="V17" s="91">
        <f>IF('Bypass Summary'!$O$4=2, I17, IF('Bypass Summary'!$O$4=1, K17))</f>
        <v>7</v>
      </c>
      <c r="W17" s="91">
        <f>IF('Bypass Summary'!$O$4=2, S17, IF('Bypass Summary'!$O$4=1, N17))</f>
        <v>3</v>
      </c>
      <c r="X17" s="91">
        <f>IF('Bypass Summary'!$O$4=2, T17, IF('Bypass Summary'!$O$4=1, O17))</f>
        <v>2</v>
      </c>
      <c r="Y17" s="91">
        <f>IF('Bypass Summary'!$O$4=2, U17, IF('Bypass Summary'!$O$4=1, P17))</f>
        <v>5</v>
      </c>
      <c r="Z17" s="124">
        <v>0.35</v>
      </c>
    </row>
    <row r="18" spans="1:26" x14ac:dyDescent="0.25">
      <c r="A18" s="16" t="s">
        <v>93</v>
      </c>
      <c r="B18" s="2" t="s">
        <v>617</v>
      </c>
      <c r="C18" s="42">
        <v>144</v>
      </c>
      <c r="D18" s="42" t="s">
        <v>264</v>
      </c>
      <c r="E18" s="94">
        <v>0.01</v>
      </c>
      <c r="F18" s="94">
        <v>0.129</v>
      </c>
      <c r="G18" s="42">
        <v>26</v>
      </c>
      <c r="H18" s="42" t="s">
        <v>466</v>
      </c>
      <c r="I18">
        <v>19</v>
      </c>
      <c r="J18" s="9" t="str">
        <f t="shared" si="2"/>
        <v>RP5</v>
      </c>
      <c r="K18" s="106">
        <v>9</v>
      </c>
      <c r="L18" s="9">
        <v>7</v>
      </c>
      <c r="M18" s="9">
        <v>13</v>
      </c>
      <c r="N18" s="9">
        <f t="shared" si="3"/>
        <v>2</v>
      </c>
      <c r="O18" s="9">
        <f t="shared" si="4"/>
        <v>4</v>
      </c>
      <c r="P18" s="9">
        <v>5</v>
      </c>
      <c r="Q18">
        <v>6.5548099999999998</v>
      </c>
      <c r="R18">
        <v>39.350549999999998</v>
      </c>
      <c r="S18">
        <f t="shared" si="0"/>
        <v>12.44519</v>
      </c>
      <c r="T18" s="107">
        <f t="shared" si="1"/>
        <v>20.350549999999998</v>
      </c>
      <c r="U18" s="107">
        <v>80</v>
      </c>
      <c r="V18" s="91">
        <f>IF('Bypass Summary'!$O$4=2, I18, IF('Bypass Summary'!$O$4=1, K18))</f>
        <v>9</v>
      </c>
      <c r="W18" s="91">
        <f>IF('Bypass Summary'!$O$4=2, S18, IF('Bypass Summary'!$O$4=1, N18))</f>
        <v>2</v>
      </c>
      <c r="X18" s="91">
        <f>IF('Bypass Summary'!$O$4=2, T18, IF('Bypass Summary'!$O$4=1, O18))</f>
        <v>4</v>
      </c>
      <c r="Y18" s="91">
        <f>IF('Bypass Summary'!$O$4=2, U18, IF('Bypass Summary'!$O$4=1, P18))</f>
        <v>5</v>
      </c>
      <c r="Z18" s="124">
        <v>0.19</v>
      </c>
    </row>
    <row r="19" spans="1:26" x14ac:dyDescent="0.25">
      <c r="A19" s="16" t="s">
        <v>138</v>
      </c>
      <c r="B19" s="2" t="s">
        <v>139</v>
      </c>
      <c r="C19" s="42">
        <v>71</v>
      </c>
      <c r="D19" s="42" t="s">
        <v>230</v>
      </c>
      <c r="E19" s="94">
        <v>3.9E-2</v>
      </c>
      <c r="F19" s="94">
        <v>4.4999999999999998E-2</v>
      </c>
      <c r="G19" s="42">
        <v>8</v>
      </c>
      <c r="H19" s="42" t="s">
        <v>399</v>
      </c>
      <c r="I19" t="s">
        <v>384</v>
      </c>
      <c r="J19" s="9" t="str">
        <f t="shared" si="2"/>
        <v>RWH</v>
      </c>
      <c r="K19" s="9" t="s">
        <v>399</v>
      </c>
      <c r="L19" s="9" t="s">
        <v>399</v>
      </c>
      <c r="M19" s="9" t="s">
        <v>399</v>
      </c>
      <c r="N19" s="9" t="e">
        <f t="shared" si="3"/>
        <v>#VALUE!</v>
      </c>
      <c r="O19" s="9" t="e">
        <f t="shared" si="4"/>
        <v>#VALUE!</v>
      </c>
      <c r="P19" s="9">
        <v>5</v>
      </c>
      <c r="Q19" t="e">
        <v>#VALUE!</v>
      </c>
      <c r="R19" t="e">
        <v>#VALUE!</v>
      </c>
      <c r="S19" t="e">
        <f t="shared" si="0"/>
        <v>#VALUE!</v>
      </c>
      <c r="T19" s="107" t="e">
        <f t="shared" si="1"/>
        <v>#VALUE!</v>
      </c>
      <c r="U19" s="107">
        <v>80</v>
      </c>
      <c r="V19" s="91" t="str">
        <f>IF('Bypass Summary'!$O$4=2, I19, IF('Bypass Summary'!$O$4=1, K19))</f>
        <v>xx</v>
      </c>
      <c r="W19" s="91" t="e">
        <f>IF('Bypass Summary'!$O$4=2, S19, IF('Bypass Summary'!$O$4=1, N19))</f>
        <v>#VALUE!</v>
      </c>
      <c r="X19" s="91" t="e">
        <f>IF('Bypass Summary'!$O$4=2, T19, IF('Bypass Summary'!$O$4=1, O19))</f>
        <v>#VALUE!</v>
      </c>
      <c r="Y19" s="91">
        <f>IF('Bypass Summary'!$O$4=2, U19, IF('Bypass Summary'!$O$4=1, P19))</f>
        <v>5</v>
      </c>
      <c r="Z19" t="s">
        <v>399</v>
      </c>
    </row>
    <row r="20" spans="1:26" x14ac:dyDescent="0.25">
      <c r="A20" s="16" t="s">
        <v>126</v>
      </c>
      <c r="B20" s="2" t="s">
        <v>127</v>
      </c>
      <c r="C20" s="42">
        <v>77</v>
      </c>
      <c r="D20" s="42" t="s">
        <v>277</v>
      </c>
      <c r="E20" s="94">
        <v>2.7E-2</v>
      </c>
      <c r="F20" s="94">
        <v>0.14299999999999999</v>
      </c>
      <c r="G20" s="42">
        <v>17</v>
      </c>
      <c r="H20" s="42" t="s">
        <v>813</v>
      </c>
      <c r="I20">
        <v>59</v>
      </c>
      <c r="J20" s="9" t="str">
        <f t="shared" si="2"/>
        <v>RVV</v>
      </c>
      <c r="K20" s="106">
        <v>3</v>
      </c>
      <c r="L20" s="9">
        <v>2</v>
      </c>
      <c r="M20" s="9">
        <v>13</v>
      </c>
      <c r="N20" s="9">
        <f t="shared" si="3"/>
        <v>1</v>
      </c>
      <c r="O20" s="9">
        <f t="shared" si="4"/>
        <v>10</v>
      </c>
      <c r="P20" s="9">
        <v>5</v>
      </c>
      <c r="Q20">
        <v>32.924710000000005</v>
      </c>
      <c r="R20">
        <v>81.556300000000007</v>
      </c>
      <c r="S20">
        <f t="shared" si="0"/>
        <v>26.075289999999995</v>
      </c>
      <c r="T20" s="107">
        <f t="shared" si="1"/>
        <v>22.556300000000007</v>
      </c>
      <c r="U20" s="107">
        <v>80</v>
      </c>
      <c r="V20" s="91">
        <f>IF('Bypass Summary'!$O$4=2, I20, IF('Bypass Summary'!$O$4=1, K20))</f>
        <v>3</v>
      </c>
      <c r="W20" s="91">
        <f>IF('Bypass Summary'!$O$4=2, S20, IF('Bypass Summary'!$O$4=1, N20))</f>
        <v>1</v>
      </c>
      <c r="X20" s="91">
        <f>IF('Bypass Summary'!$O$4=2, T20, IF('Bypass Summary'!$O$4=1, O20))</f>
        <v>10</v>
      </c>
      <c r="Y20" s="91">
        <f>IF('Bypass Summary'!$O$4=2, U20, IF('Bypass Summary'!$O$4=1, P20))</f>
        <v>5</v>
      </c>
      <c r="Z20" s="124">
        <v>0.59</v>
      </c>
    </row>
    <row r="21" spans="1:26" x14ac:dyDescent="0.25">
      <c r="A21" s="16" t="s">
        <v>154</v>
      </c>
      <c r="B21" s="2" t="s">
        <v>155</v>
      </c>
      <c r="C21" s="42">
        <v>322</v>
      </c>
      <c r="D21" s="42" t="s">
        <v>274</v>
      </c>
      <c r="E21" s="94">
        <v>4.1000000000000002E-2</v>
      </c>
      <c r="F21" s="94">
        <v>0.22700000000000001</v>
      </c>
      <c r="G21" s="42">
        <v>56</v>
      </c>
      <c r="H21" s="42" t="s">
        <v>248</v>
      </c>
      <c r="I21">
        <v>61</v>
      </c>
      <c r="J21" s="9" t="str">
        <f t="shared" si="2"/>
        <v>RXR</v>
      </c>
      <c r="K21" s="106">
        <v>4</v>
      </c>
      <c r="L21" s="9">
        <v>2</v>
      </c>
      <c r="M21" s="9">
        <v>7</v>
      </c>
      <c r="N21" s="9">
        <f t="shared" si="3"/>
        <v>2</v>
      </c>
      <c r="O21" s="9">
        <f t="shared" si="4"/>
        <v>3</v>
      </c>
      <c r="P21" s="9">
        <v>5</v>
      </c>
      <c r="Q21">
        <v>46.753689999999999</v>
      </c>
      <c r="R21">
        <v>73.500869999999992</v>
      </c>
      <c r="S21">
        <f t="shared" si="0"/>
        <v>14.246310000000001</v>
      </c>
      <c r="T21" s="107">
        <f t="shared" si="1"/>
        <v>12.500869999999992</v>
      </c>
      <c r="U21" s="107">
        <v>80</v>
      </c>
      <c r="V21" s="91">
        <f>IF('Bypass Summary'!$O$4=2, I21, IF('Bypass Summary'!$O$4=1, K21))</f>
        <v>4</v>
      </c>
      <c r="W21" s="91">
        <f>IF('Bypass Summary'!$O$4=2, S21, IF('Bypass Summary'!$O$4=1, N21))</f>
        <v>2</v>
      </c>
      <c r="X21" s="91">
        <f>IF('Bypass Summary'!$O$4=2, T21, IF('Bypass Summary'!$O$4=1, O21))</f>
        <v>3</v>
      </c>
      <c r="Y21" s="91">
        <f>IF('Bypass Summary'!$O$4=2, U21, IF('Bypass Summary'!$O$4=1, P21))</f>
        <v>5</v>
      </c>
      <c r="Z21" s="124">
        <v>0.61</v>
      </c>
    </row>
    <row r="22" spans="1:26" x14ac:dyDescent="0.25">
      <c r="A22" s="16" t="s">
        <v>39</v>
      </c>
      <c r="B22" s="2" t="s">
        <v>215</v>
      </c>
      <c r="C22" s="42">
        <v>326</v>
      </c>
      <c r="D22" s="42" t="s">
        <v>238</v>
      </c>
      <c r="E22" s="94">
        <v>3.4000000000000002E-2</v>
      </c>
      <c r="F22" s="94">
        <v>0.127</v>
      </c>
      <c r="G22" s="42">
        <v>32</v>
      </c>
      <c r="H22" s="42" t="s">
        <v>834</v>
      </c>
      <c r="I22">
        <v>50</v>
      </c>
      <c r="J22" s="9" t="str">
        <f t="shared" si="2"/>
        <v>RDE</v>
      </c>
      <c r="K22" s="106">
        <v>6</v>
      </c>
      <c r="L22" s="9">
        <v>2</v>
      </c>
      <c r="M22" s="9">
        <v>12</v>
      </c>
      <c r="N22" s="9">
        <f t="shared" si="3"/>
        <v>4</v>
      </c>
      <c r="O22" s="9">
        <f t="shared" si="4"/>
        <v>6</v>
      </c>
      <c r="P22" s="9">
        <v>5</v>
      </c>
      <c r="Q22">
        <v>31.887500000000003</v>
      </c>
      <c r="R22">
        <v>68.112499999999997</v>
      </c>
      <c r="S22">
        <f t="shared" si="0"/>
        <v>18.112499999999997</v>
      </c>
      <c r="T22" s="107">
        <f t="shared" si="1"/>
        <v>18.112499999999997</v>
      </c>
      <c r="U22" s="107">
        <v>80</v>
      </c>
      <c r="V22" s="91">
        <f>IF('Bypass Summary'!$O$4=2, I22, IF('Bypass Summary'!$O$4=1, K22))</f>
        <v>6</v>
      </c>
      <c r="W22" s="91">
        <f>IF('Bypass Summary'!$O$4=2, S22, IF('Bypass Summary'!$O$4=1, N22))</f>
        <v>4</v>
      </c>
      <c r="X22" s="91">
        <f>IF('Bypass Summary'!$O$4=2, T22, IF('Bypass Summary'!$O$4=1, O22))</f>
        <v>6</v>
      </c>
      <c r="Y22" s="91">
        <f>IF('Bypass Summary'!$O$4=2, U22, IF('Bypass Summary'!$O$4=1, P22))</f>
        <v>5</v>
      </c>
      <c r="Z22" s="124">
        <v>0.5</v>
      </c>
    </row>
    <row r="23" spans="1:26" x14ac:dyDescent="0.25">
      <c r="A23" s="16" t="s">
        <v>40</v>
      </c>
      <c r="B23" s="2" t="s">
        <v>41</v>
      </c>
      <c r="C23" s="42">
        <v>545</v>
      </c>
      <c r="D23" s="42" t="s">
        <v>266</v>
      </c>
      <c r="E23" s="94">
        <v>1.7999999999999999E-2</v>
      </c>
      <c r="F23" s="94">
        <v>0.13200000000000001</v>
      </c>
      <c r="G23" s="42">
        <v>112</v>
      </c>
      <c r="H23" s="42" t="s">
        <v>273</v>
      </c>
      <c r="I23">
        <v>45</v>
      </c>
      <c r="J23" s="9" t="str">
        <f t="shared" si="2"/>
        <v>RDU</v>
      </c>
      <c r="K23" s="106">
        <v>6</v>
      </c>
      <c r="L23" s="9">
        <v>3</v>
      </c>
      <c r="M23" s="9">
        <v>12</v>
      </c>
      <c r="N23" s="9">
        <f t="shared" si="3"/>
        <v>3</v>
      </c>
      <c r="O23" s="9">
        <f t="shared" si="4"/>
        <v>6</v>
      </c>
      <c r="P23" s="9">
        <v>5</v>
      </c>
      <c r="Q23">
        <v>35.244509999999998</v>
      </c>
      <c r="R23">
        <v>54.331540000000004</v>
      </c>
      <c r="S23">
        <f t="shared" si="0"/>
        <v>9.7554900000000018</v>
      </c>
      <c r="T23" s="107">
        <f t="shared" si="1"/>
        <v>9.3315400000000039</v>
      </c>
      <c r="U23" s="107">
        <v>80</v>
      </c>
      <c r="V23" s="91">
        <f>IF('Bypass Summary'!$O$4=2, I23, IF('Bypass Summary'!$O$4=1, K23))</f>
        <v>6</v>
      </c>
      <c r="W23" s="91">
        <f>IF('Bypass Summary'!$O$4=2, S23, IF('Bypass Summary'!$O$4=1, N23))</f>
        <v>3</v>
      </c>
      <c r="X23" s="91">
        <f>IF('Bypass Summary'!$O$4=2, T23, IF('Bypass Summary'!$O$4=1, O23))</f>
        <v>6</v>
      </c>
      <c r="Y23" s="91">
        <f>IF('Bypass Summary'!$O$4=2, U23, IF('Bypass Summary'!$O$4=1, P23))</f>
        <v>5</v>
      </c>
      <c r="Z23" s="124">
        <v>0.45</v>
      </c>
    </row>
    <row r="24" spans="1:26" x14ac:dyDescent="0.25">
      <c r="A24" s="16" t="s">
        <v>115</v>
      </c>
      <c r="B24" s="2" t="s">
        <v>116</v>
      </c>
      <c r="C24" s="42">
        <v>216</v>
      </c>
      <c r="D24" s="42" t="s">
        <v>372</v>
      </c>
      <c r="E24" s="94">
        <v>1.4E-2</v>
      </c>
      <c r="F24" s="94">
        <v>0.122</v>
      </c>
      <c r="G24" s="42">
        <v>60</v>
      </c>
      <c r="H24" s="42" t="s">
        <v>248</v>
      </c>
      <c r="I24">
        <v>67</v>
      </c>
      <c r="J24" s="9" t="str">
        <f t="shared" si="2"/>
        <v>RTE</v>
      </c>
      <c r="K24" s="106">
        <v>4</v>
      </c>
      <c r="L24" s="9">
        <v>2</v>
      </c>
      <c r="M24" s="9">
        <v>7</v>
      </c>
      <c r="N24" s="9">
        <f t="shared" si="3"/>
        <v>2</v>
      </c>
      <c r="O24" s="9">
        <f t="shared" si="4"/>
        <v>3</v>
      </c>
      <c r="P24" s="9">
        <v>5</v>
      </c>
      <c r="Q24">
        <v>53.312729999999995</v>
      </c>
      <c r="R24">
        <v>78.31304999999999</v>
      </c>
      <c r="S24">
        <f t="shared" si="0"/>
        <v>13.687270000000005</v>
      </c>
      <c r="T24" s="107">
        <f t="shared" si="1"/>
        <v>11.31304999999999</v>
      </c>
      <c r="U24" s="107">
        <v>80</v>
      </c>
      <c r="V24" s="91">
        <f>IF('Bypass Summary'!$O$4=2, I24, IF('Bypass Summary'!$O$4=1, K24))</f>
        <v>4</v>
      </c>
      <c r="W24" s="91">
        <f>IF('Bypass Summary'!$O$4=2, S24, IF('Bypass Summary'!$O$4=1, N24))</f>
        <v>2</v>
      </c>
      <c r="X24" s="91">
        <f>IF('Bypass Summary'!$O$4=2, T24, IF('Bypass Summary'!$O$4=1, O24))</f>
        <v>3</v>
      </c>
      <c r="Y24" s="91">
        <f>IF('Bypass Summary'!$O$4=2, U24, IF('Bypass Summary'!$O$4=1, P24))</f>
        <v>5</v>
      </c>
      <c r="Z24" s="124">
        <v>0.67</v>
      </c>
    </row>
    <row r="25" spans="1:26" x14ac:dyDescent="0.25">
      <c r="A25" s="16" t="s">
        <v>66</v>
      </c>
      <c r="B25" s="2" t="s">
        <v>67</v>
      </c>
      <c r="C25" s="42">
        <v>415</v>
      </c>
      <c r="D25" s="42" t="s">
        <v>259</v>
      </c>
      <c r="E25" s="94">
        <v>0.02</v>
      </c>
      <c r="F25" s="94">
        <v>9.8000000000000004E-2</v>
      </c>
      <c r="G25" s="42">
        <v>99</v>
      </c>
      <c r="H25" s="42" t="s">
        <v>807</v>
      </c>
      <c r="I25">
        <v>49</v>
      </c>
      <c r="J25" s="9" t="str">
        <f t="shared" si="2"/>
        <v>RJ1</v>
      </c>
      <c r="K25" s="106">
        <v>6</v>
      </c>
      <c r="L25" s="9">
        <v>2</v>
      </c>
      <c r="M25" s="9">
        <v>9</v>
      </c>
      <c r="N25" s="9">
        <f t="shared" si="3"/>
        <v>4</v>
      </c>
      <c r="O25" s="9">
        <f t="shared" si="4"/>
        <v>3</v>
      </c>
      <c r="P25" s="9">
        <v>5</v>
      </c>
      <c r="Q25">
        <v>39.290710000000004</v>
      </c>
      <c r="R25">
        <v>59.730209999999992</v>
      </c>
      <c r="S25">
        <f t="shared" si="0"/>
        <v>9.7092899999999958</v>
      </c>
      <c r="T25" s="107">
        <f t="shared" si="1"/>
        <v>10.730209999999992</v>
      </c>
      <c r="U25" s="107">
        <v>80</v>
      </c>
      <c r="V25" s="91">
        <f>IF('Bypass Summary'!$O$4=2, I25, IF('Bypass Summary'!$O$4=1, K25))</f>
        <v>6</v>
      </c>
      <c r="W25" s="91">
        <f>IF('Bypass Summary'!$O$4=2, S25, IF('Bypass Summary'!$O$4=1, N25))</f>
        <v>4</v>
      </c>
      <c r="X25" s="91">
        <f>IF('Bypass Summary'!$O$4=2, T25, IF('Bypass Summary'!$O$4=1, O25))</f>
        <v>3</v>
      </c>
      <c r="Y25" s="91">
        <f>IF('Bypass Summary'!$O$4=2, U25, IF('Bypass Summary'!$O$4=1, P25))</f>
        <v>5</v>
      </c>
      <c r="Z25" s="124">
        <v>0.49</v>
      </c>
    </row>
    <row r="26" spans="1:26" x14ac:dyDescent="0.25">
      <c r="A26" s="16" t="s">
        <v>130</v>
      </c>
      <c r="B26" s="2" t="s">
        <v>618</v>
      </c>
      <c r="C26" s="42">
        <v>394</v>
      </c>
      <c r="D26" s="42" t="s">
        <v>335</v>
      </c>
      <c r="E26" s="94">
        <v>4.1000000000000002E-2</v>
      </c>
      <c r="F26" s="94">
        <v>0.13800000000000001</v>
      </c>
      <c r="G26" s="42">
        <v>61</v>
      </c>
      <c r="H26" s="42" t="s">
        <v>267</v>
      </c>
      <c r="I26">
        <v>36</v>
      </c>
      <c r="J26" s="9" t="str">
        <f t="shared" si="2"/>
        <v>RWA</v>
      </c>
      <c r="K26" s="106">
        <v>6</v>
      </c>
      <c r="L26" s="9">
        <v>4</v>
      </c>
      <c r="M26" s="9">
        <v>11</v>
      </c>
      <c r="N26" s="9">
        <f t="shared" si="3"/>
        <v>2</v>
      </c>
      <c r="O26" s="9">
        <f t="shared" si="4"/>
        <v>5</v>
      </c>
      <c r="P26" s="9">
        <v>5</v>
      </c>
      <c r="Q26">
        <v>24.160170000000001</v>
      </c>
      <c r="R26">
        <v>49.372970000000002</v>
      </c>
      <c r="S26">
        <f t="shared" si="0"/>
        <v>11.839829999999999</v>
      </c>
      <c r="T26" s="107">
        <f t="shared" si="1"/>
        <v>13.372970000000002</v>
      </c>
      <c r="U26" s="107">
        <v>80</v>
      </c>
      <c r="V26" s="91">
        <f>IF('Bypass Summary'!$O$4=2, I26, IF('Bypass Summary'!$O$4=1, K26))</f>
        <v>6</v>
      </c>
      <c r="W26" s="91">
        <f>IF('Bypass Summary'!$O$4=2, S26, IF('Bypass Summary'!$O$4=1, N26))</f>
        <v>2</v>
      </c>
      <c r="X26" s="91">
        <f>IF('Bypass Summary'!$O$4=2, T26, IF('Bypass Summary'!$O$4=1, O26))</f>
        <v>5</v>
      </c>
      <c r="Y26" s="91">
        <f>IF('Bypass Summary'!$O$4=2, U26, IF('Bypass Summary'!$O$4=1, P26))</f>
        <v>5</v>
      </c>
      <c r="Z26" s="124">
        <v>0.36</v>
      </c>
    </row>
    <row r="27" spans="1:26" x14ac:dyDescent="0.25">
      <c r="A27" s="16" t="s">
        <v>158</v>
      </c>
      <c r="B27" s="2" t="s">
        <v>159</v>
      </c>
      <c r="C27" s="42">
        <v>241</v>
      </c>
      <c r="D27" s="42" t="s">
        <v>809</v>
      </c>
      <c r="E27" s="94">
        <v>0.03</v>
      </c>
      <c r="F27" s="94">
        <v>0.154</v>
      </c>
      <c r="G27" s="42">
        <v>61</v>
      </c>
      <c r="H27" s="42" t="s">
        <v>228</v>
      </c>
      <c r="I27">
        <v>38</v>
      </c>
      <c r="J27" s="9" t="str">
        <f t="shared" si="2"/>
        <v>RYJ</v>
      </c>
      <c r="K27" s="106">
        <v>7</v>
      </c>
      <c r="L27" s="9">
        <v>4</v>
      </c>
      <c r="M27" s="9">
        <v>13</v>
      </c>
      <c r="N27" s="9">
        <f t="shared" si="3"/>
        <v>3</v>
      </c>
      <c r="O27" s="9">
        <f t="shared" si="4"/>
        <v>6</v>
      </c>
      <c r="P27" s="9">
        <v>5</v>
      </c>
      <c r="Q27">
        <v>25.609349999999999</v>
      </c>
      <c r="R27">
        <v>51.036689999999993</v>
      </c>
      <c r="S27">
        <f t="shared" si="0"/>
        <v>12.390650000000001</v>
      </c>
      <c r="T27" s="107">
        <f t="shared" si="1"/>
        <v>13.036689999999993</v>
      </c>
      <c r="U27" s="107">
        <v>80</v>
      </c>
      <c r="V27" s="91">
        <f>IF('Bypass Summary'!$O$4=2, I27, IF('Bypass Summary'!$O$4=1, K27))</f>
        <v>7</v>
      </c>
      <c r="W27" s="91">
        <f>IF('Bypass Summary'!$O$4=2, S27, IF('Bypass Summary'!$O$4=1, N27))</f>
        <v>3</v>
      </c>
      <c r="X27" s="91">
        <f>IF('Bypass Summary'!$O$4=2, T27, IF('Bypass Summary'!$O$4=1, O27))</f>
        <v>6</v>
      </c>
      <c r="Y27" s="91">
        <f>IF('Bypass Summary'!$O$4=2, U27, IF('Bypass Summary'!$O$4=1, P27))</f>
        <v>5</v>
      </c>
      <c r="Z27" s="124">
        <v>0.38</v>
      </c>
    </row>
    <row r="28" spans="1:26" x14ac:dyDescent="0.25">
      <c r="A28" s="16" t="s">
        <v>74</v>
      </c>
      <c r="B28" s="2" t="s">
        <v>75</v>
      </c>
      <c r="C28" s="42">
        <v>290</v>
      </c>
      <c r="D28" s="42" t="s">
        <v>216</v>
      </c>
      <c r="E28" s="94">
        <v>4.4999999999999998E-2</v>
      </c>
      <c r="F28" s="94">
        <v>3.7999999999999999E-2</v>
      </c>
      <c r="G28" s="42">
        <v>44</v>
      </c>
      <c r="H28" s="42" t="s">
        <v>814</v>
      </c>
      <c r="I28">
        <v>39</v>
      </c>
      <c r="J28" s="9" t="str">
        <f t="shared" si="2"/>
        <v>RJZ</v>
      </c>
      <c r="K28" s="106">
        <v>8</v>
      </c>
      <c r="L28" s="9">
        <v>4</v>
      </c>
      <c r="M28" s="9">
        <v>14</v>
      </c>
      <c r="N28" s="9">
        <f t="shared" si="3"/>
        <v>4</v>
      </c>
      <c r="O28" s="9">
        <f t="shared" si="4"/>
        <v>6</v>
      </c>
      <c r="P28" s="9">
        <v>5</v>
      </c>
      <c r="Q28">
        <v>24.35716</v>
      </c>
      <c r="R28">
        <v>54.504470000000005</v>
      </c>
      <c r="S28">
        <f t="shared" si="0"/>
        <v>14.64284</v>
      </c>
      <c r="T28" s="107">
        <f t="shared" si="1"/>
        <v>15.504470000000005</v>
      </c>
      <c r="U28" s="107">
        <v>80</v>
      </c>
      <c r="V28" s="91">
        <f>IF('Bypass Summary'!$O$4=2, I28, IF('Bypass Summary'!$O$4=1, K28))</f>
        <v>8</v>
      </c>
      <c r="W28" s="91">
        <f>IF('Bypass Summary'!$O$4=2, S28, IF('Bypass Summary'!$O$4=1, N28))</f>
        <v>4</v>
      </c>
      <c r="X28" s="91">
        <f>IF('Bypass Summary'!$O$4=2, T28, IF('Bypass Summary'!$O$4=1, O28))</f>
        <v>6</v>
      </c>
      <c r="Y28" s="91">
        <f>IF('Bypass Summary'!$O$4=2, U28, IF('Bypass Summary'!$O$4=1, P28))</f>
        <v>5</v>
      </c>
      <c r="Z28" s="124">
        <v>0.39</v>
      </c>
    </row>
    <row r="29" spans="1:26" x14ac:dyDescent="0.25">
      <c r="A29" s="16" t="s">
        <v>150</v>
      </c>
      <c r="B29" s="2" t="s">
        <v>151</v>
      </c>
      <c r="C29" s="42">
        <v>337</v>
      </c>
      <c r="D29" s="42" t="s">
        <v>223</v>
      </c>
      <c r="E29" s="94">
        <v>1.4999999999999999E-2</v>
      </c>
      <c r="F29" s="94">
        <v>0.08</v>
      </c>
      <c r="G29" s="42">
        <v>101</v>
      </c>
      <c r="H29" s="42" t="s">
        <v>310</v>
      </c>
      <c r="I29">
        <v>56</v>
      </c>
      <c r="J29" s="9" t="str">
        <f t="shared" si="2"/>
        <v>RXN</v>
      </c>
      <c r="K29" s="106">
        <v>5</v>
      </c>
      <c r="L29" s="9">
        <v>2</v>
      </c>
      <c r="M29" s="9">
        <v>7</v>
      </c>
      <c r="N29" s="9">
        <f t="shared" si="3"/>
        <v>3</v>
      </c>
      <c r="O29" s="9">
        <f t="shared" si="4"/>
        <v>2</v>
      </c>
      <c r="P29" s="9">
        <v>5</v>
      </c>
      <c r="Q29">
        <v>46.204729999999998</v>
      </c>
      <c r="R29">
        <v>66.279110000000003</v>
      </c>
      <c r="S29">
        <f t="shared" si="0"/>
        <v>9.7952700000000021</v>
      </c>
      <c r="T29" s="107">
        <f t="shared" si="1"/>
        <v>10.279110000000003</v>
      </c>
      <c r="U29" s="107">
        <v>80</v>
      </c>
      <c r="V29" s="91">
        <f>IF('Bypass Summary'!$O$4=2, I29, IF('Bypass Summary'!$O$4=1, K29))</f>
        <v>5</v>
      </c>
      <c r="W29" s="91">
        <f>IF('Bypass Summary'!$O$4=2, S29, IF('Bypass Summary'!$O$4=1, N29))</f>
        <v>3</v>
      </c>
      <c r="X29" s="91">
        <f>IF('Bypass Summary'!$O$4=2, T29, IF('Bypass Summary'!$O$4=1, O29))</f>
        <v>2</v>
      </c>
      <c r="Y29" s="91">
        <f>IF('Bypass Summary'!$O$4=2, U29, IF('Bypass Summary'!$O$4=1, P29))</f>
        <v>5</v>
      </c>
      <c r="Z29" s="124">
        <v>0.56000000000000005</v>
      </c>
    </row>
    <row r="30" spans="1:26" x14ac:dyDescent="0.25">
      <c r="A30" s="16" t="s">
        <v>105</v>
      </c>
      <c r="B30" s="2" t="s">
        <v>106</v>
      </c>
      <c r="C30" s="42">
        <v>335</v>
      </c>
      <c r="D30" s="42" t="s">
        <v>815</v>
      </c>
      <c r="E30" s="94">
        <v>3.3000000000000002E-2</v>
      </c>
      <c r="F30" s="94">
        <v>0.182</v>
      </c>
      <c r="G30" s="42">
        <v>99</v>
      </c>
      <c r="H30" s="42" t="s">
        <v>258</v>
      </c>
      <c r="I30">
        <v>34</v>
      </c>
      <c r="J30" s="9" t="str">
        <f t="shared" si="2"/>
        <v>RR8</v>
      </c>
      <c r="K30" s="106">
        <v>7</v>
      </c>
      <c r="L30" s="9">
        <v>4</v>
      </c>
      <c r="M30" s="9">
        <v>12</v>
      </c>
      <c r="N30" s="9">
        <f t="shared" si="3"/>
        <v>3</v>
      </c>
      <c r="O30" s="9">
        <f t="shared" si="4"/>
        <v>5</v>
      </c>
      <c r="P30" s="9">
        <v>5</v>
      </c>
      <c r="Q30">
        <v>25.088189999999997</v>
      </c>
      <c r="R30">
        <v>44.563069999999996</v>
      </c>
      <c r="S30">
        <f t="shared" si="0"/>
        <v>8.9118100000000027</v>
      </c>
      <c r="T30" s="107">
        <f t="shared" si="1"/>
        <v>10.563069999999996</v>
      </c>
      <c r="U30" s="107">
        <v>80</v>
      </c>
      <c r="V30" s="91">
        <f>IF('Bypass Summary'!$O$4=2, I30, IF('Bypass Summary'!$O$4=1, K30))</f>
        <v>7</v>
      </c>
      <c r="W30" s="91">
        <f>IF('Bypass Summary'!$O$4=2, S30, IF('Bypass Summary'!$O$4=1, N30))</f>
        <v>3</v>
      </c>
      <c r="X30" s="91">
        <f>IF('Bypass Summary'!$O$4=2, T30, IF('Bypass Summary'!$O$4=1, O30))</f>
        <v>5</v>
      </c>
      <c r="Y30" s="91">
        <f>IF('Bypass Summary'!$O$4=2, U30, IF('Bypass Summary'!$O$4=1, P30))</f>
        <v>5</v>
      </c>
      <c r="Z30" s="124">
        <v>0.34</v>
      </c>
    </row>
    <row r="31" spans="1:26" x14ac:dyDescent="0.25">
      <c r="A31" s="16" t="s">
        <v>46</v>
      </c>
      <c r="B31" s="2" t="s">
        <v>619</v>
      </c>
      <c r="C31" s="42">
        <v>460</v>
      </c>
      <c r="D31" s="42" t="s">
        <v>268</v>
      </c>
      <c r="E31" s="94">
        <v>2.9000000000000001E-2</v>
      </c>
      <c r="F31" s="94">
        <v>7.8E-2</v>
      </c>
      <c r="G31" s="42">
        <v>119</v>
      </c>
      <c r="H31" s="42" t="s">
        <v>361</v>
      </c>
      <c r="I31">
        <v>29</v>
      </c>
      <c r="J31" s="9" t="str">
        <f t="shared" si="2"/>
        <v>REM</v>
      </c>
      <c r="K31" s="106">
        <v>7</v>
      </c>
      <c r="L31" s="9">
        <v>5</v>
      </c>
      <c r="M31" s="9">
        <v>10</v>
      </c>
      <c r="N31" s="9">
        <f t="shared" si="3"/>
        <v>2</v>
      </c>
      <c r="O31" s="9">
        <f t="shared" si="4"/>
        <v>3</v>
      </c>
      <c r="P31" s="9">
        <v>5</v>
      </c>
      <c r="Q31">
        <v>21.416119999999999</v>
      </c>
      <c r="R31">
        <v>38.461820000000003</v>
      </c>
      <c r="S31">
        <f t="shared" si="0"/>
        <v>7.5838800000000006</v>
      </c>
      <c r="T31" s="107">
        <f t="shared" si="1"/>
        <v>9.461820000000003</v>
      </c>
      <c r="U31" s="107">
        <v>80</v>
      </c>
      <c r="V31" s="91">
        <f>IF('Bypass Summary'!$O$4=2, I31, IF('Bypass Summary'!$O$4=1, K31))</f>
        <v>7</v>
      </c>
      <c r="W31" s="91">
        <f>IF('Bypass Summary'!$O$4=2, S31, IF('Bypass Summary'!$O$4=1, N31))</f>
        <v>2</v>
      </c>
      <c r="X31" s="91">
        <f>IF('Bypass Summary'!$O$4=2, T31, IF('Bypass Summary'!$O$4=1, O31))</f>
        <v>3</v>
      </c>
      <c r="Y31" s="91">
        <f>IF('Bypass Summary'!$O$4=2, U31, IF('Bypass Summary'!$O$4=1, P31))</f>
        <v>5</v>
      </c>
      <c r="Z31" s="124">
        <v>0.28999999999999998</v>
      </c>
    </row>
    <row r="32" spans="1:26" x14ac:dyDescent="0.25">
      <c r="A32" s="16" t="s">
        <v>15</v>
      </c>
      <c r="B32" s="2" t="s">
        <v>620</v>
      </c>
      <c r="C32" s="42">
        <v>132</v>
      </c>
      <c r="D32" s="42" t="s">
        <v>816</v>
      </c>
      <c r="E32" s="94">
        <v>2.5999999999999999E-2</v>
      </c>
      <c r="F32" s="94">
        <v>0.106</v>
      </c>
      <c r="G32" s="42">
        <v>36</v>
      </c>
      <c r="H32" s="42" t="s">
        <v>282</v>
      </c>
      <c r="I32">
        <v>58</v>
      </c>
      <c r="J32" s="9" t="str">
        <f t="shared" si="2"/>
        <v>R1K</v>
      </c>
      <c r="K32" s="106">
        <v>4</v>
      </c>
      <c r="L32" s="9">
        <v>2</v>
      </c>
      <c r="M32" s="9">
        <v>9</v>
      </c>
      <c r="N32" s="9">
        <f t="shared" si="3"/>
        <v>2</v>
      </c>
      <c r="O32" s="9">
        <f t="shared" si="4"/>
        <v>5</v>
      </c>
      <c r="P32" s="9">
        <v>5</v>
      </c>
      <c r="Q32">
        <v>40.756520000000002</v>
      </c>
      <c r="R32">
        <v>74.485900000000001</v>
      </c>
      <c r="S32">
        <f t="shared" si="0"/>
        <v>17.243479999999998</v>
      </c>
      <c r="T32" s="107">
        <f t="shared" si="1"/>
        <v>16.485900000000001</v>
      </c>
      <c r="U32" s="107">
        <v>80</v>
      </c>
      <c r="V32" s="91">
        <f>IF('Bypass Summary'!$O$4=2, I32, IF('Bypass Summary'!$O$4=1, K32))</f>
        <v>4</v>
      </c>
      <c r="W32" s="91">
        <f>IF('Bypass Summary'!$O$4=2, S32, IF('Bypass Summary'!$O$4=1, N32))</f>
        <v>2</v>
      </c>
      <c r="X32" s="91">
        <f>IF('Bypass Summary'!$O$4=2, T32, IF('Bypass Summary'!$O$4=1, O32))</f>
        <v>5</v>
      </c>
      <c r="Y32" s="91">
        <f>IF('Bypass Summary'!$O$4=2, U32, IF('Bypass Summary'!$O$4=1, P32))</f>
        <v>5</v>
      </c>
      <c r="Z32" s="124">
        <v>0.57999999999999996</v>
      </c>
    </row>
    <row r="33" spans="1:26" x14ac:dyDescent="0.25">
      <c r="A33" s="16" t="s">
        <v>11</v>
      </c>
      <c r="B33" s="2" t="s">
        <v>12</v>
      </c>
      <c r="C33" s="42">
        <v>200</v>
      </c>
      <c r="D33" s="42" t="s">
        <v>281</v>
      </c>
      <c r="E33" s="94">
        <v>2.3E-2</v>
      </c>
      <c r="F33" s="94">
        <v>4.2999999999999997E-2</v>
      </c>
      <c r="G33" s="42">
        <v>73</v>
      </c>
      <c r="H33" s="42" t="s">
        <v>228</v>
      </c>
      <c r="I33">
        <v>34</v>
      </c>
      <c r="J33" s="9" t="str">
        <f t="shared" si="2"/>
        <v>R0A</v>
      </c>
      <c r="K33" s="106">
        <v>7</v>
      </c>
      <c r="L33" s="9">
        <v>4</v>
      </c>
      <c r="M33" s="9">
        <v>13</v>
      </c>
      <c r="N33" s="9">
        <f t="shared" si="3"/>
        <v>3</v>
      </c>
      <c r="O33" s="9">
        <f t="shared" si="4"/>
        <v>6</v>
      </c>
      <c r="P33" s="9">
        <v>5</v>
      </c>
      <c r="Q33">
        <v>23.531930000000003</v>
      </c>
      <c r="R33">
        <v>46.283479999999997</v>
      </c>
      <c r="S33">
        <f t="shared" si="0"/>
        <v>10.468069999999997</v>
      </c>
      <c r="T33" s="107">
        <f t="shared" si="1"/>
        <v>12.283479999999997</v>
      </c>
      <c r="U33" s="107">
        <v>80</v>
      </c>
      <c r="V33" s="91">
        <f>IF('Bypass Summary'!$O$4=2, I33, IF('Bypass Summary'!$O$4=1, K33))</f>
        <v>7</v>
      </c>
      <c r="W33" s="91">
        <f>IF('Bypass Summary'!$O$4=2, S33, IF('Bypass Summary'!$O$4=1, N33))</f>
        <v>3</v>
      </c>
      <c r="X33" s="91">
        <f>IF('Bypass Summary'!$O$4=2, T33, IF('Bypass Summary'!$O$4=1, O33))</f>
        <v>6</v>
      </c>
      <c r="Y33" s="91">
        <f>IF('Bypass Summary'!$O$4=2, U33, IF('Bypass Summary'!$O$4=1, P33))</f>
        <v>5</v>
      </c>
      <c r="Z33" s="124">
        <v>0.34</v>
      </c>
    </row>
    <row r="34" spans="1:26" x14ac:dyDescent="0.25">
      <c r="A34" s="16" t="s">
        <v>95</v>
      </c>
      <c r="B34" s="2" t="s">
        <v>96</v>
      </c>
      <c r="C34" s="42">
        <v>130</v>
      </c>
      <c r="D34" s="42" t="s">
        <v>228</v>
      </c>
      <c r="E34" s="94">
        <v>3.7999999999999999E-2</v>
      </c>
      <c r="F34" s="94">
        <v>0.10100000000000001</v>
      </c>
      <c r="G34" s="42">
        <v>31</v>
      </c>
      <c r="H34" s="42" t="s">
        <v>248</v>
      </c>
      <c r="I34">
        <v>71</v>
      </c>
      <c r="J34" s="9" t="str">
        <f t="shared" si="2"/>
        <v>RPA</v>
      </c>
      <c r="K34" s="106">
        <v>4</v>
      </c>
      <c r="L34" s="9">
        <v>2</v>
      </c>
      <c r="M34" s="9">
        <v>7</v>
      </c>
      <c r="N34" s="9">
        <f t="shared" si="3"/>
        <v>2</v>
      </c>
      <c r="O34" s="9">
        <f t="shared" si="4"/>
        <v>3</v>
      </c>
      <c r="P34" s="9">
        <v>5</v>
      </c>
      <c r="Q34">
        <v>51.963930000000005</v>
      </c>
      <c r="R34">
        <v>85.777150000000006</v>
      </c>
      <c r="S34">
        <f t="shared" ref="S34:S65" si="5">I34-Q34</f>
        <v>19.036069999999995</v>
      </c>
      <c r="T34" s="107">
        <f t="shared" ref="T34:T65" si="6">R34-I34</f>
        <v>14.777150000000006</v>
      </c>
      <c r="U34" s="107">
        <v>80</v>
      </c>
      <c r="V34" s="91">
        <f>IF('Bypass Summary'!$O$4=2, I34, IF('Bypass Summary'!$O$4=1, K34))</f>
        <v>4</v>
      </c>
      <c r="W34" s="91">
        <f>IF('Bypass Summary'!$O$4=2, S34, IF('Bypass Summary'!$O$4=1, N34))</f>
        <v>2</v>
      </c>
      <c r="X34" s="91">
        <f>IF('Bypass Summary'!$O$4=2, T34, IF('Bypass Summary'!$O$4=1, O34))</f>
        <v>3</v>
      </c>
      <c r="Y34" s="91">
        <f>IF('Bypass Summary'!$O$4=2, U34, IF('Bypass Summary'!$O$4=1, P34))</f>
        <v>5</v>
      </c>
      <c r="Z34" s="124">
        <v>0.71</v>
      </c>
    </row>
    <row r="35" spans="1:26" x14ac:dyDescent="0.25">
      <c r="A35" s="16" t="s">
        <v>99</v>
      </c>
      <c r="B35" s="2" t="s">
        <v>100</v>
      </c>
      <c r="C35" s="42">
        <v>124</v>
      </c>
      <c r="D35" s="42" t="s">
        <v>267</v>
      </c>
      <c r="E35" s="94">
        <v>8.9999999999999993E-3</v>
      </c>
      <c r="F35" s="94">
        <v>0.155</v>
      </c>
      <c r="G35" s="42">
        <v>22</v>
      </c>
      <c r="H35" s="42" t="s">
        <v>817</v>
      </c>
      <c r="I35">
        <v>32</v>
      </c>
      <c r="J35" s="9" t="str">
        <f t="shared" si="2"/>
        <v>RQ8</v>
      </c>
      <c r="K35" s="106">
        <v>9</v>
      </c>
      <c r="L35" s="9">
        <v>4</v>
      </c>
      <c r="M35" s="9">
        <v>13</v>
      </c>
      <c r="N35" s="9">
        <f t="shared" si="3"/>
        <v>5</v>
      </c>
      <c r="O35" s="9">
        <f t="shared" si="4"/>
        <v>4</v>
      </c>
      <c r="P35" s="9">
        <v>5</v>
      </c>
      <c r="Q35">
        <v>13.864650000000001</v>
      </c>
      <c r="R35">
        <v>54.872439999999997</v>
      </c>
      <c r="S35">
        <f t="shared" si="5"/>
        <v>18.135349999999999</v>
      </c>
      <c r="T35" s="107">
        <f t="shared" si="6"/>
        <v>22.872439999999997</v>
      </c>
      <c r="U35" s="107">
        <v>80</v>
      </c>
      <c r="V35" s="91">
        <f>IF('Bypass Summary'!$O$4=2, I35, IF('Bypass Summary'!$O$4=1, K35))</f>
        <v>9</v>
      </c>
      <c r="W35" s="91">
        <f>IF('Bypass Summary'!$O$4=2, S35, IF('Bypass Summary'!$O$4=1, N35))</f>
        <v>5</v>
      </c>
      <c r="X35" s="91">
        <f>IF('Bypass Summary'!$O$4=2, T35, IF('Bypass Summary'!$O$4=1, O35))</f>
        <v>4</v>
      </c>
      <c r="Y35" s="91">
        <f>IF('Bypass Summary'!$O$4=2, U35, IF('Bypass Summary'!$O$4=1, P35))</f>
        <v>5</v>
      </c>
      <c r="Z35" s="124">
        <v>0.32</v>
      </c>
    </row>
    <row r="36" spans="1:26" x14ac:dyDescent="0.25">
      <c r="A36" s="16" t="s">
        <v>113</v>
      </c>
      <c r="B36" s="2" t="s">
        <v>114</v>
      </c>
      <c r="C36" s="42">
        <v>163</v>
      </c>
      <c r="D36" s="42" t="s">
        <v>818</v>
      </c>
      <c r="E36" s="94">
        <v>2.7E-2</v>
      </c>
      <c r="F36" s="94">
        <v>0.125</v>
      </c>
      <c r="G36" s="42">
        <v>56</v>
      </c>
      <c r="H36" s="42" t="s">
        <v>361</v>
      </c>
      <c r="I36">
        <v>30</v>
      </c>
      <c r="J36" s="9" t="str">
        <f t="shared" si="2"/>
        <v>RTD</v>
      </c>
      <c r="K36" s="106">
        <v>7</v>
      </c>
      <c r="L36" s="9">
        <v>5</v>
      </c>
      <c r="M36" s="9">
        <v>10</v>
      </c>
      <c r="N36" s="9">
        <f t="shared" si="3"/>
        <v>2</v>
      </c>
      <c r="O36" s="9">
        <f t="shared" si="4"/>
        <v>3</v>
      </c>
      <c r="P36" s="9">
        <v>5</v>
      </c>
      <c r="Q36">
        <v>18.779870000000003</v>
      </c>
      <c r="R36">
        <v>44.096740000000004</v>
      </c>
      <c r="S36">
        <f t="shared" si="5"/>
        <v>11.220129999999997</v>
      </c>
      <c r="T36" s="107">
        <f t="shared" si="6"/>
        <v>14.096740000000004</v>
      </c>
      <c r="U36" s="107">
        <v>80</v>
      </c>
      <c r="V36" s="91">
        <f>IF('Bypass Summary'!$O$4=2, I36, IF('Bypass Summary'!$O$4=1, K36))</f>
        <v>7</v>
      </c>
      <c r="W36" s="91">
        <f>IF('Bypass Summary'!$O$4=2, S36, IF('Bypass Summary'!$O$4=1, N36))</f>
        <v>2</v>
      </c>
      <c r="X36" s="91">
        <f>IF('Bypass Summary'!$O$4=2, T36, IF('Bypass Summary'!$O$4=1, O36))</f>
        <v>3</v>
      </c>
      <c r="Y36" s="91">
        <f>IF('Bypass Summary'!$O$4=2, U36, IF('Bypass Summary'!$O$4=1, P36))</f>
        <v>5</v>
      </c>
      <c r="Z36" s="124">
        <v>0.3</v>
      </c>
    </row>
    <row r="37" spans="1:26" x14ac:dyDescent="0.25">
      <c r="A37" s="16" t="s">
        <v>160</v>
      </c>
      <c r="B37" s="2" t="s">
        <v>161</v>
      </c>
      <c r="C37" s="42">
        <v>17</v>
      </c>
      <c r="D37" s="42" t="s">
        <v>819</v>
      </c>
      <c r="E37" s="94">
        <v>4.1000000000000002E-2</v>
      </c>
      <c r="F37" s="94">
        <v>7.0999999999999994E-2</v>
      </c>
      <c r="G37" s="42">
        <v>10</v>
      </c>
      <c r="H37" s="42" t="s">
        <v>835</v>
      </c>
      <c r="I37">
        <v>20</v>
      </c>
      <c r="J37" s="9" t="str">
        <f t="shared" si="2"/>
        <v>SA999</v>
      </c>
      <c r="K37" s="106">
        <v>13</v>
      </c>
      <c r="L37" s="9">
        <v>6</v>
      </c>
      <c r="M37" s="9">
        <v>15</v>
      </c>
      <c r="N37" s="9">
        <f t="shared" si="3"/>
        <v>7</v>
      </c>
      <c r="O37" s="9">
        <f t="shared" si="4"/>
        <v>2</v>
      </c>
      <c r="P37" s="9">
        <v>5</v>
      </c>
      <c r="Q37">
        <v>2.5210699999999999</v>
      </c>
      <c r="R37">
        <v>55.609549999999999</v>
      </c>
      <c r="S37">
        <f t="shared" si="5"/>
        <v>17.478929999999998</v>
      </c>
      <c r="T37" s="107">
        <f t="shared" si="6"/>
        <v>35.609549999999999</v>
      </c>
      <c r="U37" s="107">
        <v>80</v>
      </c>
      <c r="V37" s="91">
        <f>IF('Bypass Summary'!$O$4=2, I37, IF('Bypass Summary'!$O$4=1, K37))</f>
        <v>13</v>
      </c>
      <c r="W37" s="91">
        <f>IF('Bypass Summary'!$O$4=2, S37, IF('Bypass Summary'!$O$4=1, N37))</f>
        <v>7</v>
      </c>
      <c r="X37" s="91">
        <f>IF('Bypass Summary'!$O$4=2, T37, IF('Bypass Summary'!$O$4=1, O37))</f>
        <v>2</v>
      </c>
      <c r="Y37" s="91">
        <f>IF('Bypass Summary'!$O$4=2, U37, IF('Bypass Summary'!$O$4=1, P37))</f>
        <v>5</v>
      </c>
      <c r="Z37" s="124">
        <v>0.2</v>
      </c>
    </row>
    <row r="38" spans="1:26" x14ac:dyDescent="0.25">
      <c r="A38" s="16" t="s">
        <v>170</v>
      </c>
      <c r="B38" s="2" t="s">
        <v>171</v>
      </c>
      <c r="C38" s="42">
        <v>121</v>
      </c>
      <c r="D38" s="42" t="s">
        <v>329</v>
      </c>
      <c r="E38" s="94">
        <v>2.9000000000000001E-2</v>
      </c>
      <c r="F38" s="94">
        <v>0.01</v>
      </c>
      <c r="G38" s="42">
        <v>45</v>
      </c>
      <c r="H38" s="42" t="s">
        <v>376</v>
      </c>
      <c r="I38">
        <v>62</v>
      </c>
      <c r="J38" s="9" t="str">
        <f t="shared" si="2"/>
        <v>SN999</v>
      </c>
      <c r="K38" s="106">
        <v>4</v>
      </c>
      <c r="L38" s="9">
        <v>1</v>
      </c>
      <c r="M38" s="9">
        <v>7</v>
      </c>
      <c r="N38" s="9">
        <f t="shared" si="3"/>
        <v>3</v>
      </c>
      <c r="O38" s="9">
        <f t="shared" si="4"/>
        <v>3</v>
      </c>
      <c r="P38" s="9">
        <v>5</v>
      </c>
      <c r="Q38">
        <v>46.54101</v>
      </c>
      <c r="R38">
        <v>76.23218</v>
      </c>
      <c r="S38">
        <f t="shared" si="5"/>
        <v>15.45899</v>
      </c>
      <c r="T38" s="107">
        <f t="shared" si="6"/>
        <v>14.23218</v>
      </c>
      <c r="U38" s="107">
        <v>80</v>
      </c>
      <c r="V38" s="91">
        <f>IF('Bypass Summary'!$O$4=2, I38, IF('Bypass Summary'!$O$4=1, K38))</f>
        <v>4</v>
      </c>
      <c r="W38" s="91">
        <f>IF('Bypass Summary'!$O$4=2, S38, IF('Bypass Summary'!$O$4=1, N38))</f>
        <v>3</v>
      </c>
      <c r="X38" s="91">
        <f>IF('Bypass Summary'!$O$4=2, T38, IF('Bypass Summary'!$O$4=1, O38))</f>
        <v>3</v>
      </c>
      <c r="Y38" s="91">
        <f>IF('Bypass Summary'!$O$4=2, U38, IF('Bypass Summary'!$O$4=1, P38))</f>
        <v>5</v>
      </c>
      <c r="Z38" s="124">
        <v>0.62</v>
      </c>
    </row>
    <row r="39" spans="1:26" x14ac:dyDescent="0.25">
      <c r="A39" s="16" t="s">
        <v>164</v>
      </c>
      <c r="B39" s="2" t="s">
        <v>165</v>
      </c>
      <c r="C39" s="42">
        <v>130</v>
      </c>
      <c r="D39" s="42" t="s">
        <v>279</v>
      </c>
      <c r="E39" s="94">
        <v>0</v>
      </c>
      <c r="F39" s="94">
        <v>0.185</v>
      </c>
      <c r="G39" s="42">
        <v>35</v>
      </c>
      <c r="H39" s="42" t="s">
        <v>231</v>
      </c>
      <c r="I39">
        <v>60</v>
      </c>
      <c r="J39" s="9" t="str">
        <f t="shared" si="2"/>
        <v>SG999</v>
      </c>
      <c r="K39" s="106">
        <v>5</v>
      </c>
      <c r="L39" s="9">
        <v>3</v>
      </c>
      <c r="M39" s="9">
        <v>7</v>
      </c>
      <c r="N39" s="9">
        <f t="shared" si="3"/>
        <v>2</v>
      </c>
      <c r="O39" s="9">
        <f t="shared" si="4"/>
        <v>2</v>
      </c>
      <c r="P39" s="9">
        <v>5</v>
      </c>
      <c r="Q39">
        <v>42.11177</v>
      </c>
      <c r="R39">
        <v>76.129190000000008</v>
      </c>
      <c r="S39">
        <f t="shared" si="5"/>
        <v>17.88823</v>
      </c>
      <c r="T39" s="107">
        <f t="shared" si="6"/>
        <v>16.129190000000008</v>
      </c>
      <c r="U39" s="107">
        <v>80</v>
      </c>
      <c r="V39" s="91">
        <f>IF('Bypass Summary'!$O$4=2, I39, IF('Bypass Summary'!$O$4=1, K39))</f>
        <v>5</v>
      </c>
      <c r="W39" s="91">
        <f>IF('Bypass Summary'!$O$4=2, S39, IF('Bypass Summary'!$O$4=1, N39))</f>
        <v>2</v>
      </c>
      <c r="X39" s="91">
        <f>IF('Bypass Summary'!$O$4=2, T39, IF('Bypass Summary'!$O$4=1, O39))</f>
        <v>2</v>
      </c>
      <c r="Y39" s="91">
        <f>IF('Bypass Summary'!$O$4=2, U39, IF('Bypass Summary'!$O$4=1, P39))</f>
        <v>5</v>
      </c>
      <c r="Z39" s="124">
        <v>0.6</v>
      </c>
    </row>
    <row r="40" spans="1:26" x14ac:dyDescent="0.25">
      <c r="A40" s="16" t="s">
        <v>166</v>
      </c>
      <c r="B40" s="2" t="s">
        <v>167</v>
      </c>
      <c r="C40" s="42">
        <v>186</v>
      </c>
      <c r="D40" s="42" t="s">
        <v>262</v>
      </c>
      <c r="E40" s="94">
        <v>2.3E-2</v>
      </c>
      <c r="F40" s="94">
        <v>7.0000000000000007E-2</v>
      </c>
      <c r="G40" s="42">
        <v>51</v>
      </c>
      <c r="H40" s="42" t="s">
        <v>820</v>
      </c>
      <c r="I40">
        <v>55</v>
      </c>
      <c r="J40" s="9" t="str">
        <f t="shared" si="2"/>
        <v>SH999</v>
      </c>
      <c r="K40" s="106">
        <v>4</v>
      </c>
      <c r="L40" s="9">
        <v>1</v>
      </c>
      <c r="M40" s="9">
        <v>10</v>
      </c>
      <c r="N40" s="9">
        <f t="shared" si="3"/>
        <v>3</v>
      </c>
      <c r="O40" s="9">
        <f t="shared" si="4"/>
        <v>6</v>
      </c>
      <c r="P40" s="9">
        <v>5</v>
      </c>
      <c r="Q40">
        <v>40.341880000000003</v>
      </c>
      <c r="R40">
        <v>68.872500000000002</v>
      </c>
      <c r="S40">
        <f t="shared" si="5"/>
        <v>14.658119999999997</v>
      </c>
      <c r="T40" s="107">
        <f t="shared" si="6"/>
        <v>13.872500000000002</v>
      </c>
      <c r="U40" s="107">
        <v>80</v>
      </c>
      <c r="V40" s="91">
        <f>IF('Bypass Summary'!$O$4=2, I40, IF('Bypass Summary'!$O$4=1, K40))</f>
        <v>4</v>
      </c>
      <c r="W40" s="91">
        <f>IF('Bypass Summary'!$O$4=2, S40, IF('Bypass Summary'!$O$4=1, N40))</f>
        <v>3</v>
      </c>
      <c r="X40" s="91">
        <f>IF('Bypass Summary'!$O$4=2, T40, IF('Bypass Summary'!$O$4=1, O40))</f>
        <v>6</v>
      </c>
      <c r="Y40" s="91">
        <f>IF('Bypass Summary'!$O$4=2, U40, IF('Bypass Summary'!$O$4=1, P40))</f>
        <v>5</v>
      </c>
      <c r="Z40" s="124">
        <v>0.55000000000000004</v>
      </c>
    </row>
    <row r="41" spans="1:26" x14ac:dyDescent="0.25">
      <c r="A41" s="16" t="s">
        <v>168</v>
      </c>
      <c r="B41" s="2" t="s">
        <v>169</v>
      </c>
      <c r="C41" s="42">
        <v>61</v>
      </c>
      <c r="D41" s="42" t="s">
        <v>821</v>
      </c>
      <c r="E41" s="94">
        <v>3.2000000000000001E-2</v>
      </c>
      <c r="F41" s="94">
        <v>0.316</v>
      </c>
      <c r="G41" s="42">
        <v>6</v>
      </c>
      <c r="H41" s="42" t="s">
        <v>399</v>
      </c>
      <c r="I41" t="s">
        <v>384</v>
      </c>
      <c r="J41" s="9" t="str">
        <f t="shared" si="2"/>
        <v>SL999</v>
      </c>
      <c r="K41" s="9" t="s">
        <v>399</v>
      </c>
      <c r="L41" s="9" t="s">
        <v>399</v>
      </c>
      <c r="M41" s="9" t="s">
        <v>399</v>
      </c>
      <c r="N41" s="9" t="e">
        <f t="shared" si="3"/>
        <v>#VALUE!</v>
      </c>
      <c r="O41" s="9" t="e">
        <f t="shared" si="4"/>
        <v>#VALUE!</v>
      </c>
      <c r="P41" s="9">
        <v>5</v>
      </c>
      <c r="Q41" t="e">
        <v>#VALUE!</v>
      </c>
      <c r="R41" t="e">
        <v>#VALUE!</v>
      </c>
      <c r="S41" t="e">
        <f t="shared" si="5"/>
        <v>#VALUE!</v>
      </c>
      <c r="T41" s="107" t="e">
        <f t="shared" si="6"/>
        <v>#VALUE!</v>
      </c>
      <c r="U41" s="107">
        <v>80</v>
      </c>
      <c r="V41" s="91" t="str">
        <f>IF('Bypass Summary'!$O$4=2, I41, IF('Bypass Summary'!$O$4=1, K41))</f>
        <v>xx</v>
      </c>
      <c r="W41" s="91" t="e">
        <f>IF('Bypass Summary'!$O$4=2, S41, IF('Bypass Summary'!$O$4=1, N41))</f>
        <v>#VALUE!</v>
      </c>
      <c r="X41" s="91" t="e">
        <f>IF('Bypass Summary'!$O$4=2, T41, IF('Bypass Summary'!$O$4=1, O41))</f>
        <v>#VALUE!</v>
      </c>
      <c r="Y41" s="91">
        <f>IF('Bypass Summary'!$O$4=2, U41, IF('Bypass Summary'!$O$4=1, P41))</f>
        <v>5</v>
      </c>
      <c r="Z41" t="s">
        <v>399</v>
      </c>
    </row>
    <row r="42" spans="1:26" x14ac:dyDescent="0.25">
      <c r="A42" s="16" t="s">
        <v>172</v>
      </c>
      <c r="B42" s="2" t="s">
        <v>173</v>
      </c>
      <c r="C42" s="42">
        <v>81</v>
      </c>
      <c r="D42" s="42" t="s">
        <v>284</v>
      </c>
      <c r="E42" s="94">
        <v>2.5999999999999999E-2</v>
      </c>
      <c r="F42" s="94">
        <v>0.125</v>
      </c>
      <c r="G42" s="42">
        <v>33</v>
      </c>
      <c r="H42" s="42" t="s">
        <v>341</v>
      </c>
      <c r="I42">
        <v>61</v>
      </c>
      <c r="J42" s="9" t="str">
        <f t="shared" si="2"/>
        <v>SS999</v>
      </c>
      <c r="K42" s="106">
        <v>3</v>
      </c>
      <c r="L42" s="9">
        <v>1</v>
      </c>
      <c r="M42" s="9">
        <v>6</v>
      </c>
      <c r="N42" s="9">
        <f t="shared" si="3"/>
        <v>2</v>
      </c>
      <c r="O42" s="9">
        <f t="shared" si="4"/>
        <v>3</v>
      </c>
      <c r="P42" s="9">
        <v>5</v>
      </c>
      <c r="Q42">
        <v>42.13937</v>
      </c>
      <c r="R42">
        <v>77.093370000000007</v>
      </c>
      <c r="S42">
        <f t="shared" si="5"/>
        <v>18.86063</v>
      </c>
      <c r="T42" s="107">
        <f t="shared" si="6"/>
        <v>16.093370000000007</v>
      </c>
      <c r="U42" s="107">
        <v>80</v>
      </c>
      <c r="V42" s="91">
        <f>IF('Bypass Summary'!$O$4=2, I42, IF('Bypass Summary'!$O$4=1, K42))</f>
        <v>3</v>
      </c>
      <c r="W42" s="91">
        <f>IF('Bypass Summary'!$O$4=2, S42, IF('Bypass Summary'!$O$4=1, N42))</f>
        <v>2</v>
      </c>
      <c r="X42" s="91">
        <f>IF('Bypass Summary'!$O$4=2, T42, IF('Bypass Summary'!$O$4=1, O42))</f>
        <v>3</v>
      </c>
      <c r="Y42" s="91">
        <f>IF('Bypass Summary'!$O$4=2, U42, IF('Bypass Summary'!$O$4=1, P42))</f>
        <v>5</v>
      </c>
      <c r="Z42" s="124">
        <v>0.61</v>
      </c>
    </row>
    <row r="43" spans="1:26" x14ac:dyDescent="0.25">
      <c r="A43" s="16" t="s">
        <v>174</v>
      </c>
      <c r="B43" s="2" t="s">
        <v>175</v>
      </c>
      <c r="C43" s="42">
        <v>113</v>
      </c>
      <c r="D43" s="42" t="s">
        <v>822</v>
      </c>
      <c r="E43" s="94">
        <v>0</v>
      </c>
      <c r="F43" s="94">
        <v>9.6000000000000002E-2</v>
      </c>
      <c r="G43" s="42">
        <v>42</v>
      </c>
      <c r="H43" s="42" t="s">
        <v>228</v>
      </c>
      <c r="I43">
        <v>45</v>
      </c>
      <c r="J43" s="9" t="str">
        <f t="shared" si="2"/>
        <v>ST999</v>
      </c>
      <c r="K43" s="106">
        <v>7</v>
      </c>
      <c r="L43" s="9">
        <v>4</v>
      </c>
      <c r="M43" s="9">
        <v>13</v>
      </c>
      <c r="N43" s="9">
        <f t="shared" si="3"/>
        <v>3</v>
      </c>
      <c r="O43" s="9">
        <f t="shared" si="4"/>
        <v>6</v>
      </c>
      <c r="P43" s="9">
        <v>5</v>
      </c>
      <c r="Q43">
        <v>29.845880000000001</v>
      </c>
      <c r="R43">
        <v>61.326820000000005</v>
      </c>
      <c r="S43">
        <f t="shared" si="5"/>
        <v>15.154119999999999</v>
      </c>
      <c r="T43" s="107">
        <f t="shared" si="6"/>
        <v>16.326820000000005</v>
      </c>
      <c r="U43" s="107">
        <v>80</v>
      </c>
      <c r="V43" s="91">
        <f>IF('Bypass Summary'!$O$4=2, I43, IF('Bypass Summary'!$O$4=1, K43))</f>
        <v>7</v>
      </c>
      <c r="W43" s="91">
        <f>IF('Bypass Summary'!$O$4=2, S43, IF('Bypass Summary'!$O$4=1, N43))</f>
        <v>3</v>
      </c>
      <c r="X43" s="91">
        <f>IF('Bypass Summary'!$O$4=2, T43, IF('Bypass Summary'!$O$4=1, O43))</f>
        <v>6</v>
      </c>
      <c r="Y43" s="91">
        <f>IF('Bypass Summary'!$O$4=2, U43, IF('Bypass Summary'!$O$4=1, P43))</f>
        <v>5</v>
      </c>
      <c r="Z43" s="124">
        <v>0.45</v>
      </c>
    </row>
    <row r="44" spans="1:26" x14ac:dyDescent="0.25">
      <c r="A44" s="16" t="s">
        <v>83</v>
      </c>
      <c r="B44" s="2" t="s">
        <v>84</v>
      </c>
      <c r="C44" s="42">
        <v>153</v>
      </c>
      <c r="D44" s="42" t="s">
        <v>823</v>
      </c>
      <c r="E44" s="94">
        <v>1.4999999999999999E-2</v>
      </c>
      <c r="F44" s="94">
        <v>0.10199999999999999</v>
      </c>
      <c r="G44" s="42">
        <v>71</v>
      </c>
      <c r="H44" s="42" t="s">
        <v>824</v>
      </c>
      <c r="I44">
        <v>65</v>
      </c>
      <c r="J44" s="9" t="str">
        <f t="shared" si="2"/>
        <v>RM1</v>
      </c>
      <c r="K44" s="106">
        <v>5</v>
      </c>
      <c r="L44" s="9">
        <v>2</v>
      </c>
      <c r="M44" s="9">
        <v>6</v>
      </c>
      <c r="N44" s="9">
        <f t="shared" si="3"/>
        <v>3</v>
      </c>
      <c r="O44" s="9">
        <f t="shared" si="4"/>
        <v>1</v>
      </c>
      <c r="P44" s="9">
        <v>5</v>
      </c>
      <c r="Q44">
        <v>52.542500000000004</v>
      </c>
      <c r="R44">
        <v>75.758769999999998</v>
      </c>
      <c r="S44">
        <f t="shared" si="5"/>
        <v>12.457499999999996</v>
      </c>
      <c r="T44" s="107">
        <f t="shared" si="6"/>
        <v>10.758769999999998</v>
      </c>
      <c r="U44" s="107">
        <v>80</v>
      </c>
      <c r="V44" s="91">
        <f>IF('Bypass Summary'!$O$4=2, I44, IF('Bypass Summary'!$O$4=1, K44))</f>
        <v>5</v>
      </c>
      <c r="W44" s="91">
        <f>IF('Bypass Summary'!$O$4=2, S44, IF('Bypass Summary'!$O$4=1, N44))</f>
        <v>3</v>
      </c>
      <c r="X44" s="91">
        <f>IF('Bypass Summary'!$O$4=2, T44, IF('Bypass Summary'!$O$4=1, O44))</f>
        <v>1</v>
      </c>
      <c r="Y44" s="91">
        <f>IF('Bypass Summary'!$O$4=2, U44, IF('Bypass Summary'!$O$4=1, P44))</f>
        <v>5</v>
      </c>
      <c r="Z44" s="124">
        <v>0.65</v>
      </c>
    </row>
    <row r="45" spans="1:26" x14ac:dyDescent="0.25">
      <c r="A45" s="16" t="s">
        <v>124</v>
      </c>
      <c r="B45" s="2" t="s">
        <v>125</v>
      </c>
      <c r="C45" s="42">
        <v>606</v>
      </c>
      <c r="D45" s="42" t="s">
        <v>264</v>
      </c>
      <c r="E45" s="94">
        <v>1.7999999999999999E-2</v>
      </c>
      <c r="F45" s="94">
        <v>0.16800000000000001</v>
      </c>
      <c r="G45" s="42">
        <v>128</v>
      </c>
      <c r="H45" s="42" t="s">
        <v>248</v>
      </c>
      <c r="I45">
        <v>64</v>
      </c>
      <c r="J45" s="9" t="str">
        <f t="shared" si="2"/>
        <v>RVJ</v>
      </c>
      <c r="K45" s="106">
        <v>4</v>
      </c>
      <c r="L45" s="9">
        <v>2</v>
      </c>
      <c r="M45" s="9">
        <v>7</v>
      </c>
      <c r="N45" s="9">
        <f t="shared" si="3"/>
        <v>2</v>
      </c>
      <c r="O45" s="9">
        <f t="shared" si="4"/>
        <v>3</v>
      </c>
      <c r="P45" s="9">
        <v>5</v>
      </c>
      <c r="Q45">
        <v>55.109520000000003</v>
      </c>
      <c r="R45">
        <v>72.348699999999994</v>
      </c>
      <c r="S45">
        <f t="shared" si="5"/>
        <v>8.8904799999999966</v>
      </c>
      <c r="T45" s="107">
        <f t="shared" si="6"/>
        <v>8.3486999999999938</v>
      </c>
      <c r="U45" s="107">
        <v>80</v>
      </c>
      <c r="V45" s="91">
        <f>IF('Bypass Summary'!$O$4=2, I45, IF('Bypass Summary'!$O$4=1, K45))</f>
        <v>4</v>
      </c>
      <c r="W45" s="91">
        <f>IF('Bypass Summary'!$O$4=2, S45, IF('Bypass Summary'!$O$4=1, N45))</f>
        <v>2</v>
      </c>
      <c r="X45" s="91">
        <f>IF('Bypass Summary'!$O$4=2, T45, IF('Bypass Summary'!$O$4=1, O45))</f>
        <v>3</v>
      </c>
      <c r="Y45" s="91">
        <f>IF('Bypass Summary'!$O$4=2, U45, IF('Bypass Summary'!$O$4=1, P45))</f>
        <v>5</v>
      </c>
      <c r="Z45" s="124">
        <v>0.64</v>
      </c>
    </row>
    <row r="46" spans="1:26" x14ac:dyDescent="0.25">
      <c r="A46" s="16" t="s">
        <v>89</v>
      </c>
      <c r="B46" s="2" t="s">
        <v>90</v>
      </c>
      <c r="C46" s="42">
        <v>212</v>
      </c>
      <c r="D46" s="42" t="s">
        <v>258</v>
      </c>
      <c r="E46" s="94">
        <v>4.4999999999999998E-2</v>
      </c>
      <c r="F46" s="94">
        <v>0.2</v>
      </c>
      <c r="G46" s="42">
        <v>40</v>
      </c>
      <c r="H46" s="42" t="s">
        <v>248</v>
      </c>
      <c r="I46">
        <v>70</v>
      </c>
      <c r="J46" s="9" t="str">
        <f t="shared" si="2"/>
        <v>RNL</v>
      </c>
      <c r="K46" s="106">
        <v>4</v>
      </c>
      <c r="L46" s="9">
        <v>2</v>
      </c>
      <c r="M46" s="9">
        <v>7</v>
      </c>
      <c r="N46" s="9">
        <f t="shared" si="3"/>
        <v>2</v>
      </c>
      <c r="O46" s="9">
        <f t="shared" si="4"/>
        <v>3</v>
      </c>
      <c r="P46" s="9">
        <v>5</v>
      </c>
      <c r="Q46">
        <v>53.46837</v>
      </c>
      <c r="R46">
        <v>83.437280000000001</v>
      </c>
      <c r="S46">
        <f t="shared" si="5"/>
        <v>16.53163</v>
      </c>
      <c r="T46" s="107">
        <f t="shared" si="6"/>
        <v>13.437280000000001</v>
      </c>
      <c r="U46" s="107">
        <v>80</v>
      </c>
      <c r="V46" s="91">
        <f>IF('Bypass Summary'!$O$4=2, I46, IF('Bypass Summary'!$O$4=1, K46))</f>
        <v>4</v>
      </c>
      <c r="W46" s="91">
        <f>IF('Bypass Summary'!$O$4=2, S46, IF('Bypass Summary'!$O$4=1, N46))</f>
        <v>2</v>
      </c>
      <c r="X46" s="91">
        <f>IF('Bypass Summary'!$O$4=2, T46, IF('Bypass Summary'!$O$4=1, O46))</f>
        <v>3</v>
      </c>
      <c r="Y46" s="91">
        <f>IF('Bypass Summary'!$O$4=2, U46, IF('Bypass Summary'!$O$4=1, P46))</f>
        <v>5</v>
      </c>
      <c r="Z46" s="124">
        <v>0.7</v>
      </c>
    </row>
    <row r="47" spans="1:26" x14ac:dyDescent="0.25">
      <c r="A47" s="16" t="s">
        <v>91</v>
      </c>
      <c r="B47" s="2" t="s">
        <v>92</v>
      </c>
      <c r="C47" s="42">
        <v>188</v>
      </c>
      <c r="D47" s="42" t="s">
        <v>265</v>
      </c>
      <c r="E47" s="94">
        <v>4.2000000000000003E-2</v>
      </c>
      <c r="F47" s="94">
        <v>8.4000000000000005E-2</v>
      </c>
      <c r="G47" s="42">
        <v>55</v>
      </c>
      <c r="H47" s="42" t="s">
        <v>310</v>
      </c>
      <c r="I47">
        <v>60</v>
      </c>
      <c r="J47" s="9" t="str">
        <f t="shared" si="2"/>
        <v>RNS</v>
      </c>
      <c r="K47" s="106">
        <v>5</v>
      </c>
      <c r="L47" s="9">
        <v>2</v>
      </c>
      <c r="M47" s="9">
        <v>7</v>
      </c>
      <c r="N47" s="9">
        <f t="shared" si="3"/>
        <v>3</v>
      </c>
      <c r="O47" s="9">
        <f t="shared" si="4"/>
        <v>2</v>
      </c>
      <c r="P47" s="9">
        <v>5</v>
      </c>
      <c r="Q47">
        <v>45.907260000000001</v>
      </c>
      <c r="R47">
        <v>72.977109999999996</v>
      </c>
      <c r="S47">
        <f t="shared" si="5"/>
        <v>14.092739999999999</v>
      </c>
      <c r="T47" s="107">
        <f t="shared" si="6"/>
        <v>12.977109999999996</v>
      </c>
      <c r="U47" s="107">
        <v>80</v>
      </c>
      <c r="V47" s="91">
        <f>IF('Bypass Summary'!$O$4=2, I47, IF('Bypass Summary'!$O$4=1, K47))</f>
        <v>5</v>
      </c>
      <c r="W47" s="91">
        <f>IF('Bypass Summary'!$O$4=2, S47, IF('Bypass Summary'!$O$4=1, N47))</f>
        <v>3</v>
      </c>
      <c r="X47" s="91">
        <f>IF('Bypass Summary'!$O$4=2, T47, IF('Bypass Summary'!$O$4=1, O47))</f>
        <v>2</v>
      </c>
      <c r="Y47" s="91">
        <f>IF('Bypass Summary'!$O$4=2, U47, IF('Bypass Summary'!$O$4=1, P47))</f>
        <v>5</v>
      </c>
      <c r="Z47" s="124">
        <v>0.6</v>
      </c>
    </row>
    <row r="48" spans="1:26" x14ac:dyDescent="0.25">
      <c r="A48" s="16" t="s">
        <v>144</v>
      </c>
      <c r="B48" s="2" t="s">
        <v>145</v>
      </c>
      <c r="C48" s="42">
        <v>227</v>
      </c>
      <c r="D48" s="42" t="s">
        <v>264</v>
      </c>
      <c r="E48" s="94">
        <v>5.5E-2</v>
      </c>
      <c r="F48" s="94">
        <v>0.20499999999999999</v>
      </c>
      <c r="G48" s="42">
        <v>24</v>
      </c>
      <c r="H48" s="42" t="s">
        <v>825</v>
      </c>
      <c r="I48">
        <v>71</v>
      </c>
      <c r="J48" s="9" t="str">
        <f t="shared" si="2"/>
        <v>RX1</v>
      </c>
      <c r="K48" s="106">
        <v>4</v>
      </c>
      <c r="L48" s="9">
        <v>3</v>
      </c>
      <c r="M48" s="9">
        <v>10</v>
      </c>
      <c r="N48" s="9">
        <f t="shared" si="3"/>
        <v>1</v>
      </c>
      <c r="O48" s="9">
        <f t="shared" si="4"/>
        <v>6</v>
      </c>
      <c r="P48" s="9">
        <v>5</v>
      </c>
      <c r="Q48">
        <v>48.90522</v>
      </c>
      <c r="R48">
        <v>87.384789999999995</v>
      </c>
      <c r="S48">
        <f t="shared" si="5"/>
        <v>22.09478</v>
      </c>
      <c r="T48" s="107">
        <f t="shared" si="6"/>
        <v>16.384789999999995</v>
      </c>
      <c r="U48" s="107">
        <v>80</v>
      </c>
      <c r="V48" s="91">
        <f>IF('Bypass Summary'!$O$4=2, I48, IF('Bypass Summary'!$O$4=1, K48))</f>
        <v>4</v>
      </c>
      <c r="W48" s="91">
        <f>IF('Bypass Summary'!$O$4=2, S48, IF('Bypass Summary'!$O$4=1, N48))</f>
        <v>1</v>
      </c>
      <c r="X48" s="91">
        <f>IF('Bypass Summary'!$O$4=2, T48, IF('Bypass Summary'!$O$4=1, O48))</f>
        <v>6</v>
      </c>
      <c r="Y48" s="91">
        <f>IF('Bypass Summary'!$O$4=2, U48, IF('Bypass Summary'!$O$4=1, P48))</f>
        <v>5</v>
      </c>
      <c r="Z48" s="124">
        <v>0.71</v>
      </c>
    </row>
    <row r="49" spans="1:26" x14ac:dyDescent="0.25">
      <c r="A49" s="16" t="s">
        <v>118</v>
      </c>
      <c r="B49" s="2" t="s">
        <v>622</v>
      </c>
      <c r="C49" s="42">
        <v>185</v>
      </c>
      <c r="D49" s="42" t="s">
        <v>263</v>
      </c>
      <c r="E49" s="94">
        <v>2.3E-2</v>
      </c>
      <c r="F49" s="94">
        <v>5.2999999999999999E-2</v>
      </c>
      <c r="G49" s="42">
        <v>50</v>
      </c>
      <c r="H49" s="42" t="s">
        <v>229</v>
      </c>
      <c r="I49">
        <v>64</v>
      </c>
      <c r="J49" s="9" t="str">
        <f t="shared" si="2"/>
        <v>RTH</v>
      </c>
      <c r="K49" s="106">
        <v>4</v>
      </c>
      <c r="L49" s="9">
        <v>2</v>
      </c>
      <c r="M49" s="9">
        <v>6</v>
      </c>
      <c r="N49" s="9">
        <f t="shared" si="3"/>
        <v>2</v>
      </c>
      <c r="O49" s="9">
        <f t="shared" si="4"/>
        <v>2</v>
      </c>
      <c r="P49" s="9">
        <v>5</v>
      </c>
      <c r="Q49">
        <v>49.193130000000004</v>
      </c>
      <c r="R49">
        <v>77.084289999999996</v>
      </c>
      <c r="S49">
        <f t="shared" si="5"/>
        <v>14.806869999999996</v>
      </c>
      <c r="T49" s="107">
        <f t="shared" si="6"/>
        <v>13.084289999999996</v>
      </c>
      <c r="U49" s="107">
        <v>80</v>
      </c>
      <c r="V49" s="91">
        <f>IF('Bypass Summary'!$O$4=2, I49, IF('Bypass Summary'!$O$4=1, K49))</f>
        <v>4</v>
      </c>
      <c r="W49" s="91">
        <f>IF('Bypass Summary'!$O$4=2, S49, IF('Bypass Summary'!$O$4=1, N49))</f>
        <v>2</v>
      </c>
      <c r="X49" s="91">
        <f>IF('Bypass Summary'!$O$4=2, T49, IF('Bypass Summary'!$O$4=1, O49))</f>
        <v>2</v>
      </c>
      <c r="Y49" s="91">
        <f>IF('Bypass Summary'!$O$4=2, U49, IF('Bypass Summary'!$O$4=1, P49))</f>
        <v>5</v>
      </c>
      <c r="Z49" s="124">
        <v>0.64</v>
      </c>
    </row>
    <row r="50" spans="1:26" x14ac:dyDescent="0.25">
      <c r="A50" s="16" t="s">
        <v>128</v>
      </c>
      <c r="B50" s="2" t="s">
        <v>129</v>
      </c>
      <c r="C50" s="42">
        <v>563</v>
      </c>
      <c r="D50" s="42" t="s">
        <v>272</v>
      </c>
      <c r="E50" s="94">
        <v>1.7999999999999999E-2</v>
      </c>
      <c r="F50" s="94">
        <v>9.1999999999999998E-2</v>
      </c>
      <c r="G50" s="42">
        <v>173</v>
      </c>
      <c r="H50" s="42" t="s">
        <v>227</v>
      </c>
      <c r="I50">
        <v>54</v>
      </c>
      <c r="J50" s="9" t="str">
        <f t="shared" si="2"/>
        <v>RW6</v>
      </c>
      <c r="K50" s="106">
        <v>5</v>
      </c>
      <c r="L50" s="9">
        <v>3</v>
      </c>
      <c r="M50" s="9">
        <v>8</v>
      </c>
      <c r="N50" s="9">
        <f t="shared" si="3"/>
        <v>2</v>
      </c>
      <c r="O50" s="9">
        <f t="shared" si="4"/>
        <v>3</v>
      </c>
      <c r="P50" s="9">
        <v>5</v>
      </c>
      <c r="Q50">
        <v>46.604370000000003</v>
      </c>
      <c r="R50">
        <v>61.915050000000008</v>
      </c>
      <c r="S50">
        <f t="shared" si="5"/>
        <v>7.395629999999997</v>
      </c>
      <c r="T50" s="107">
        <f t="shared" si="6"/>
        <v>7.9150500000000079</v>
      </c>
      <c r="U50" s="107">
        <v>80</v>
      </c>
      <c r="V50" s="91">
        <f>IF('Bypass Summary'!$O$4=2, I50, IF('Bypass Summary'!$O$4=1, K50))</f>
        <v>5</v>
      </c>
      <c r="W50" s="91">
        <f>IF('Bypass Summary'!$O$4=2, S50, IF('Bypass Summary'!$O$4=1, N50))</f>
        <v>2</v>
      </c>
      <c r="X50" s="91">
        <f>IF('Bypass Summary'!$O$4=2, T50, IF('Bypass Summary'!$O$4=1, O50))</f>
        <v>3</v>
      </c>
      <c r="Y50" s="91">
        <f>IF('Bypass Summary'!$O$4=2, U50, IF('Bypass Summary'!$O$4=1, P50))</f>
        <v>5</v>
      </c>
      <c r="Z50" s="124">
        <v>0.54</v>
      </c>
    </row>
    <row r="51" spans="1:26" x14ac:dyDescent="0.25">
      <c r="A51" s="16" t="s">
        <v>101</v>
      </c>
      <c r="B51" s="2" t="s">
        <v>102</v>
      </c>
      <c r="C51" s="42">
        <v>69</v>
      </c>
      <c r="D51" s="42" t="s">
        <v>271</v>
      </c>
      <c r="E51" s="94">
        <v>0.10299999999999999</v>
      </c>
      <c r="F51" s="94">
        <v>0.19</v>
      </c>
      <c r="G51" s="42">
        <v>4</v>
      </c>
      <c r="H51" s="42" t="s">
        <v>399</v>
      </c>
      <c r="I51" t="s">
        <v>384</v>
      </c>
      <c r="J51" s="9" t="str">
        <f t="shared" si="2"/>
        <v>RQW</v>
      </c>
      <c r="K51" s="9" t="s">
        <v>399</v>
      </c>
      <c r="L51" s="9" t="s">
        <v>399</v>
      </c>
      <c r="M51" s="9" t="s">
        <v>399</v>
      </c>
      <c r="N51" s="9" t="e">
        <f t="shared" si="3"/>
        <v>#VALUE!</v>
      </c>
      <c r="O51" s="9" t="e">
        <f t="shared" si="4"/>
        <v>#VALUE!</v>
      </c>
      <c r="P51" s="9">
        <v>5</v>
      </c>
      <c r="Q51" t="e">
        <v>#VALUE!</v>
      </c>
      <c r="R51" t="e">
        <v>#VALUE!</v>
      </c>
      <c r="S51" t="e">
        <f t="shared" si="5"/>
        <v>#VALUE!</v>
      </c>
      <c r="T51" s="107" t="e">
        <f t="shared" si="6"/>
        <v>#VALUE!</v>
      </c>
      <c r="U51" s="107">
        <v>80</v>
      </c>
      <c r="V51" s="91" t="str">
        <f>IF('Bypass Summary'!$O$4=2, I51, IF('Bypass Summary'!$O$4=1, K51))</f>
        <v>xx</v>
      </c>
      <c r="W51" s="91" t="e">
        <f>IF('Bypass Summary'!$O$4=2, S51, IF('Bypass Summary'!$O$4=1, N51))</f>
        <v>#VALUE!</v>
      </c>
      <c r="X51" s="91" t="e">
        <f>IF('Bypass Summary'!$O$4=2, T51, IF('Bypass Summary'!$O$4=1, O51))</f>
        <v>#VALUE!</v>
      </c>
      <c r="Y51" s="91">
        <f>IF('Bypass Summary'!$O$4=2, U51, IF('Bypass Summary'!$O$4=1, P51))</f>
        <v>5</v>
      </c>
      <c r="Z51" t="s">
        <v>399</v>
      </c>
    </row>
    <row r="52" spans="1:26" x14ac:dyDescent="0.25">
      <c r="A52" s="16" t="s">
        <v>42</v>
      </c>
      <c r="B52" s="2" t="s">
        <v>43</v>
      </c>
      <c r="C52" s="42">
        <v>232</v>
      </c>
      <c r="D52" s="42" t="s">
        <v>826</v>
      </c>
      <c r="E52" s="94">
        <v>1.9E-2</v>
      </c>
      <c r="F52" s="94">
        <v>8.5000000000000006E-2</v>
      </c>
      <c r="G52" s="42">
        <v>48</v>
      </c>
      <c r="H52" s="42" t="s">
        <v>248</v>
      </c>
      <c r="I52">
        <v>60</v>
      </c>
      <c r="J52" s="9" t="str">
        <f t="shared" si="2"/>
        <v>RDZ</v>
      </c>
      <c r="K52" s="106">
        <v>4</v>
      </c>
      <c r="L52" s="9">
        <v>2</v>
      </c>
      <c r="M52" s="9">
        <v>7</v>
      </c>
      <c r="N52" s="9">
        <f t="shared" si="3"/>
        <v>2</v>
      </c>
      <c r="O52" s="9">
        <f t="shared" si="4"/>
        <v>3</v>
      </c>
      <c r="P52" s="9">
        <v>5</v>
      </c>
      <c r="Q52">
        <v>45.269579999999998</v>
      </c>
      <c r="R52">
        <v>74.230099999999993</v>
      </c>
      <c r="S52">
        <f t="shared" si="5"/>
        <v>14.730420000000002</v>
      </c>
      <c r="T52" s="107">
        <f t="shared" si="6"/>
        <v>14.230099999999993</v>
      </c>
      <c r="U52" s="107">
        <v>80</v>
      </c>
      <c r="V52" s="91">
        <f>IF('Bypass Summary'!$O$4=2, I52, IF('Bypass Summary'!$O$4=1, K52))</f>
        <v>4</v>
      </c>
      <c r="W52" s="91">
        <f>IF('Bypass Summary'!$O$4=2, S52, IF('Bypass Summary'!$O$4=1, N52))</f>
        <v>2</v>
      </c>
      <c r="X52" s="91">
        <f>IF('Bypass Summary'!$O$4=2, T52, IF('Bypass Summary'!$O$4=1, O52))</f>
        <v>3</v>
      </c>
      <c r="Y52" s="91">
        <f>IF('Bypass Summary'!$O$4=2, U52, IF('Bypass Summary'!$O$4=1, P52))</f>
        <v>5</v>
      </c>
      <c r="Z52" s="124">
        <v>0.6</v>
      </c>
    </row>
    <row r="53" spans="1:26" x14ac:dyDescent="0.25">
      <c r="A53" s="16" t="s">
        <v>111</v>
      </c>
      <c r="B53" s="2" t="s">
        <v>112</v>
      </c>
      <c r="C53" s="42">
        <v>15</v>
      </c>
      <c r="D53" s="42" t="s">
        <v>827</v>
      </c>
      <c r="E53" s="94">
        <v>7.9000000000000001E-2</v>
      </c>
      <c r="F53" s="94">
        <v>0</v>
      </c>
      <c r="G53" s="42">
        <v>1</v>
      </c>
      <c r="H53" s="42" t="s">
        <v>399</v>
      </c>
      <c r="I53" t="s">
        <v>384</v>
      </c>
      <c r="J53" s="9" t="str">
        <f t="shared" si="2"/>
        <v>RT3</v>
      </c>
      <c r="K53" s="9" t="s">
        <v>399</v>
      </c>
      <c r="L53" s="9" t="s">
        <v>399</v>
      </c>
      <c r="M53" s="9" t="s">
        <v>399</v>
      </c>
      <c r="N53" s="9" t="e">
        <f t="shared" si="3"/>
        <v>#VALUE!</v>
      </c>
      <c r="O53" s="9" t="e">
        <f t="shared" si="4"/>
        <v>#VALUE!</v>
      </c>
      <c r="P53" s="9">
        <v>5</v>
      </c>
      <c r="Q53" t="e">
        <v>#VALUE!</v>
      </c>
      <c r="R53" t="e">
        <v>#VALUE!</v>
      </c>
      <c r="S53" t="e">
        <f t="shared" si="5"/>
        <v>#VALUE!</v>
      </c>
      <c r="T53" s="107" t="e">
        <f t="shared" si="6"/>
        <v>#VALUE!</v>
      </c>
      <c r="U53" s="107">
        <v>80</v>
      </c>
      <c r="V53" s="91" t="str">
        <f>IF('Bypass Summary'!$O$4=2, I53, IF('Bypass Summary'!$O$4=1, K53))</f>
        <v>xx</v>
      </c>
      <c r="W53" s="91" t="e">
        <f>IF('Bypass Summary'!$O$4=2, S53, IF('Bypass Summary'!$O$4=1, N53))</f>
        <v>#VALUE!</v>
      </c>
      <c r="X53" s="91" t="e">
        <f>IF('Bypass Summary'!$O$4=2, T53, IF('Bypass Summary'!$O$4=1, O53))</f>
        <v>#VALUE!</v>
      </c>
      <c r="Y53" s="91">
        <f>IF('Bypass Summary'!$O$4=2, U53, IF('Bypass Summary'!$O$4=1, P53))</f>
        <v>5</v>
      </c>
      <c r="Z53" t="s">
        <v>399</v>
      </c>
    </row>
    <row r="54" spans="1:26" x14ac:dyDescent="0.25">
      <c r="A54" s="16" t="s">
        <v>44</v>
      </c>
      <c r="B54" s="2" t="s">
        <v>45</v>
      </c>
      <c r="C54" s="42">
        <v>226</v>
      </c>
      <c r="D54" s="42" t="s">
        <v>258</v>
      </c>
      <c r="E54" s="94">
        <v>1.7999999999999999E-2</v>
      </c>
      <c r="F54" s="94">
        <v>0.17199999999999999</v>
      </c>
      <c r="G54" s="42">
        <v>48</v>
      </c>
      <c r="H54" s="42" t="s">
        <v>233</v>
      </c>
      <c r="I54">
        <v>65</v>
      </c>
      <c r="J54" s="9" t="str">
        <f t="shared" si="2"/>
        <v>REF</v>
      </c>
      <c r="K54" s="106">
        <v>3</v>
      </c>
      <c r="L54" s="9">
        <v>2</v>
      </c>
      <c r="M54" s="9">
        <v>6</v>
      </c>
      <c r="N54" s="9">
        <f t="shared" si="3"/>
        <v>1</v>
      </c>
      <c r="O54" s="9">
        <f t="shared" si="4"/>
        <v>3</v>
      </c>
      <c r="P54" s="9">
        <v>5</v>
      </c>
      <c r="Q54">
        <v>49.456830000000004</v>
      </c>
      <c r="R54">
        <v>77.839399999999998</v>
      </c>
      <c r="S54">
        <f t="shared" si="5"/>
        <v>15.543169999999996</v>
      </c>
      <c r="T54" s="107">
        <f t="shared" si="6"/>
        <v>12.839399999999998</v>
      </c>
      <c r="U54" s="107">
        <v>80</v>
      </c>
      <c r="V54" s="91">
        <f>IF('Bypass Summary'!$O$4=2, I54, IF('Bypass Summary'!$O$4=1, K54))</f>
        <v>3</v>
      </c>
      <c r="W54" s="91">
        <f>IF('Bypass Summary'!$O$4=2, S54, IF('Bypass Summary'!$O$4=1, N54))</f>
        <v>1</v>
      </c>
      <c r="X54" s="91">
        <f>IF('Bypass Summary'!$O$4=2, T54, IF('Bypass Summary'!$O$4=1, O54))</f>
        <v>3</v>
      </c>
      <c r="Y54" s="91">
        <f>IF('Bypass Summary'!$O$4=2, U54, IF('Bypass Summary'!$O$4=1, P54))</f>
        <v>5</v>
      </c>
      <c r="Z54" s="124">
        <v>0.65</v>
      </c>
    </row>
    <row r="55" spans="1:26" x14ac:dyDescent="0.25">
      <c r="A55" s="16" t="s">
        <v>56</v>
      </c>
      <c r="B55" s="2" t="s">
        <v>57</v>
      </c>
      <c r="C55" s="42">
        <v>200</v>
      </c>
      <c r="D55" s="42" t="s">
        <v>223</v>
      </c>
      <c r="E55" s="94">
        <v>1.2999999999999999E-2</v>
      </c>
      <c r="F55" s="94">
        <v>0.128</v>
      </c>
      <c r="G55" s="42">
        <v>44</v>
      </c>
      <c r="H55" s="42" t="s">
        <v>318</v>
      </c>
      <c r="I55">
        <v>59</v>
      </c>
      <c r="J55" s="9" t="str">
        <f t="shared" si="2"/>
        <v>RH8</v>
      </c>
      <c r="K55" s="106">
        <v>5</v>
      </c>
      <c r="L55" s="9">
        <v>2</v>
      </c>
      <c r="M55" s="9">
        <v>8</v>
      </c>
      <c r="N55" s="9">
        <f t="shared" si="3"/>
        <v>3</v>
      </c>
      <c r="O55" s="9">
        <f t="shared" si="4"/>
        <v>3</v>
      </c>
      <c r="P55" s="9">
        <v>5</v>
      </c>
      <c r="Q55">
        <v>43.249639999999999</v>
      </c>
      <c r="R55">
        <v>73.662050000000008</v>
      </c>
      <c r="S55">
        <f t="shared" si="5"/>
        <v>15.750360000000001</v>
      </c>
      <c r="T55" s="107">
        <f t="shared" si="6"/>
        <v>14.662050000000008</v>
      </c>
      <c r="U55" s="107">
        <v>80</v>
      </c>
      <c r="V55" s="91">
        <f>IF('Bypass Summary'!$O$4=2, I55, IF('Bypass Summary'!$O$4=1, K55))</f>
        <v>5</v>
      </c>
      <c r="W55" s="91">
        <f>IF('Bypass Summary'!$O$4=2, S55, IF('Bypass Summary'!$O$4=1, N55))</f>
        <v>3</v>
      </c>
      <c r="X55" s="91">
        <f>IF('Bypass Summary'!$O$4=2, T55, IF('Bypass Summary'!$O$4=1, O55))</f>
        <v>3</v>
      </c>
      <c r="Y55" s="91">
        <f>IF('Bypass Summary'!$O$4=2, U55, IF('Bypass Summary'!$O$4=1, P55))</f>
        <v>5</v>
      </c>
      <c r="Z55" s="124">
        <v>0.59</v>
      </c>
    </row>
    <row r="56" spans="1:26" x14ac:dyDescent="0.25">
      <c r="A56" s="16" t="s">
        <v>23</v>
      </c>
      <c r="B56" s="2" t="s">
        <v>24</v>
      </c>
      <c r="C56" s="42">
        <v>218</v>
      </c>
      <c r="D56" s="42" t="s">
        <v>828</v>
      </c>
      <c r="E56" s="94">
        <v>3.4000000000000002E-2</v>
      </c>
      <c r="F56" s="94">
        <v>0.109</v>
      </c>
      <c r="G56" s="42">
        <v>43</v>
      </c>
      <c r="H56" s="42" t="s">
        <v>829</v>
      </c>
      <c r="I56">
        <v>42</v>
      </c>
      <c r="J56" s="9" t="str">
        <f t="shared" si="2"/>
        <v>RAL</v>
      </c>
      <c r="K56" s="106">
        <v>6</v>
      </c>
      <c r="L56" s="9">
        <v>2</v>
      </c>
      <c r="M56" s="9">
        <v>8</v>
      </c>
      <c r="N56" s="9">
        <f t="shared" si="3"/>
        <v>4</v>
      </c>
      <c r="O56" s="9">
        <f t="shared" si="4"/>
        <v>2</v>
      </c>
      <c r="P56" s="9">
        <v>5</v>
      </c>
      <c r="Q56">
        <v>27.011410000000001</v>
      </c>
      <c r="R56">
        <v>57.873039999999996</v>
      </c>
      <c r="S56">
        <f t="shared" si="5"/>
        <v>14.988589999999999</v>
      </c>
      <c r="T56" s="107">
        <f t="shared" si="6"/>
        <v>15.873039999999996</v>
      </c>
      <c r="U56" s="107">
        <v>80</v>
      </c>
      <c r="V56" s="91">
        <f>IF('Bypass Summary'!$O$4=2, I56, IF('Bypass Summary'!$O$4=1, K56))</f>
        <v>6</v>
      </c>
      <c r="W56" s="91">
        <f>IF('Bypass Summary'!$O$4=2, S56, IF('Bypass Summary'!$O$4=1, N56))</f>
        <v>4</v>
      </c>
      <c r="X56" s="91">
        <f>IF('Bypass Summary'!$O$4=2, T56, IF('Bypass Summary'!$O$4=1, O56))</f>
        <v>2</v>
      </c>
      <c r="Y56" s="91">
        <f>IF('Bypass Summary'!$O$4=2, U56, IF('Bypass Summary'!$O$4=1, P56))</f>
        <v>5</v>
      </c>
      <c r="Z56" s="124">
        <v>0.42</v>
      </c>
    </row>
    <row r="57" spans="1:26" x14ac:dyDescent="0.25">
      <c r="A57" s="16" t="s">
        <v>60</v>
      </c>
      <c r="B57" s="2" t="s">
        <v>61</v>
      </c>
      <c r="C57" s="42">
        <v>144</v>
      </c>
      <c r="D57" s="42" t="s">
        <v>274</v>
      </c>
      <c r="E57" s="94">
        <v>2.3E-2</v>
      </c>
      <c r="F57" s="94">
        <v>0.13500000000000001</v>
      </c>
      <c r="G57" s="42">
        <v>52</v>
      </c>
      <c r="H57" s="42" t="s">
        <v>375</v>
      </c>
      <c r="I57">
        <v>44</v>
      </c>
      <c r="J57" s="9" t="str">
        <f t="shared" si="2"/>
        <v>RHQ</v>
      </c>
      <c r="K57" s="106">
        <v>6</v>
      </c>
      <c r="L57" s="9">
        <v>2</v>
      </c>
      <c r="M57" s="9">
        <v>10</v>
      </c>
      <c r="N57" s="9">
        <f t="shared" si="3"/>
        <v>4</v>
      </c>
      <c r="O57" s="9">
        <f t="shared" si="4"/>
        <v>4</v>
      </c>
      <c r="P57" s="9">
        <v>5</v>
      </c>
      <c r="Q57">
        <v>30.469560000000001</v>
      </c>
      <c r="R57">
        <v>58.672449999999998</v>
      </c>
      <c r="S57">
        <f t="shared" si="5"/>
        <v>13.530439999999999</v>
      </c>
      <c r="T57" s="107">
        <f t="shared" si="6"/>
        <v>14.672449999999998</v>
      </c>
      <c r="U57" s="107">
        <v>80</v>
      </c>
      <c r="V57" s="91">
        <f>IF('Bypass Summary'!$O$4=2, I57, IF('Bypass Summary'!$O$4=1, K57))</f>
        <v>6</v>
      </c>
      <c r="W57" s="91">
        <f>IF('Bypass Summary'!$O$4=2, S57, IF('Bypass Summary'!$O$4=1, N57))</f>
        <v>4</v>
      </c>
      <c r="X57" s="91">
        <f>IF('Bypass Summary'!$O$4=2, T57, IF('Bypass Summary'!$O$4=1, O57))</f>
        <v>4</v>
      </c>
      <c r="Y57" s="91">
        <f>IF('Bypass Summary'!$O$4=2, U57, IF('Bypass Summary'!$O$4=1, P57))</f>
        <v>5</v>
      </c>
      <c r="Z57" s="124">
        <v>0.44</v>
      </c>
    </row>
    <row r="58" spans="1:26" x14ac:dyDescent="0.25">
      <c r="A58" s="16" t="s">
        <v>156</v>
      </c>
      <c r="B58" s="2" t="s">
        <v>157</v>
      </c>
      <c r="C58" s="42">
        <v>282</v>
      </c>
      <c r="D58" s="42" t="s">
        <v>282</v>
      </c>
      <c r="E58" s="94">
        <v>2.5000000000000001E-2</v>
      </c>
      <c r="F58" s="94">
        <v>0.13400000000000001</v>
      </c>
      <c r="G58" s="42">
        <v>52</v>
      </c>
      <c r="H58" s="42" t="s">
        <v>233</v>
      </c>
      <c r="I58">
        <v>69</v>
      </c>
      <c r="J58" s="9" t="str">
        <f t="shared" si="2"/>
        <v>RXW</v>
      </c>
      <c r="K58" s="106">
        <v>3</v>
      </c>
      <c r="L58" s="9">
        <v>2</v>
      </c>
      <c r="M58" s="9">
        <v>6</v>
      </c>
      <c r="N58" s="9">
        <f t="shared" si="3"/>
        <v>1</v>
      </c>
      <c r="O58" s="9">
        <f t="shared" si="4"/>
        <v>3</v>
      </c>
      <c r="P58" s="9">
        <v>5</v>
      </c>
      <c r="Q58">
        <v>54.897600000000004</v>
      </c>
      <c r="R58">
        <v>81.282659999999993</v>
      </c>
      <c r="S58">
        <f t="shared" si="5"/>
        <v>14.102399999999996</v>
      </c>
      <c r="T58" s="107">
        <f t="shared" si="6"/>
        <v>12.282659999999993</v>
      </c>
      <c r="U58" s="107">
        <v>80</v>
      </c>
      <c r="V58" s="91">
        <f>IF('Bypass Summary'!$O$4=2, I58, IF('Bypass Summary'!$O$4=1, K58))</f>
        <v>3</v>
      </c>
      <c r="W58" s="91">
        <f>IF('Bypass Summary'!$O$4=2, S58, IF('Bypass Summary'!$O$4=1, N58))</f>
        <v>1</v>
      </c>
      <c r="X58" s="91">
        <f>IF('Bypass Summary'!$O$4=2, T58, IF('Bypass Summary'!$O$4=1, O58))</f>
        <v>3</v>
      </c>
      <c r="Y58" s="91">
        <f>IF('Bypass Summary'!$O$4=2, U58, IF('Bypass Summary'!$O$4=1, P58))</f>
        <v>5</v>
      </c>
      <c r="Z58" s="124">
        <v>0.69</v>
      </c>
    </row>
    <row r="59" spans="1:26" x14ac:dyDescent="0.25">
      <c r="A59" s="16" t="s">
        <v>122</v>
      </c>
      <c r="B59" s="2" t="s">
        <v>123</v>
      </c>
      <c r="C59" s="42">
        <v>150</v>
      </c>
      <c r="D59" s="42" t="s">
        <v>272</v>
      </c>
      <c r="E59" s="94">
        <v>1.4999999999999999E-2</v>
      </c>
      <c r="F59" s="94">
        <v>0.11</v>
      </c>
      <c r="G59" s="42">
        <v>48</v>
      </c>
      <c r="H59" s="42" t="s">
        <v>249</v>
      </c>
      <c r="I59">
        <v>58</v>
      </c>
      <c r="J59" s="9" t="str">
        <f t="shared" si="2"/>
        <v>RTR</v>
      </c>
      <c r="K59" s="106">
        <v>5</v>
      </c>
      <c r="L59" s="9">
        <v>1</v>
      </c>
      <c r="M59" s="9">
        <v>8</v>
      </c>
      <c r="N59" s="9">
        <f t="shared" si="3"/>
        <v>4</v>
      </c>
      <c r="O59" s="9">
        <f t="shared" si="4"/>
        <v>3</v>
      </c>
      <c r="P59" s="9">
        <v>5</v>
      </c>
      <c r="Q59">
        <v>43.213169999999998</v>
      </c>
      <c r="R59">
        <v>72.387259999999998</v>
      </c>
      <c r="S59">
        <f t="shared" si="5"/>
        <v>14.786830000000002</v>
      </c>
      <c r="T59" s="107">
        <f t="shared" si="6"/>
        <v>14.387259999999998</v>
      </c>
      <c r="U59" s="107">
        <v>80</v>
      </c>
      <c r="V59" s="91">
        <f>IF('Bypass Summary'!$O$4=2, I59, IF('Bypass Summary'!$O$4=1, K59))</f>
        <v>5</v>
      </c>
      <c r="W59" s="91">
        <f>IF('Bypass Summary'!$O$4=2, S59, IF('Bypass Summary'!$O$4=1, N59))</f>
        <v>4</v>
      </c>
      <c r="X59" s="91">
        <f>IF('Bypass Summary'!$O$4=2, T59, IF('Bypass Summary'!$O$4=1, O59))</f>
        <v>3</v>
      </c>
      <c r="Y59" s="91">
        <f>IF('Bypass Summary'!$O$4=2, U59, IF('Bypass Summary'!$O$4=1, P59))</f>
        <v>5</v>
      </c>
      <c r="Z59" s="124">
        <v>0.57999999999999996</v>
      </c>
    </row>
    <row r="60" spans="1:26" x14ac:dyDescent="0.25">
      <c r="A60" s="16" t="s">
        <v>21</v>
      </c>
      <c r="B60" s="2" t="s">
        <v>22</v>
      </c>
      <c r="C60" s="42">
        <v>196</v>
      </c>
      <c r="D60" s="42" t="s">
        <v>830</v>
      </c>
      <c r="E60" s="94">
        <v>2.3E-2</v>
      </c>
      <c r="F60" s="94">
        <v>0.1</v>
      </c>
      <c r="G60" s="42">
        <v>46</v>
      </c>
      <c r="H60" s="42" t="s">
        <v>807</v>
      </c>
      <c r="I60">
        <v>46</v>
      </c>
      <c r="J60" s="9" t="str">
        <f t="shared" si="2"/>
        <v>RAJ</v>
      </c>
      <c r="K60" s="106">
        <v>6</v>
      </c>
      <c r="L60" s="9">
        <v>2</v>
      </c>
      <c r="M60" s="9">
        <v>9</v>
      </c>
      <c r="N60" s="9">
        <f t="shared" si="3"/>
        <v>4</v>
      </c>
      <c r="O60" s="9">
        <f t="shared" si="4"/>
        <v>3</v>
      </c>
      <c r="P60" s="9">
        <v>5</v>
      </c>
      <c r="Q60">
        <v>30.897950000000002</v>
      </c>
      <c r="R60">
        <v>60.986629999999998</v>
      </c>
      <c r="S60">
        <f t="shared" si="5"/>
        <v>15.102049999999998</v>
      </c>
      <c r="T60" s="107">
        <f t="shared" si="6"/>
        <v>14.986629999999998</v>
      </c>
      <c r="U60" s="107">
        <v>80</v>
      </c>
      <c r="V60" s="91">
        <f>IF('Bypass Summary'!$O$4=2, I60, IF('Bypass Summary'!$O$4=1, K60))</f>
        <v>6</v>
      </c>
      <c r="W60" s="91">
        <f>IF('Bypass Summary'!$O$4=2, S60, IF('Bypass Summary'!$O$4=1, N60))</f>
        <v>4</v>
      </c>
      <c r="X60" s="91">
        <f>IF('Bypass Summary'!$O$4=2, T60, IF('Bypass Summary'!$O$4=1, O60))</f>
        <v>3</v>
      </c>
      <c r="Y60" s="91">
        <f>IF('Bypass Summary'!$O$4=2, U60, IF('Bypass Summary'!$O$4=1, P60))</f>
        <v>5</v>
      </c>
      <c r="Z60" s="124">
        <v>0.46</v>
      </c>
    </row>
    <row r="61" spans="1:26" x14ac:dyDescent="0.25">
      <c r="A61" s="16" t="s">
        <v>68</v>
      </c>
      <c r="B61" s="2" t="s">
        <v>69</v>
      </c>
      <c r="C61" s="42">
        <v>210</v>
      </c>
      <c r="D61" s="42" t="s">
        <v>274</v>
      </c>
      <c r="E61" s="94">
        <v>1.6E-2</v>
      </c>
      <c r="F61" s="94">
        <v>0.121</v>
      </c>
      <c r="G61" s="42">
        <v>55</v>
      </c>
      <c r="H61" s="42" t="s">
        <v>831</v>
      </c>
      <c r="I61">
        <v>38</v>
      </c>
      <c r="J61" s="9" t="str">
        <f t="shared" si="2"/>
        <v>RJ7</v>
      </c>
      <c r="K61" s="106">
        <v>7</v>
      </c>
      <c r="L61" s="9">
        <v>4</v>
      </c>
      <c r="M61" s="9">
        <v>10</v>
      </c>
      <c r="N61" s="9">
        <f t="shared" si="3"/>
        <v>3</v>
      </c>
      <c r="O61" s="9">
        <f t="shared" si="4"/>
        <v>3</v>
      </c>
      <c r="P61" s="9">
        <v>5</v>
      </c>
      <c r="Q61">
        <v>25.409169999999996</v>
      </c>
      <c r="R61">
        <v>52.273769999999999</v>
      </c>
      <c r="S61">
        <f t="shared" si="5"/>
        <v>12.590830000000004</v>
      </c>
      <c r="T61" s="107">
        <f t="shared" si="6"/>
        <v>14.273769999999999</v>
      </c>
      <c r="U61" s="107">
        <v>80</v>
      </c>
      <c r="V61" s="91">
        <f>IF('Bypass Summary'!$O$4=2, I61, IF('Bypass Summary'!$O$4=1, K61))</f>
        <v>7</v>
      </c>
      <c r="W61" s="91">
        <f>IF('Bypass Summary'!$O$4=2, S61, IF('Bypass Summary'!$O$4=1, N61))</f>
        <v>3</v>
      </c>
      <c r="X61" s="91">
        <f>IF('Bypass Summary'!$O$4=2, T61, IF('Bypass Summary'!$O$4=1, O61))</f>
        <v>3</v>
      </c>
      <c r="Y61" s="91">
        <f>IF('Bypass Summary'!$O$4=2, U61, IF('Bypass Summary'!$O$4=1, P61))</f>
        <v>5</v>
      </c>
      <c r="Z61" s="124">
        <v>0.38</v>
      </c>
    </row>
    <row r="62" spans="1:26" x14ac:dyDescent="0.25">
      <c r="A62" s="16" t="s">
        <v>4</v>
      </c>
      <c r="B62" s="2" t="s">
        <v>213</v>
      </c>
      <c r="C62" s="42">
        <v>340</v>
      </c>
      <c r="D62" s="42" t="s">
        <v>257</v>
      </c>
      <c r="E62" s="94">
        <v>0.02</v>
      </c>
      <c r="F62" s="94">
        <v>0.127</v>
      </c>
      <c r="G62" s="42">
        <v>174</v>
      </c>
      <c r="H62" s="42" t="s">
        <v>372</v>
      </c>
      <c r="I62">
        <v>37</v>
      </c>
      <c r="J62" s="9" t="str">
        <f t="shared" si="2"/>
        <v>7A3</v>
      </c>
      <c r="K62" s="106">
        <v>7</v>
      </c>
      <c r="L62" s="9">
        <v>4</v>
      </c>
      <c r="M62" s="9">
        <v>11</v>
      </c>
      <c r="N62" s="9">
        <f t="shared" si="3"/>
        <v>3</v>
      </c>
      <c r="O62" s="9">
        <f t="shared" si="4"/>
        <v>4</v>
      </c>
      <c r="P62" s="9">
        <v>5</v>
      </c>
      <c r="Q62">
        <v>29.611080000000001</v>
      </c>
      <c r="R62">
        <v>44.41086</v>
      </c>
      <c r="S62">
        <f t="shared" si="5"/>
        <v>7.3889199999999988</v>
      </c>
      <c r="T62" s="107">
        <f t="shared" si="6"/>
        <v>7.4108599999999996</v>
      </c>
      <c r="U62" s="107">
        <v>80</v>
      </c>
      <c r="V62" s="91">
        <f>IF('Bypass Summary'!$O$4=2, I62, IF('Bypass Summary'!$O$4=1, K62))</f>
        <v>7</v>
      </c>
      <c r="W62" s="91">
        <f>IF('Bypass Summary'!$O$4=2, S62, IF('Bypass Summary'!$O$4=1, N62))</f>
        <v>3</v>
      </c>
      <c r="X62" s="91">
        <f>IF('Bypass Summary'!$O$4=2, T62, IF('Bypass Summary'!$O$4=1, O62))</f>
        <v>4</v>
      </c>
      <c r="Y62" s="91">
        <f>IF('Bypass Summary'!$O$4=2, U62, IF('Bypass Summary'!$O$4=1, P62))</f>
        <v>5</v>
      </c>
      <c r="Z62" s="124">
        <v>0.37</v>
      </c>
    </row>
    <row r="63" spans="1:26" x14ac:dyDescent="0.25">
      <c r="A63" s="16" t="s">
        <v>25</v>
      </c>
      <c r="B63" s="2" t="s">
        <v>26</v>
      </c>
      <c r="C63" s="42">
        <v>433</v>
      </c>
      <c r="D63" s="42" t="s">
        <v>263</v>
      </c>
      <c r="E63" s="94">
        <v>1.0999999999999999E-2</v>
      </c>
      <c r="F63" s="94">
        <v>0.113</v>
      </c>
      <c r="G63" s="42">
        <v>79</v>
      </c>
      <c r="H63" s="42" t="s">
        <v>376</v>
      </c>
      <c r="I63">
        <v>66</v>
      </c>
      <c r="J63" s="9" t="str">
        <f t="shared" si="2"/>
        <v>RBA</v>
      </c>
      <c r="K63" s="106">
        <v>4</v>
      </c>
      <c r="L63" s="9">
        <v>1</v>
      </c>
      <c r="M63" s="9">
        <v>7</v>
      </c>
      <c r="N63" s="9">
        <f t="shared" si="3"/>
        <v>3</v>
      </c>
      <c r="O63" s="9">
        <f t="shared" si="4"/>
        <v>3</v>
      </c>
      <c r="P63" s="9">
        <v>5</v>
      </c>
      <c r="Q63">
        <v>54.290059999999997</v>
      </c>
      <c r="R63">
        <v>76.1297</v>
      </c>
      <c r="S63">
        <f t="shared" si="5"/>
        <v>11.709940000000003</v>
      </c>
      <c r="T63" s="107">
        <f t="shared" si="6"/>
        <v>10.1297</v>
      </c>
      <c r="U63" s="107">
        <v>80</v>
      </c>
      <c r="V63" s="91">
        <f>IF('Bypass Summary'!$O$4=2, I63, IF('Bypass Summary'!$O$4=1, K63))</f>
        <v>4</v>
      </c>
      <c r="W63" s="91">
        <f>IF('Bypass Summary'!$O$4=2, S63, IF('Bypass Summary'!$O$4=1, N63))</f>
        <v>3</v>
      </c>
      <c r="X63" s="91">
        <f>IF('Bypass Summary'!$O$4=2, T63, IF('Bypass Summary'!$O$4=1, O63))</f>
        <v>3</v>
      </c>
      <c r="Y63" s="91">
        <f>IF('Bypass Summary'!$O$4=2, U63, IF('Bypass Summary'!$O$4=1, P63))</f>
        <v>5</v>
      </c>
      <c r="Z63" s="124">
        <v>0.66</v>
      </c>
    </row>
    <row r="64" spans="1:26" x14ac:dyDescent="0.25">
      <c r="A64" s="16" t="s">
        <v>87</v>
      </c>
      <c r="B64" s="2" t="s">
        <v>88</v>
      </c>
      <c r="C64" s="42">
        <v>515</v>
      </c>
      <c r="D64" s="42" t="s">
        <v>271</v>
      </c>
      <c r="E64" s="94">
        <v>2.3E-2</v>
      </c>
      <c r="F64" s="94">
        <v>9.6000000000000002E-2</v>
      </c>
      <c r="G64" s="42">
        <v>161</v>
      </c>
      <c r="H64" s="42" t="s">
        <v>376</v>
      </c>
      <c r="I64">
        <v>61</v>
      </c>
      <c r="J64" s="9" t="str">
        <f t="shared" si="2"/>
        <v>RNA</v>
      </c>
      <c r="K64" s="106">
        <v>4</v>
      </c>
      <c r="L64" s="9">
        <v>1</v>
      </c>
      <c r="M64" s="9">
        <v>7</v>
      </c>
      <c r="N64" s="9">
        <f t="shared" si="3"/>
        <v>3</v>
      </c>
      <c r="O64" s="9">
        <f t="shared" si="4"/>
        <v>3</v>
      </c>
      <c r="P64" s="9">
        <v>5</v>
      </c>
      <c r="Q64">
        <v>52.876860000000001</v>
      </c>
      <c r="R64">
        <v>68.454360000000008</v>
      </c>
      <c r="S64">
        <f t="shared" si="5"/>
        <v>8.1231399999999994</v>
      </c>
      <c r="T64" s="107">
        <f t="shared" si="6"/>
        <v>7.4543600000000083</v>
      </c>
      <c r="U64" s="107">
        <v>80</v>
      </c>
      <c r="V64" s="91">
        <f>IF('Bypass Summary'!$O$4=2, I64, IF('Bypass Summary'!$O$4=1, K64))</f>
        <v>4</v>
      </c>
      <c r="W64" s="91">
        <f>IF('Bypass Summary'!$O$4=2, S64, IF('Bypass Summary'!$O$4=1, N64))</f>
        <v>3</v>
      </c>
      <c r="X64" s="91">
        <f>IF('Bypass Summary'!$O$4=2, T64, IF('Bypass Summary'!$O$4=1, O64))</f>
        <v>3</v>
      </c>
      <c r="Y64" s="91">
        <f>IF('Bypass Summary'!$O$4=2, U64, IF('Bypass Summary'!$O$4=1, P64))</f>
        <v>5</v>
      </c>
      <c r="Z64" s="124">
        <v>0.61</v>
      </c>
    </row>
    <row r="65" spans="1:26" x14ac:dyDescent="0.25">
      <c r="A65" s="16" t="s">
        <v>17</v>
      </c>
      <c r="B65" s="2" t="s">
        <v>18</v>
      </c>
      <c r="C65" s="42">
        <v>69</v>
      </c>
      <c r="D65" s="42" t="s">
        <v>226</v>
      </c>
      <c r="E65" s="94">
        <v>0</v>
      </c>
      <c r="F65" s="94">
        <v>0.14499999999999999</v>
      </c>
      <c r="G65" s="42">
        <v>8</v>
      </c>
      <c r="H65" s="42" t="s">
        <v>399</v>
      </c>
      <c r="I65" t="s">
        <v>384</v>
      </c>
      <c r="J65" s="9" t="str">
        <f t="shared" ref="J65:J77" si="7">A65</f>
        <v>RA9</v>
      </c>
      <c r="K65" s="9" t="s">
        <v>399</v>
      </c>
      <c r="L65" s="9" t="s">
        <v>399</v>
      </c>
      <c r="M65" s="9" t="s">
        <v>399</v>
      </c>
      <c r="N65" s="9" t="e">
        <f t="shared" si="3"/>
        <v>#VALUE!</v>
      </c>
      <c r="O65" s="9" t="e">
        <f t="shared" si="4"/>
        <v>#VALUE!</v>
      </c>
      <c r="P65" s="9">
        <v>5</v>
      </c>
      <c r="Q65" t="e">
        <v>#VALUE!</v>
      </c>
      <c r="R65" t="e">
        <v>#VALUE!</v>
      </c>
      <c r="S65" t="e">
        <f t="shared" si="5"/>
        <v>#VALUE!</v>
      </c>
      <c r="T65" s="107" t="e">
        <f t="shared" si="6"/>
        <v>#VALUE!</v>
      </c>
      <c r="U65" s="107">
        <v>80</v>
      </c>
      <c r="V65" s="91" t="str">
        <f>IF('Bypass Summary'!$O$4=2, I65, IF('Bypass Summary'!$O$4=1, K65))</f>
        <v>xx</v>
      </c>
      <c r="W65" s="91" t="e">
        <f>IF('Bypass Summary'!$O$4=2, S65, IF('Bypass Summary'!$O$4=1, N65))</f>
        <v>#VALUE!</v>
      </c>
      <c r="X65" s="91" t="e">
        <f>IF('Bypass Summary'!$O$4=2, T65, IF('Bypass Summary'!$O$4=1, O65))</f>
        <v>#VALUE!</v>
      </c>
      <c r="Y65" s="91">
        <f>IF('Bypass Summary'!$O$4=2, U65, IF('Bypass Summary'!$O$4=1, P65))</f>
        <v>5</v>
      </c>
      <c r="Z65" t="s">
        <v>399</v>
      </c>
    </row>
    <row r="66" spans="1:26" x14ac:dyDescent="0.25">
      <c r="A66" s="16" t="s">
        <v>132</v>
      </c>
      <c r="B66" s="2" t="s">
        <v>133</v>
      </c>
      <c r="C66" s="42">
        <v>177</v>
      </c>
      <c r="D66" s="42" t="s">
        <v>221</v>
      </c>
      <c r="E66" s="94">
        <v>1.7999999999999999E-2</v>
      </c>
      <c r="F66" s="94">
        <v>0.14699999999999999</v>
      </c>
      <c r="G66" s="42">
        <v>70</v>
      </c>
      <c r="H66" s="42" t="s">
        <v>832</v>
      </c>
      <c r="I66">
        <v>33</v>
      </c>
      <c r="J66" s="9" t="str">
        <f t="shared" si="7"/>
        <v>RWD</v>
      </c>
      <c r="K66" s="106">
        <v>8</v>
      </c>
      <c r="L66" s="9">
        <v>3</v>
      </c>
      <c r="M66" s="9">
        <v>14</v>
      </c>
      <c r="N66" s="9">
        <f t="shared" si="3"/>
        <v>5</v>
      </c>
      <c r="O66" s="9">
        <f t="shared" si="4"/>
        <v>6</v>
      </c>
      <c r="P66" s="9">
        <v>5</v>
      </c>
      <c r="Q66">
        <v>22.094939999999998</v>
      </c>
      <c r="R66">
        <v>45.12191</v>
      </c>
      <c r="S66">
        <f t="shared" ref="S66:S77" si="8">I66-Q66</f>
        <v>10.905060000000002</v>
      </c>
      <c r="T66" s="107">
        <f t="shared" ref="T66:T77" si="9">R66-I66</f>
        <v>12.12191</v>
      </c>
      <c r="U66" s="107">
        <v>80</v>
      </c>
      <c r="V66" s="91">
        <f>IF('Bypass Summary'!$O$4=2, I66, IF('Bypass Summary'!$O$4=1, K66))</f>
        <v>8</v>
      </c>
      <c r="W66" s="91">
        <f>IF('Bypass Summary'!$O$4=2, S66, IF('Bypass Summary'!$O$4=1, N66))</f>
        <v>5</v>
      </c>
      <c r="X66" s="91">
        <f>IF('Bypass Summary'!$O$4=2, T66, IF('Bypass Summary'!$O$4=1, O66))</f>
        <v>6</v>
      </c>
      <c r="Y66" s="91">
        <f>IF('Bypass Summary'!$O$4=2, U66, IF('Bypass Summary'!$O$4=1, P66))</f>
        <v>5</v>
      </c>
      <c r="Z66" s="124">
        <v>0.33</v>
      </c>
    </row>
    <row r="67" spans="1:26" x14ac:dyDescent="0.25">
      <c r="A67" s="16" t="s">
        <v>109</v>
      </c>
      <c r="B67" s="2" t="s">
        <v>110</v>
      </c>
      <c r="C67" s="42">
        <v>11</v>
      </c>
      <c r="D67" s="42" t="s">
        <v>239</v>
      </c>
      <c r="E67" s="94">
        <v>0</v>
      </c>
      <c r="F67" s="94">
        <v>0.2</v>
      </c>
      <c r="G67" s="42">
        <v>2</v>
      </c>
      <c r="H67" s="42" t="s">
        <v>399</v>
      </c>
      <c r="I67" t="s">
        <v>384</v>
      </c>
      <c r="J67" s="9" t="str">
        <f t="shared" si="7"/>
        <v>RRV</v>
      </c>
      <c r="K67" s="9" t="s">
        <v>399</v>
      </c>
      <c r="L67" s="9" t="s">
        <v>399</v>
      </c>
      <c r="M67" s="9" t="s">
        <v>399</v>
      </c>
      <c r="N67" s="9" t="e">
        <f t="shared" ref="N67:N77" si="10">K67-L67</f>
        <v>#VALUE!</v>
      </c>
      <c r="O67" s="9" t="e">
        <f t="shared" ref="O67:O77" si="11">M67-K67</f>
        <v>#VALUE!</v>
      </c>
      <c r="P67" s="9">
        <v>5</v>
      </c>
      <c r="Q67" t="e">
        <v>#VALUE!</v>
      </c>
      <c r="R67" t="e">
        <v>#VALUE!</v>
      </c>
      <c r="S67" t="e">
        <f t="shared" si="8"/>
        <v>#VALUE!</v>
      </c>
      <c r="T67" s="107" t="e">
        <f t="shared" si="9"/>
        <v>#VALUE!</v>
      </c>
      <c r="U67" s="107">
        <v>80</v>
      </c>
      <c r="V67" s="91" t="str">
        <f>IF('Bypass Summary'!$O$4=2, I67, IF('Bypass Summary'!$O$4=1, K67))</f>
        <v>xx</v>
      </c>
      <c r="W67" s="91" t="e">
        <f>IF('Bypass Summary'!$O$4=2, S67, IF('Bypass Summary'!$O$4=1, N67))</f>
        <v>#VALUE!</v>
      </c>
      <c r="X67" s="91" t="e">
        <f>IF('Bypass Summary'!$O$4=2, T67, IF('Bypass Summary'!$O$4=1, O67))</f>
        <v>#VALUE!</v>
      </c>
      <c r="Y67" s="91">
        <f>IF('Bypass Summary'!$O$4=2, U67, IF('Bypass Summary'!$O$4=1, P67))</f>
        <v>5</v>
      </c>
      <c r="Z67" t="s">
        <v>399</v>
      </c>
    </row>
    <row r="68" spans="1:26" x14ac:dyDescent="0.25">
      <c r="A68" s="16" t="s">
        <v>70</v>
      </c>
      <c r="B68" s="2" t="s">
        <v>71</v>
      </c>
      <c r="C68" s="42">
        <v>395</v>
      </c>
      <c r="D68" s="42" t="s">
        <v>270</v>
      </c>
      <c r="E68" s="94">
        <v>4.1000000000000002E-2</v>
      </c>
      <c r="F68" s="94">
        <v>0.23300000000000001</v>
      </c>
      <c r="G68" s="42">
        <v>82</v>
      </c>
      <c r="H68" s="42" t="s">
        <v>372</v>
      </c>
      <c r="I68">
        <v>35</v>
      </c>
      <c r="J68" s="9" t="str">
        <f t="shared" si="7"/>
        <v>RJE</v>
      </c>
      <c r="K68" s="106">
        <v>7</v>
      </c>
      <c r="L68" s="9">
        <v>4</v>
      </c>
      <c r="M68" s="9">
        <v>11</v>
      </c>
      <c r="N68" s="9">
        <f t="shared" si="10"/>
        <v>3</v>
      </c>
      <c r="O68" s="9">
        <f t="shared" si="11"/>
        <v>4</v>
      </c>
      <c r="P68" s="9">
        <v>5</v>
      </c>
      <c r="Q68">
        <v>25.118380000000002</v>
      </c>
      <c r="R68">
        <v>46.704369999999997</v>
      </c>
      <c r="S68">
        <f t="shared" si="8"/>
        <v>9.8816199999999981</v>
      </c>
      <c r="T68" s="107">
        <f t="shared" si="9"/>
        <v>11.704369999999997</v>
      </c>
      <c r="U68" s="107">
        <v>80</v>
      </c>
      <c r="V68" s="91">
        <f>IF('Bypass Summary'!$O$4=2, I68, IF('Bypass Summary'!$O$4=1, K68))</f>
        <v>7</v>
      </c>
      <c r="W68" s="91">
        <f>IF('Bypass Summary'!$O$4=2, S68, IF('Bypass Summary'!$O$4=1, N68))</f>
        <v>3</v>
      </c>
      <c r="X68" s="91">
        <f>IF('Bypass Summary'!$O$4=2, T68, IF('Bypass Summary'!$O$4=1, O68))</f>
        <v>4</v>
      </c>
      <c r="Y68" s="91">
        <f>IF('Bypass Summary'!$O$4=2, U68, IF('Bypass Summary'!$O$4=1, P68))</f>
        <v>5</v>
      </c>
      <c r="Z68" s="124">
        <v>0.35</v>
      </c>
    </row>
    <row r="69" spans="1:26" x14ac:dyDescent="0.25">
      <c r="A69" s="16" t="s">
        <v>58</v>
      </c>
      <c r="B69" s="2" t="s">
        <v>59</v>
      </c>
      <c r="C69" s="42">
        <v>386</v>
      </c>
      <c r="D69" s="42" t="s">
        <v>826</v>
      </c>
      <c r="E69" s="94">
        <v>1.7000000000000001E-2</v>
      </c>
      <c r="F69" s="94">
        <v>5.1999999999999998E-2</v>
      </c>
      <c r="G69" s="42">
        <v>54</v>
      </c>
      <c r="H69" s="42" t="s">
        <v>227</v>
      </c>
      <c r="I69">
        <v>56</v>
      </c>
      <c r="J69" s="9" t="str">
        <f t="shared" si="7"/>
        <v>RHM</v>
      </c>
      <c r="K69" s="106">
        <v>5</v>
      </c>
      <c r="L69" s="9">
        <v>3</v>
      </c>
      <c r="M69" s="9">
        <v>8</v>
      </c>
      <c r="N69" s="9">
        <f t="shared" si="10"/>
        <v>2</v>
      </c>
      <c r="O69" s="9">
        <f t="shared" si="11"/>
        <v>3</v>
      </c>
      <c r="P69" s="9">
        <v>5</v>
      </c>
      <c r="Q69">
        <v>41.400030000000001</v>
      </c>
      <c r="R69">
        <v>69.080349999999996</v>
      </c>
      <c r="S69">
        <f t="shared" si="8"/>
        <v>14.599969999999999</v>
      </c>
      <c r="T69" s="107">
        <f t="shared" si="9"/>
        <v>13.080349999999996</v>
      </c>
      <c r="U69" s="107">
        <v>80</v>
      </c>
      <c r="V69" s="91">
        <f>IF('Bypass Summary'!$O$4=2, I69, IF('Bypass Summary'!$O$4=1, K69))</f>
        <v>5</v>
      </c>
      <c r="W69" s="91">
        <f>IF('Bypass Summary'!$O$4=2, S69, IF('Bypass Summary'!$O$4=1, N69))</f>
        <v>2</v>
      </c>
      <c r="X69" s="91">
        <f>IF('Bypass Summary'!$O$4=2, T69, IF('Bypass Summary'!$O$4=1, O69))</f>
        <v>3</v>
      </c>
      <c r="Y69" s="91">
        <f>IF('Bypass Summary'!$O$4=2, U69, IF('Bypass Summary'!$O$4=1, P69))</f>
        <v>5</v>
      </c>
      <c r="Z69" s="124">
        <v>0.56000000000000005</v>
      </c>
    </row>
    <row r="70" spans="1:26" x14ac:dyDescent="0.25">
      <c r="A70" s="16" t="s">
        <v>107</v>
      </c>
      <c r="B70" s="2" t="s">
        <v>108</v>
      </c>
      <c r="C70" s="42">
        <v>551</v>
      </c>
      <c r="D70" s="42" t="s">
        <v>276</v>
      </c>
      <c r="E70" s="94">
        <v>2.3E-2</v>
      </c>
      <c r="F70" s="94">
        <v>9.8000000000000004E-2</v>
      </c>
      <c r="G70" s="42">
        <v>183</v>
      </c>
      <c r="H70" s="42" t="s">
        <v>380</v>
      </c>
      <c r="I70">
        <v>40</v>
      </c>
      <c r="J70" s="9" t="str">
        <f t="shared" si="7"/>
        <v>RRK</v>
      </c>
      <c r="K70" s="106">
        <v>7</v>
      </c>
      <c r="L70" s="9">
        <v>3</v>
      </c>
      <c r="M70" s="9">
        <v>10</v>
      </c>
      <c r="N70" s="9">
        <f t="shared" si="10"/>
        <v>4</v>
      </c>
      <c r="O70" s="9">
        <f t="shared" si="11"/>
        <v>3</v>
      </c>
      <c r="P70" s="9">
        <v>5</v>
      </c>
      <c r="Q70">
        <v>32.739350000000002</v>
      </c>
      <c r="R70">
        <v>47.375140000000002</v>
      </c>
      <c r="S70">
        <f t="shared" si="8"/>
        <v>7.2606499999999983</v>
      </c>
      <c r="T70" s="107">
        <f t="shared" si="9"/>
        <v>7.3751400000000018</v>
      </c>
      <c r="U70" s="107">
        <v>80</v>
      </c>
      <c r="V70" s="91">
        <f>IF('Bypass Summary'!$O$4=2, I70, IF('Bypass Summary'!$O$4=1, K70))</f>
        <v>7</v>
      </c>
      <c r="W70" s="91">
        <f>IF('Bypass Summary'!$O$4=2, S70, IF('Bypass Summary'!$O$4=1, N70))</f>
        <v>4</v>
      </c>
      <c r="X70" s="91">
        <f>IF('Bypass Summary'!$O$4=2, T70, IF('Bypass Summary'!$O$4=1, O70))</f>
        <v>3</v>
      </c>
      <c r="Y70" s="91">
        <f>IF('Bypass Summary'!$O$4=2, U70, IF('Bypass Summary'!$O$4=1, P70))</f>
        <v>5</v>
      </c>
      <c r="Z70" s="124">
        <v>0.4</v>
      </c>
    </row>
    <row r="71" spans="1:26" x14ac:dyDescent="0.25">
      <c r="A71" s="16" t="s">
        <v>77</v>
      </c>
      <c r="B71" s="2" t="s">
        <v>78</v>
      </c>
      <c r="C71" s="42">
        <v>230</v>
      </c>
      <c r="D71" s="42" t="s">
        <v>283</v>
      </c>
      <c r="E71" s="94">
        <v>2.3E-2</v>
      </c>
      <c r="F71" s="94">
        <v>0.13200000000000001</v>
      </c>
      <c r="G71" s="42">
        <v>87</v>
      </c>
      <c r="H71" s="42" t="s">
        <v>339</v>
      </c>
      <c r="I71">
        <v>40</v>
      </c>
      <c r="J71" s="9" t="str">
        <f t="shared" si="7"/>
        <v>RKB</v>
      </c>
      <c r="K71" s="106">
        <v>6</v>
      </c>
      <c r="L71" s="9">
        <v>3</v>
      </c>
      <c r="M71" s="9">
        <v>10</v>
      </c>
      <c r="N71" s="9">
        <f t="shared" si="10"/>
        <v>3</v>
      </c>
      <c r="O71" s="9">
        <f t="shared" si="11"/>
        <v>4</v>
      </c>
      <c r="P71" s="9">
        <v>5</v>
      </c>
      <c r="Q71">
        <v>29.851470000000003</v>
      </c>
      <c r="R71">
        <v>51.293109999999999</v>
      </c>
      <c r="S71">
        <f t="shared" si="8"/>
        <v>10.148529999999997</v>
      </c>
      <c r="T71" s="107">
        <f t="shared" si="9"/>
        <v>11.293109999999999</v>
      </c>
      <c r="U71" s="107">
        <v>80</v>
      </c>
      <c r="V71" s="91">
        <f>IF('Bypass Summary'!$O$4=2, I71, IF('Bypass Summary'!$O$4=1, K71))</f>
        <v>6</v>
      </c>
      <c r="W71" s="91">
        <f>IF('Bypass Summary'!$O$4=2, S71, IF('Bypass Summary'!$O$4=1, N71))</f>
        <v>3</v>
      </c>
      <c r="X71" s="91">
        <f>IF('Bypass Summary'!$O$4=2, T71, IF('Bypass Summary'!$O$4=1, O71))</f>
        <v>4</v>
      </c>
      <c r="Y71" s="91">
        <f>IF('Bypass Summary'!$O$4=2, U71, IF('Bypass Summary'!$O$4=1, P71))</f>
        <v>5</v>
      </c>
      <c r="Z71" s="124">
        <v>0.4</v>
      </c>
    </row>
    <row r="72" spans="1:26" x14ac:dyDescent="0.25">
      <c r="A72" s="16" t="s">
        <v>117</v>
      </c>
      <c r="B72" s="2" t="s">
        <v>400</v>
      </c>
      <c r="C72" s="42">
        <v>353</v>
      </c>
      <c r="D72" s="42" t="s">
        <v>273</v>
      </c>
      <c r="E72" s="94">
        <v>0.02</v>
      </c>
      <c r="F72" s="94">
        <v>0.104</v>
      </c>
      <c r="G72" s="42">
        <v>67</v>
      </c>
      <c r="H72" s="42" t="s">
        <v>380</v>
      </c>
      <c r="I72">
        <v>39</v>
      </c>
      <c r="J72" s="9" t="str">
        <f t="shared" si="7"/>
        <v>RTG</v>
      </c>
      <c r="K72" s="106">
        <v>7</v>
      </c>
      <c r="L72" s="9">
        <v>3</v>
      </c>
      <c r="M72" s="9">
        <v>10</v>
      </c>
      <c r="N72" s="9">
        <f t="shared" si="10"/>
        <v>4</v>
      </c>
      <c r="O72" s="9">
        <f t="shared" si="11"/>
        <v>3</v>
      </c>
      <c r="P72" s="9">
        <v>5</v>
      </c>
      <c r="Q72">
        <v>27.136810000000001</v>
      </c>
      <c r="R72">
        <v>51.498190000000001</v>
      </c>
      <c r="S72">
        <f t="shared" si="8"/>
        <v>11.863189999999999</v>
      </c>
      <c r="T72" s="107">
        <f t="shared" si="9"/>
        <v>12.498190000000001</v>
      </c>
      <c r="U72" s="107">
        <v>80</v>
      </c>
      <c r="V72" s="91">
        <f>IF('Bypass Summary'!$O$4=2, I72, IF('Bypass Summary'!$O$4=1, K72))</f>
        <v>7</v>
      </c>
      <c r="W72" s="91">
        <f>IF('Bypass Summary'!$O$4=2, S72, IF('Bypass Summary'!$O$4=1, N72))</f>
        <v>4</v>
      </c>
      <c r="X72" s="91">
        <f>IF('Bypass Summary'!$O$4=2, T72, IF('Bypass Summary'!$O$4=1, O72))</f>
        <v>3</v>
      </c>
      <c r="Y72" s="91">
        <f>IF('Bypass Summary'!$O$4=2, U72, IF('Bypass Summary'!$O$4=1, P72))</f>
        <v>5</v>
      </c>
      <c r="Z72" s="124">
        <v>0.39</v>
      </c>
    </row>
    <row r="73" spans="1:26" x14ac:dyDescent="0.25">
      <c r="A73" s="16" t="s">
        <v>134</v>
      </c>
      <c r="B73" s="2" t="s">
        <v>135</v>
      </c>
      <c r="C73" s="42">
        <v>246</v>
      </c>
      <c r="D73" s="42" t="s">
        <v>230</v>
      </c>
      <c r="E73" s="94">
        <v>0</v>
      </c>
      <c r="F73" s="94">
        <v>8.2000000000000003E-2</v>
      </c>
      <c r="G73" s="42">
        <v>89</v>
      </c>
      <c r="H73" s="42" t="s">
        <v>376</v>
      </c>
      <c r="I73">
        <v>60</v>
      </c>
      <c r="J73" s="9" t="str">
        <f t="shared" si="7"/>
        <v>RWE</v>
      </c>
      <c r="K73" s="106">
        <v>4</v>
      </c>
      <c r="L73" s="9">
        <v>1</v>
      </c>
      <c r="M73" s="9">
        <v>7</v>
      </c>
      <c r="N73" s="9">
        <f t="shared" si="10"/>
        <v>3</v>
      </c>
      <c r="O73" s="9">
        <f t="shared" si="11"/>
        <v>3</v>
      </c>
      <c r="P73" s="9">
        <v>5</v>
      </c>
      <c r="Q73">
        <v>48.617829999999998</v>
      </c>
      <c r="R73">
        <v>69.829169999999991</v>
      </c>
      <c r="S73">
        <f t="shared" si="8"/>
        <v>11.382170000000002</v>
      </c>
      <c r="T73" s="107">
        <f t="shared" si="9"/>
        <v>9.8291699999999906</v>
      </c>
      <c r="U73" s="107">
        <v>80</v>
      </c>
      <c r="V73" s="91">
        <f>IF('Bypass Summary'!$O$4=2, I73, IF('Bypass Summary'!$O$4=1, K73))</f>
        <v>4</v>
      </c>
      <c r="W73" s="91">
        <f>IF('Bypass Summary'!$O$4=2, S73, IF('Bypass Summary'!$O$4=1, N73))</f>
        <v>3</v>
      </c>
      <c r="X73" s="91">
        <f>IF('Bypass Summary'!$O$4=2, T73, IF('Bypass Summary'!$O$4=1, O73))</f>
        <v>3</v>
      </c>
      <c r="Y73" s="91">
        <f>IF('Bypass Summary'!$O$4=2, U73, IF('Bypass Summary'!$O$4=1, P73))</f>
        <v>5</v>
      </c>
      <c r="Z73" s="124">
        <v>0.6</v>
      </c>
    </row>
    <row r="74" spans="1:26" x14ac:dyDescent="0.25">
      <c r="A74" s="16" t="s">
        <v>76</v>
      </c>
      <c r="B74" s="2" t="s">
        <v>214</v>
      </c>
      <c r="C74" s="42">
        <v>180</v>
      </c>
      <c r="D74" s="42" t="s">
        <v>270</v>
      </c>
      <c r="E74" s="94">
        <v>0.03</v>
      </c>
      <c r="F74" s="94">
        <v>0.185</v>
      </c>
      <c r="G74" s="42">
        <v>41</v>
      </c>
      <c r="H74" s="42" t="s">
        <v>258</v>
      </c>
      <c r="I74">
        <v>37</v>
      </c>
      <c r="J74" s="9" t="str">
        <f t="shared" si="7"/>
        <v>RK9</v>
      </c>
      <c r="K74" s="106">
        <v>7</v>
      </c>
      <c r="L74" s="9">
        <v>4</v>
      </c>
      <c r="M74" s="9">
        <v>12</v>
      </c>
      <c r="N74" s="9">
        <f t="shared" si="10"/>
        <v>3</v>
      </c>
      <c r="O74" s="9">
        <f t="shared" si="11"/>
        <v>5</v>
      </c>
      <c r="P74" s="9">
        <v>5</v>
      </c>
      <c r="Q74">
        <v>22.122790000000002</v>
      </c>
      <c r="R74">
        <v>53.063740000000003</v>
      </c>
      <c r="S74">
        <f t="shared" si="8"/>
        <v>14.877209999999998</v>
      </c>
      <c r="T74" s="107">
        <f t="shared" si="9"/>
        <v>16.063740000000003</v>
      </c>
      <c r="U74" s="107">
        <v>80</v>
      </c>
      <c r="V74" s="91">
        <f>IF('Bypass Summary'!$O$4=2, I74, IF('Bypass Summary'!$O$4=1, K74))</f>
        <v>7</v>
      </c>
      <c r="W74" s="91">
        <f>IF('Bypass Summary'!$O$4=2, S74, IF('Bypass Summary'!$O$4=1, N74))</f>
        <v>3</v>
      </c>
      <c r="X74" s="91">
        <f>IF('Bypass Summary'!$O$4=2, T74, IF('Bypass Summary'!$O$4=1, O74))</f>
        <v>5</v>
      </c>
      <c r="Y74" s="91">
        <f>IF('Bypass Summary'!$O$4=2, U74, IF('Bypass Summary'!$O$4=1, P74))</f>
        <v>5</v>
      </c>
      <c r="Z74" s="124">
        <v>0.37</v>
      </c>
    </row>
    <row r="75" spans="1:26" x14ac:dyDescent="0.25">
      <c r="A75" s="16" t="s">
        <v>136</v>
      </c>
      <c r="B75" s="2" t="s">
        <v>137</v>
      </c>
      <c r="C75" s="42">
        <v>78</v>
      </c>
      <c r="D75" s="42" t="s">
        <v>269</v>
      </c>
      <c r="E75" s="94">
        <v>3.9E-2</v>
      </c>
      <c r="F75" s="94">
        <v>0.17799999999999999</v>
      </c>
      <c r="G75" s="42">
        <v>16</v>
      </c>
      <c r="H75" s="42" t="s">
        <v>836</v>
      </c>
      <c r="I75">
        <v>31</v>
      </c>
      <c r="J75" s="9" t="str">
        <f t="shared" si="7"/>
        <v>RWG</v>
      </c>
      <c r="K75" s="106">
        <v>6</v>
      </c>
      <c r="L75" s="9">
        <v>5</v>
      </c>
      <c r="M75" s="9">
        <v>15</v>
      </c>
      <c r="N75" s="9">
        <f t="shared" si="10"/>
        <v>1</v>
      </c>
      <c r="O75" s="9">
        <f t="shared" si="11"/>
        <v>9</v>
      </c>
      <c r="P75" s="9">
        <v>5</v>
      </c>
      <c r="Q75">
        <v>11.017000000000001</v>
      </c>
      <c r="R75">
        <v>58.662060000000004</v>
      </c>
      <c r="S75">
        <f t="shared" si="8"/>
        <v>19.982999999999997</v>
      </c>
      <c r="T75" s="107">
        <f t="shared" si="9"/>
        <v>27.662060000000004</v>
      </c>
      <c r="U75" s="107">
        <v>80</v>
      </c>
      <c r="V75" s="91">
        <f>IF('Bypass Summary'!$O$4=2, I75, IF('Bypass Summary'!$O$4=1, K75))</f>
        <v>6</v>
      </c>
      <c r="W75" s="91">
        <f>IF('Bypass Summary'!$O$4=2, S75, IF('Bypass Summary'!$O$4=1, N75))</f>
        <v>1</v>
      </c>
      <c r="X75" s="91">
        <f>IF('Bypass Summary'!$O$4=2, T75, IF('Bypass Summary'!$O$4=1, O75))</f>
        <v>9</v>
      </c>
      <c r="Y75" s="91">
        <f>IF('Bypass Summary'!$O$4=2, U75, IF('Bypass Summary'!$O$4=1, P75))</f>
        <v>5</v>
      </c>
      <c r="Z75" s="124">
        <v>0.31</v>
      </c>
    </row>
    <row r="76" spans="1:26" x14ac:dyDescent="0.25">
      <c r="A76" s="16" t="s">
        <v>140</v>
      </c>
      <c r="B76" s="2" t="s">
        <v>141</v>
      </c>
      <c r="C76" s="42">
        <v>399</v>
      </c>
      <c r="D76" s="42" t="s">
        <v>274</v>
      </c>
      <c r="E76" s="94">
        <v>2.7E-2</v>
      </c>
      <c r="F76" s="94">
        <v>0.14199999999999999</v>
      </c>
      <c r="G76" s="42">
        <v>50</v>
      </c>
      <c r="H76" s="42" t="s">
        <v>829</v>
      </c>
      <c r="I76">
        <v>48</v>
      </c>
      <c r="J76" s="9" t="str">
        <f t="shared" si="7"/>
        <v>RWP</v>
      </c>
      <c r="K76" s="106">
        <v>6</v>
      </c>
      <c r="L76" s="9">
        <v>2</v>
      </c>
      <c r="M76" s="9">
        <v>8</v>
      </c>
      <c r="N76" s="9">
        <f t="shared" si="10"/>
        <v>4</v>
      </c>
      <c r="O76" s="9">
        <f t="shared" si="11"/>
        <v>2</v>
      </c>
      <c r="P76" s="9">
        <v>5</v>
      </c>
      <c r="Q76">
        <v>33.660510000000002</v>
      </c>
      <c r="R76">
        <v>62.584810000000004</v>
      </c>
      <c r="S76">
        <f t="shared" si="8"/>
        <v>14.339489999999998</v>
      </c>
      <c r="T76" s="107">
        <f t="shared" si="9"/>
        <v>14.584810000000004</v>
      </c>
      <c r="U76" s="107">
        <v>80</v>
      </c>
      <c r="V76" s="91">
        <f>IF('Bypass Summary'!$O$4=2, I76, IF('Bypass Summary'!$O$4=1, K76))</f>
        <v>6</v>
      </c>
      <c r="W76" s="91">
        <f>IF('Bypass Summary'!$O$4=2, S76, IF('Bypass Summary'!$O$4=1, N76))</f>
        <v>4</v>
      </c>
      <c r="X76" s="91">
        <f>IF('Bypass Summary'!$O$4=2, T76, IF('Bypass Summary'!$O$4=1, O76))</f>
        <v>2</v>
      </c>
      <c r="Y76" s="91">
        <f>IF('Bypass Summary'!$O$4=2, U76, IF('Bypass Summary'!$O$4=1, P76))</f>
        <v>5</v>
      </c>
      <c r="Z76" s="124">
        <v>0.48</v>
      </c>
    </row>
    <row r="77" spans="1:26" x14ac:dyDescent="0.25">
      <c r="A77" s="16" t="s">
        <v>35</v>
      </c>
      <c r="B77" s="2" t="s">
        <v>36</v>
      </c>
      <c r="C77" s="42">
        <v>407</v>
      </c>
      <c r="D77" s="42" t="s">
        <v>403</v>
      </c>
      <c r="E77" s="94">
        <v>3.1E-2</v>
      </c>
      <c r="F77" s="94">
        <v>0.14399999999999999</v>
      </c>
      <c r="G77" s="42">
        <v>157</v>
      </c>
      <c r="H77" s="42" t="s">
        <v>327</v>
      </c>
      <c r="I77">
        <v>77</v>
      </c>
      <c r="J77" s="9" t="str">
        <f t="shared" si="7"/>
        <v>RCB</v>
      </c>
      <c r="K77" s="106">
        <v>3</v>
      </c>
      <c r="L77" s="9">
        <v>1</v>
      </c>
      <c r="M77" s="9">
        <v>5</v>
      </c>
      <c r="N77" s="9">
        <f t="shared" si="10"/>
        <v>2</v>
      </c>
      <c r="O77" s="9">
        <f t="shared" si="11"/>
        <v>2</v>
      </c>
      <c r="P77" s="9">
        <v>5</v>
      </c>
      <c r="Q77">
        <v>69.695840000000004</v>
      </c>
      <c r="R77">
        <v>83.393870000000007</v>
      </c>
      <c r="S77">
        <f t="shared" si="8"/>
        <v>7.304159999999996</v>
      </c>
      <c r="T77" s="107">
        <f t="shared" si="9"/>
        <v>6.3938700000000068</v>
      </c>
      <c r="U77" s="107">
        <v>80</v>
      </c>
      <c r="V77" s="91">
        <f>IF('Bypass Summary'!$O$4=2, I77, IF('Bypass Summary'!$O$4=1, K77))</f>
        <v>3</v>
      </c>
      <c r="W77" s="91">
        <f>IF('Bypass Summary'!$O$4=2, S77, IF('Bypass Summary'!$O$4=1, N77))</f>
        <v>2</v>
      </c>
      <c r="X77" s="91">
        <f>IF('Bypass Summary'!$O$4=2, T77, IF('Bypass Summary'!$O$4=1, O77))</f>
        <v>2</v>
      </c>
      <c r="Y77" s="91">
        <f>IF('Bypass Summary'!$O$4=2, U77, IF('Bypass Summary'!$O$4=1, P77))</f>
        <v>5</v>
      </c>
      <c r="Z77" s="124">
        <v>0.77</v>
      </c>
    </row>
    <row r="78" spans="1:26" x14ac:dyDescent="0.25">
      <c r="T78" s="15"/>
      <c r="U78" s="15"/>
    </row>
    <row r="79" spans="1:26" x14ac:dyDescent="0.25">
      <c r="T79" s="15"/>
      <c r="U79" s="15"/>
    </row>
    <row r="80" spans="1:26" x14ac:dyDescent="0.25">
      <c r="T80" s="15"/>
      <c r="U80" s="15"/>
    </row>
  </sheetData>
  <sortState ref="A2:I83">
    <sortCondition ref="B2"/>
  </sortState>
  <pageMargins left="0.7" right="0.7" top="0.75" bottom="0.75" header="0.3" footer="0.3"/>
  <pageSetup paperSize="9" orientation="portrait" r:id="rId1"/>
  <ignoredErrors>
    <ignoredError sqref="S6:T6 W6:X6 N19:O19 S19:T19 W19:X19 N41:O41 S41:T41 W41:X41 N51:O51 S51:T51 W51:X51 N53:O53 S53:T53 W53:X53 N65:O65 S65:T65 W65:X65 N67:O67 S67:T67 W67:X6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showGridLines="0" workbookViewId="0">
      <selection activeCell="B1" sqref="B1"/>
    </sheetView>
  </sheetViews>
  <sheetFormatPr defaultRowHeight="15" x14ac:dyDescent="0.25"/>
  <cols>
    <col min="1" max="1" width="12.42578125" bestFit="1" customWidth="1"/>
    <col min="2" max="2" width="62.42578125" customWidth="1"/>
    <col min="5" max="5" width="13.28515625" customWidth="1"/>
    <col min="7" max="7" width="10.85546875" customWidth="1"/>
    <col min="18" max="18" width="33.140625" bestFit="1" customWidth="1"/>
    <col min="27" max="31" width="9.140625" style="43"/>
    <col min="32" max="32" width="63.7109375" style="43" bestFit="1" customWidth="1"/>
    <col min="33" max="37" width="9.140625" style="43"/>
  </cols>
  <sheetData>
    <row r="1" spans="1:37" ht="30.75" customHeight="1" x14ac:dyDescent="0.25">
      <c r="A1" s="28" t="s">
        <v>404</v>
      </c>
      <c r="B1" s="29" t="s">
        <v>10</v>
      </c>
      <c r="AA1" s="113" t="s">
        <v>567</v>
      </c>
      <c r="AB1" s="114" t="s">
        <v>409</v>
      </c>
      <c r="AC1" s="114" t="s">
        <v>410</v>
      </c>
      <c r="AD1" s="115" t="s">
        <v>406</v>
      </c>
      <c r="AE1" s="116" t="s">
        <v>189</v>
      </c>
      <c r="AF1" s="116" t="s">
        <v>183</v>
      </c>
      <c r="AG1" s="114" t="s">
        <v>471</v>
      </c>
      <c r="AH1" s="117" t="s">
        <v>1097</v>
      </c>
      <c r="AI1" s="117" t="s">
        <v>590</v>
      </c>
      <c r="AJ1" s="117" t="s">
        <v>591</v>
      </c>
      <c r="AK1" s="114" t="s">
        <v>566</v>
      </c>
    </row>
    <row r="2" spans="1:37" ht="15.75" x14ac:dyDescent="0.25">
      <c r="R2" s="108" t="s">
        <v>436</v>
      </c>
      <c r="AA2" s="43" t="e">
        <f>VLOOKUP($B$1,$AF:$AK,3,FALSE)</f>
        <v>#N/A</v>
      </c>
      <c r="AB2" s="43" t="e">
        <f>VLOOKUP($B$1,$AF:$AK,4,FALSE)</f>
        <v>#N/A</v>
      </c>
      <c r="AC2" s="43" t="e">
        <f>VLOOKUP($B$1,$AF:$AK,5,FALSE)</f>
        <v>#N/A</v>
      </c>
      <c r="AD2" s="43" t="e">
        <f>VLOOKUP($B$1,$AF:$AK,2,FALSE)</f>
        <v>#N/A</v>
      </c>
      <c r="AE2" s="125" t="s">
        <v>33</v>
      </c>
      <c r="AF2" s="125" t="s">
        <v>34</v>
      </c>
      <c r="AG2" s="43">
        <v>1</v>
      </c>
      <c r="AH2" s="126">
        <f>VLOOKUP($AE2,'Lower Limb Angioplasty'!$A:$AS,42,FALSE)</f>
        <v>0</v>
      </c>
      <c r="AI2" s="126">
        <f>VLOOKUP($AE2,'Lower Limb Angioplasty'!$A:$AS,43,FALSE)</f>
        <v>0</v>
      </c>
      <c r="AJ2" s="126">
        <f>VLOOKUP($AE2,'Lower Limb Angioplasty'!$A:$AS,44,FALSE)</f>
        <v>3</v>
      </c>
      <c r="AK2" s="126">
        <f>VLOOKUP($AE2,'Lower Limb Angioplasty'!$A:$AS,45,FALSE)</f>
        <v>5</v>
      </c>
    </row>
    <row r="3" spans="1:37" ht="31.5" x14ac:dyDescent="0.25">
      <c r="R3" s="53" t="s">
        <v>1136</v>
      </c>
      <c r="AA3" s="127" t="s">
        <v>606</v>
      </c>
      <c r="AB3" s="127" t="s">
        <v>608</v>
      </c>
      <c r="AC3" s="127" t="s">
        <v>607</v>
      </c>
      <c r="AD3" s="127" t="s">
        <v>406</v>
      </c>
      <c r="AE3" s="125" t="s">
        <v>170</v>
      </c>
      <c r="AF3" s="125" t="s">
        <v>171</v>
      </c>
      <c r="AG3" s="43">
        <v>2</v>
      </c>
      <c r="AH3" s="126">
        <f>VLOOKUP($AE3,'Lower Limb Angioplasty'!$A:$AS,42,FALSE)</f>
        <v>0</v>
      </c>
      <c r="AI3" s="126">
        <f>VLOOKUP($AE3,'Lower Limb Angioplasty'!$A:$AS,43,FALSE)</f>
        <v>0</v>
      </c>
      <c r="AJ3" s="126">
        <f>VLOOKUP($AE3,'Lower Limb Angioplasty'!$A:$AS,44,FALSE)</f>
        <v>5</v>
      </c>
      <c r="AK3" s="126">
        <f>VLOOKUP($AE3,'Lower Limb Angioplasty'!$A:$AS,45,FALSE)</f>
        <v>5</v>
      </c>
    </row>
    <row r="4" spans="1:37" x14ac:dyDescent="0.25">
      <c r="R4" s="43">
        <f>MATCH(R3,'Lower Limb Angioplasty'!$AD$1:$AE$1,0)</f>
        <v>1</v>
      </c>
      <c r="AA4" s="128">
        <f>VLOOKUP($B$1,'Lower Limb Angioplasty'!$B:$AC,26,FALSE)</f>
        <v>1</v>
      </c>
      <c r="AB4" s="128">
        <f>VLOOKUP($B$1,'Lower Limb Angioplasty'!$B:$AC,27,FALSE)</f>
        <v>0.14000000000000001</v>
      </c>
      <c r="AC4" s="128">
        <f>VLOOKUP($B$1,'Lower Limb Angioplasty'!$B:$AC,28,FALSE)</f>
        <v>0</v>
      </c>
      <c r="AD4" s="43">
        <f>VLOOKUP($B$1,'Lower Limb Angioplasty'!$B:$AC,25,FALSE)</f>
        <v>47</v>
      </c>
      <c r="AE4" s="125" t="s">
        <v>134</v>
      </c>
      <c r="AF4" s="125" t="s">
        <v>135</v>
      </c>
      <c r="AG4" s="43">
        <v>3</v>
      </c>
      <c r="AH4" s="126">
        <f>VLOOKUP($AE4,'Lower Limb Angioplasty'!$A:$AS,42,FALSE)</f>
        <v>2</v>
      </c>
      <c r="AI4" s="126">
        <f>VLOOKUP($AE4,'Lower Limb Angioplasty'!$A:$AS,43,FALSE)</f>
        <v>1</v>
      </c>
      <c r="AJ4" s="126">
        <f>VLOOKUP($AE4,'Lower Limb Angioplasty'!$A:$AS,44,FALSE)</f>
        <v>10</v>
      </c>
      <c r="AK4" s="126">
        <f>VLOOKUP($AE4,'Lower Limb Angioplasty'!$A:$AS,45,FALSE)</f>
        <v>5</v>
      </c>
    </row>
    <row r="5" spans="1:37" x14ac:dyDescent="0.25">
      <c r="AE5" s="125" t="s">
        <v>154</v>
      </c>
      <c r="AF5" s="125" t="s">
        <v>155</v>
      </c>
      <c r="AG5" s="43">
        <v>4</v>
      </c>
      <c r="AH5" s="126">
        <f>VLOOKUP($AE5,'Lower Limb Angioplasty'!$A:$AS,42,FALSE)</f>
        <v>3</v>
      </c>
      <c r="AI5" s="126">
        <f>VLOOKUP($AE5,'Lower Limb Angioplasty'!$A:$AS,43,FALSE)</f>
        <v>3</v>
      </c>
      <c r="AJ5" s="126">
        <f>VLOOKUP($AE5,'Lower Limb Angioplasty'!$A:$AS,44,FALSE)</f>
        <v>4</v>
      </c>
      <c r="AK5" s="126">
        <f>VLOOKUP($AE5,'Lower Limb Angioplasty'!$A:$AS,45,FALSE)</f>
        <v>5</v>
      </c>
    </row>
    <row r="6" spans="1:37" x14ac:dyDescent="0.25">
      <c r="AE6" s="125" t="s">
        <v>126</v>
      </c>
      <c r="AF6" s="125" t="s">
        <v>127</v>
      </c>
      <c r="AG6" s="43">
        <v>5</v>
      </c>
      <c r="AH6" s="126">
        <f>VLOOKUP($AE6,'Lower Limb Angioplasty'!$A:$AS,42,FALSE)</f>
        <v>3</v>
      </c>
      <c r="AI6" s="126">
        <f>VLOOKUP($AE6,'Lower Limb Angioplasty'!$A:$AS,43,FALSE)</f>
        <v>3</v>
      </c>
      <c r="AJ6" s="126">
        <f>VLOOKUP($AE6,'Lower Limb Angioplasty'!$A:$AS,44,FALSE)</f>
        <v>9</v>
      </c>
      <c r="AK6" s="126">
        <f>VLOOKUP($AE6,'Lower Limb Angioplasty'!$A:$AS,45,FALSE)</f>
        <v>5</v>
      </c>
    </row>
    <row r="7" spans="1:37" x14ac:dyDescent="0.25">
      <c r="AE7" s="125" t="s">
        <v>130</v>
      </c>
      <c r="AF7" s="125" t="s">
        <v>618</v>
      </c>
      <c r="AG7" s="43">
        <v>6</v>
      </c>
      <c r="AH7" s="126">
        <f>VLOOKUP($AE7,'Lower Limb Angioplasty'!$A:$AS,42,FALSE)</f>
        <v>3</v>
      </c>
      <c r="AI7" s="126">
        <f>VLOOKUP($AE7,'Lower Limb Angioplasty'!$A:$AS,43,FALSE)</f>
        <v>2</v>
      </c>
      <c r="AJ7" s="126">
        <f>VLOOKUP($AE7,'Lower Limb Angioplasty'!$A:$AS,44,FALSE)</f>
        <v>3</v>
      </c>
      <c r="AK7" s="126">
        <f>VLOOKUP($AE7,'Lower Limb Angioplasty'!$A:$AS,45,FALSE)</f>
        <v>5</v>
      </c>
    </row>
    <row r="8" spans="1:37" x14ac:dyDescent="0.25">
      <c r="AE8" s="125" t="s">
        <v>25</v>
      </c>
      <c r="AF8" s="125" t="s">
        <v>26</v>
      </c>
      <c r="AG8" s="43">
        <v>7</v>
      </c>
      <c r="AH8" s="126">
        <f>VLOOKUP($AE8,'Lower Limb Angioplasty'!$A:$AS,42,FALSE)</f>
        <v>3</v>
      </c>
      <c r="AI8" s="126">
        <f>VLOOKUP($AE8,'Lower Limb Angioplasty'!$A:$AS,43,FALSE)</f>
        <v>2</v>
      </c>
      <c r="AJ8" s="126">
        <f>VLOOKUP($AE8,'Lower Limb Angioplasty'!$A:$AS,44,FALSE)</f>
        <v>3</v>
      </c>
      <c r="AK8" s="126">
        <f>VLOOKUP($AE8,'Lower Limb Angioplasty'!$A:$AS,45,FALSE)</f>
        <v>5</v>
      </c>
    </row>
    <row r="9" spans="1:37" x14ac:dyDescent="0.25">
      <c r="AE9" s="125" t="s">
        <v>118</v>
      </c>
      <c r="AF9" s="125" t="s">
        <v>622</v>
      </c>
      <c r="AG9" s="43">
        <v>8</v>
      </c>
      <c r="AH9" s="126">
        <f>VLOOKUP($AE9,'Lower Limb Angioplasty'!$A:$AS,42,FALSE)</f>
        <v>3</v>
      </c>
      <c r="AI9" s="126">
        <f>VLOOKUP($AE9,'Lower Limb Angioplasty'!$A:$AS,43,FALSE)</f>
        <v>2</v>
      </c>
      <c r="AJ9" s="126">
        <f>VLOOKUP($AE9,'Lower Limb Angioplasty'!$A:$AS,44,FALSE)</f>
        <v>4</v>
      </c>
      <c r="AK9" s="126">
        <f>VLOOKUP($AE9,'Lower Limb Angioplasty'!$A:$AS,45,FALSE)</f>
        <v>5</v>
      </c>
    </row>
    <row r="10" spans="1:37" x14ac:dyDescent="0.25">
      <c r="AE10" s="125" t="s">
        <v>68</v>
      </c>
      <c r="AF10" s="125" t="s">
        <v>69</v>
      </c>
      <c r="AG10" s="43">
        <v>9</v>
      </c>
      <c r="AH10" s="126">
        <f>VLOOKUP($AE10,'Lower Limb Angioplasty'!$A:$AS,42,FALSE)</f>
        <v>3</v>
      </c>
      <c r="AI10" s="126">
        <f>VLOOKUP($AE10,'Lower Limb Angioplasty'!$A:$AS,43,FALSE)</f>
        <v>2</v>
      </c>
      <c r="AJ10" s="126">
        <f>VLOOKUP($AE10,'Lower Limb Angioplasty'!$A:$AS,44,FALSE)</f>
        <v>4</v>
      </c>
      <c r="AK10" s="126">
        <f>VLOOKUP($AE10,'Lower Limb Angioplasty'!$A:$AS,45,FALSE)</f>
        <v>5</v>
      </c>
    </row>
    <row r="11" spans="1:37" x14ac:dyDescent="0.25">
      <c r="AE11" s="125" t="s">
        <v>35</v>
      </c>
      <c r="AF11" s="125" t="s">
        <v>36</v>
      </c>
      <c r="AG11" s="43">
        <v>10</v>
      </c>
      <c r="AH11" s="126">
        <f>VLOOKUP($AE11,'Lower Limb Angioplasty'!$A:$AS,42,FALSE)</f>
        <v>3</v>
      </c>
      <c r="AI11" s="126">
        <f>VLOOKUP($AE11,'Lower Limb Angioplasty'!$A:$AS,43,FALSE)</f>
        <v>2</v>
      </c>
      <c r="AJ11" s="126">
        <f>VLOOKUP($AE11,'Lower Limb Angioplasty'!$A:$AS,44,FALSE)</f>
        <v>4</v>
      </c>
      <c r="AK11" s="126">
        <f>VLOOKUP($AE11,'Lower Limb Angioplasty'!$A:$AS,45,FALSE)</f>
        <v>5</v>
      </c>
    </row>
    <row r="12" spans="1:37" x14ac:dyDescent="0.25">
      <c r="AE12" s="125" t="s">
        <v>166</v>
      </c>
      <c r="AF12" s="125" t="s">
        <v>167</v>
      </c>
      <c r="AG12" s="43">
        <v>11</v>
      </c>
      <c r="AH12" s="126">
        <f>VLOOKUP($AE12,'Lower Limb Angioplasty'!$A:$AS,42,FALSE)</f>
        <v>3</v>
      </c>
      <c r="AI12" s="126">
        <f>VLOOKUP($AE12,'Lower Limb Angioplasty'!$A:$AS,43,FALSE)</f>
        <v>2</v>
      </c>
      <c r="AJ12" s="126">
        <f>VLOOKUP($AE12,'Lower Limb Angioplasty'!$A:$AS,44,FALSE)</f>
        <v>5</v>
      </c>
      <c r="AK12" s="126">
        <f>VLOOKUP($AE12,'Lower Limb Angioplasty'!$A:$AS,45,FALSE)</f>
        <v>5</v>
      </c>
    </row>
    <row r="13" spans="1:37" x14ac:dyDescent="0.25">
      <c r="AE13" s="125" t="s">
        <v>74</v>
      </c>
      <c r="AF13" s="125" t="s">
        <v>75</v>
      </c>
      <c r="AG13" s="43">
        <v>12</v>
      </c>
      <c r="AH13" s="126">
        <f>VLOOKUP($AE13,'Lower Limb Angioplasty'!$A:$AS,42,FALSE)</f>
        <v>3</v>
      </c>
      <c r="AI13" s="126">
        <f>VLOOKUP($AE13,'Lower Limb Angioplasty'!$A:$AS,43,FALSE)</f>
        <v>2</v>
      </c>
      <c r="AJ13" s="126">
        <f>VLOOKUP($AE13,'Lower Limb Angioplasty'!$A:$AS,44,FALSE)</f>
        <v>9</v>
      </c>
      <c r="AK13" s="126">
        <f>VLOOKUP($AE13,'Lower Limb Angioplasty'!$A:$AS,45,FALSE)</f>
        <v>5</v>
      </c>
    </row>
    <row r="14" spans="1:37" x14ac:dyDescent="0.25">
      <c r="AE14" s="125" t="s">
        <v>60</v>
      </c>
      <c r="AF14" s="125" t="s">
        <v>61</v>
      </c>
      <c r="AG14" s="43">
        <v>13</v>
      </c>
      <c r="AH14" s="126">
        <f>VLOOKUP($AE14,'Lower Limb Angioplasty'!$A:$AS,42,FALSE)</f>
        <v>4</v>
      </c>
      <c r="AI14" s="126">
        <f>VLOOKUP($AE14,'Lower Limb Angioplasty'!$A:$AS,43,FALSE)</f>
        <v>4</v>
      </c>
      <c r="AJ14" s="126">
        <f>VLOOKUP($AE14,'Lower Limb Angioplasty'!$A:$AS,44,FALSE)</f>
        <v>3</v>
      </c>
      <c r="AK14" s="126">
        <f>VLOOKUP($AE14,'Lower Limb Angioplasty'!$A:$AS,45,FALSE)</f>
        <v>5</v>
      </c>
    </row>
    <row r="15" spans="1:37" x14ac:dyDescent="0.25">
      <c r="AE15" s="125" t="s">
        <v>158</v>
      </c>
      <c r="AF15" s="125" t="s">
        <v>159</v>
      </c>
      <c r="AG15" s="43">
        <v>14</v>
      </c>
      <c r="AH15" s="126">
        <f>VLOOKUP($AE15,'Lower Limb Angioplasty'!$A:$AS,42,FALSE)</f>
        <v>4</v>
      </c>
      <c r="AI15" s="126">
        <f>VLOOKUP($AE15,'Lower Limb Angioplasty'!$A:$AS,43,FALSE)</f>
        <v>4</v>
      </c>
      <c r="AJ15" s="126">
        <f>VLOOKUP($AE15,'Lower Limb Angioplasty'!$A:$AS,44,FALSE)</f>
        <v>4</v>
      </c>
      <c r="AK15" s="126">
        <f>VLOOKUP($AE15,'Lower Limb Angioplasty'!$A:$AS,45,FALSE)</f>
        <v>5</v>
      </c>
    </row>
    <row r="16" spans="1:37" x14ac:dyDescent="0.25">
      <c r="AE16" s="125" t="s">
        <v>64</v>
      </c>
      <c r="AF16" s="125" t="s">
        <v>65</v>
      </c>
      <c r="AG16" s="43">
        <v>15</v>
      </c>
      <c r="AH16" s="126">
        <f>VLOOKUP($AE16,'Lower Limb Angioplasty'!$A:$AS,42,FALSE)</f>
        <v>4</v>
      </c>
      <c r="AI16" s="126">
        <f>VLOOKUP($AE16,'Lower Limb Angioplasty'!$A:$AS,43,FALSE)</f>
        <v>4</v>
      </c>
      <c r="AJ16" s="126">
        <f>VLOOKUP($AE16,'Lower Limb Angioplasty'!$A:$AS,44,FALSE)</f>
        <v>7</v>
      </c>
      <c r="AK16" s="126">
        <f>VLOOKUP($AE16,'Lower Limb Angioplasty'!$A:$AS,45,FALSE)</f>
        <v>5</v>
      </c>
    </row>
    <row r="17" spans="2:37" x14ac:dyDescent="0.25">
      <c r="AE17" s="125" t="s">
        <v>156</v>
      </c>
      <c r="AF17" s="125" t="s">
        <v>157</v>
      </c>
      <c r="AG17" s="43">
        <v>16</v>
      </c>
      <c r="AH17" s="126">
        <f>VLOOKUP($AE17,'Lower Limb Angioplasty'!$A:$AS,42,FALSE)</f>
        <v>4</v>
      </c>
      <c r="AI17" s="126">
        <f>VLOOKUP($AE17,'Lower Limb Angioplasty'!$A:$AS,43,FALSE)</f>
        <v>2</v>
      </c>
      <c r="AJ17" s="126">
        <f>VLOOKUP($AE17,'Lower Limb Angioplasty'!$A:$AS,44,FALSE)</f>
        <v>3</v>
      </c>
      <c r="AK17" s="126">
        <f>VLOOKUP($AE17,'Lower Limb Angioplasty'!$A:$AS,45,FALSE)</f>
        <v>5</v>
      </c>
    </row>
    <row r="18" spans="2:37" x14ac:dyDescent="0.25">
      <c r="AE18" s="125" t="s">
        <v>87</v>
      </c>
      <c r="AF18" s="125" t="s">
        <v>88</v>
      </c>
      <c r="AG18" s="43">
        <v>17</v>
      </c>
      <c r="AH18" s="126">
        <f>VLOOKUP($AE18,'Lower Limb Angioplasty'!$A:$AS,42,FALSE)</f>
        <v>4</v>
      </c>
      <c r="AI18" s="126">
        <f>VLOOKUP($AE18,'Lower Limb Angioplasty'!$A:$AS,43,FALSE)</f>
        <v>2</v>
      </c>
      <c r="AJ18" s="126">
        <f>VLOOKUP($AE18,'Lower Limb Angioplasty'!$A:$AS,44,FALSE)</f>
        <v>3</v>
      </c>
      <c r="AK18" s="126">
        <f>VLOOKUP($AE18,'Lower Limb Angioplasty'!$A:$AS,45,FALSE)</f>
        <v>5</v>
      </c>
    </row>
    <row r="19" spans="2:37" x14ac:dyDescent="0.25">
      <c r="AE19" s="125" t="s">
        <v>72</v>
      </c>
      <c r="AF19" s="125" t="s">
        <v>73</v>
      </c>
      <c r="AG19" s="43">
        <v>18</v>
      </c>
      <c r="AH19" s="126">
        <f>VLOOKUP($AE19,'Lower Limb Angioplasty'!$A:$AS,42,FALSE)</f>
        <v>4</v>
      </c>
      <c r="AI19" s="126">
        <f>VLOOKUP($AE19,'Lower Limb Angioplasty'!$A:$AS,43,FALSE)</f>
        <v>2</v>
      </c>
      <c r="AJ19" s="126">
        <f>VLOOKUP($AE19,'Lower Limb Angioplasty'!$A:$AS,44,FALSE)</f>
        <v>4</v>
      </c>
      <c r="AK19" s="126">
        <f>VLOOKUP($AE19,'Lower Limb Angioplasty'!$A:$AS,45,FALSE)</f>
        <v>5</v>
      </c>
    </row>
    <row r="20" spans="2:37" x14ac:dyDescent="0.25">
      <c r="AE20" s="125" t="s">
        <v>115</v>
      </c>
      <c r="AF20" s="125" t="s">
        <v>116</v>
      </c>
      <c r="AG20" s="43">
        <v>19</v>
      </c>
      <c r="AH20" s="126">
        <f>VLOOKUP($AE20,'Lower Limb Angioplasty'!$A:$AS,42,FALSE)</f>
        <v>4</v>
      </c>
      <c r="AI20" s="126">
        <f>VLOOKUP($AE20,'Lower Limb Angioplasty'!$A:$AS,43,FALSE)</f>
        <v>2</v>
      </c>
      <c r="AJ20" s="126">
        <f>VLOOKUP($AE20,'Lower Limb Angioplasty'!$A:$AS,44,FALSE)</f>
        <v>4</v>
      </c>
      <c r="AK20" s="126">
        <f>VLOOKUP($AE20,'Lower Limb Angioplasty'!$A:$AS,45,FALSE)</f>
        <v>5</v>
      </c>
    </row>
    <row r="21" spans="2:37" x14ac:dyDescent="0.25">
      <c r="AE21" s="125" t="s">
        <v>124</v>
      </c>
      <c r="AF21" s="125" t="s">
        <v>125</v>
      </c>
      <c r="AG21" s="43">
        <v>20</v>
      </c>
      <c r="AH21" s="126">
        <f>VLOOKUP($AE21,'Lower Limb Angioplasty'!$A:$AS,42,FALSE)</f>
        <v>4</v>
      </c>
      <c r="AI21" s="126">
        <f>VLOOKUP($AE21,'Lower Limb Angioplasty'!$A:$AS,43,FALSE)</f>
        <v>2</v>
      </c>
      <c r="AJ21" s="126">
        <f>VLOOKUP($AE21,'Lower Limb Angioplasty'!$A:$AS,44,FALSE)</f>
        <v>4</v>
      </c>
      <c r="AK21" s="126">
        <f>VLOOKUP($AE21,'Lower Limb Angioplasty'!$A:$AS,45,FALSE)</f>
        <v>5</v>
      </c>
    </row>
    <row r="22" spans="2:37" x14ac:dyDescent="0.25">
      <c r="AE22" s="125" t="s">
        <v>164</v>
      </c>
      <c r="AF22" s="125" t="s">
        <v>165</v>
      </c>
      <c r="AG22" s="43">
        <v>21</v>
      </c>
      <c r="AH22" s="126">
        <f>VLOOKUP($AE22,'Lower Limb Angioplasty'!$A:$AS,42,FALSE)</f>
        <v>4</v>
      </c>
      <c r="AI22" s="126">
        <f>VLOOKUP($AE22,'Lower Limb Angioplasty'!$A:$AS,43,FALSE)</f>
        <v>1</v>
      </c>
      <c r="AJ22" s="126">
        <f>VLOOKUP($AE22,'Lower Limb Angioplasty'!$A:$AS,44,FALSE)</f>
        <v>3</v>
      </c>
      <c r="AK22" s="126">
        <f>VLOOKUP($AE22,'Lower Limb Angioplasty'!$A:$AS,45,FALSE)</f>
        <v>5</v>
      </c>
    </row>
    <row r="23" spans="2:37" x14ac:dyDescent="0.25">
      <c r="AE23" s="125" t="s">
        <v>76</v>
      </c>
      <c r="AF23" s="125" t="s">
        <v>214</v>
      </c>
      <c r="AG23" s="43">
        <v>22</v>
      </c>
      <c r="AH23" s="126">
        <f>VLOOKUP($AE23,'Lower Limb Angioplasty'!$A:$AS,42,FALSE)</f>
        <v>5</v>
      </c>
      <c r="AI23" s="126">
        <f>VLOOKUP($AE23,'Lower Limb Angioplasty'!$A:$AS,43,FALSE)</f>
        <v>4</v>
      </c>
      <c r="AJ23" s="126">
        <f>VLOOKUP($AE23,'Lower Limb Angioplasty'!$A:$AS,44,FALSE)</f>
        <v>6</v>
      </c>
      <c r="AK23" s="126">
        <f>VLOOKUP($AE23,'Lower Limb Angioplasty'!$A:$AS,45,FALSE)</f>
        <v>5</v>
      </c>
    </row>
    <row r="24" spans="2:37" x14ac:dyDescent="0.25">
      <c r="AE24" s="125" t="s">
        <v>56</v>
      </c>
      <c r="AF24" s="125" t="s">
        <v>57</v>
      </c>
      <c r="AG24" s="43">
        <v>23</v>
      </c>
      <c r="AH24" s="126">
        <f>VLOOKUP($AE24,'Lower Limb Angioplasty'!$A:$AS,42,FALSE)</f>
        <v>5</v>
      </c>
      <c r="AI24" s="126">
        <f>VLOOKUP($AE24,'Lower Limb Angioplasty'!$A:$AS,43,FALSE)</f>
        <v>3</v>
      </c>
      <c r="AJ24" s="126">
        <f>VLOOKUP($AE24,'Lower Limb Angioplasty'!$A:$AS,44,FALSE)</f>
        <v>2</v>
      </c>
      <c r="AK24" s="126">
        <f>VLOOKUP($AE24,'Lower Limb Angioplasty'!$A:$AS,45,FALSE)</f>
        <v>5</v>
      </c>
    </row>
    <row r="25" spans="2:37" x14ac:dyDescent="0.25">
      <c r="AE25" s="125" t="s">
        <v>89</v>
      </c>
      <c r="AF25" s="125" t="s">
        <v>90</v>
      </c>
      <c r="AG25" s="43">
        <v>24</v>
      </c>
      <c r="AH25" s="126">
        <f>VLOOKUP($AE25,'Lower Limb Angioplasty'!$A:$AS,42,FALSE)</f>
        <v>5</v>
      </c>
      <c r="AI25" s="126">
        <f>VLOOKUP($AE25,'Lower Limb Angioplasty'!$A:$AS,43,FALSE)</f>
        <v>3</v>
      </c>
      <c r="AJ25" s="126">
        <f>VLOOKUP($AE25,'Lower Limb Angioplasty'!$A:$AS,44,FALSE)</f>
        <v>4</v>
      </c>
      <c r="AK25" s="126">
        <f>VLOOKUP($AE25,'Lower Limb Angioplasty'!$A:$AS,45,FALSE)</f>
        <v>5</v>
      </c>
    </row>
    <row r="26" spans="2:37" x14ac:dyDescent="0.25">
      <c r="AE26" s="125" t="s">
        <v>40</v>
      </c>
      <c r="AF26" s="125" t="s">
        <v>41</v>
      </c>
      <c r="AG26" s="43">
        <v>25</v>
      </c>
      <c r="AH26" s="126">
        <f>VLOOKUP($AE26,'Lower Limb Angioplasty'!$A:$AS,42,FALSE)</f>
        <v>5</v>
      </c>
      <c r="AI26" s="126">
        <f>VLOOKUP($AE26,'Lower Limb Angioplasty'!$A:$AS,43,FALSE)</f>
        <v>3</v>
      </c>
      <c r="AJ26" s="126">
        <f>VLOOKUP($AE26,'Lower Limb Angioplasty'!$A:$AS,44,FALSE)</f>
        <v>8</v>
      </c>
      <c r="AK26" s="126">
        <f>VLOOKUP($AE26,'Lower Limb Angioplasty'!$A:$AS,45,FALSE)</f>
        <v>5</v>
      </c>
    </row>
    <row r="27" spans="2:37" x14ac:dyDescent="0.25">
      <c r="AE27" s="125" t="s">
        <v>128</v>
      </c>
      <c r="AF27" s="125" t="s">
        <v>129</v>
      </c>
      <c r="AG27" s="43">
        <v>26</v>
      </c>
      <c r="AH27" s="126">
        <f>VLOOKUP($AE27,'Lower Limb Angioplasty'!$A:$AS,42,FALSE)</f>
        <v>5</v>
      </c>
      <c r="AI27" s="126">
        <f>VLOOKUP($AE27,'Lower Limb Angioplasty'!$A:$AS,43,FALSE)</f>
        <v>2</v>
      </c>
      <c r="AJ27" s="126">
        <f>VLOOKUP($AE27,'Lower Limb Angioplasty'!$A:$AS,44,FALSE)</f>
        <v>2</v>
      </c>
      <c r="AK27" s="126">
        <f>VLOOKUP($AE27,'Lower Limb Angioplasty'!$A:$AS,45,FALSE)</f>
        <v>5</v>
      </c>
    </row>
    <row r="28" spans="2:37" ht="15.75" thickBot="1" x14ac:dyDescent="0.3">
      <c r="AE28" s="125" t="s">
        <v>150</v>
      </c>
      <c r="AF28" s="125" t="s">
        <v>151</v>
      </c>
      <c r="AG28" s="43">
        <v>27</v>
      </c>
      <c r="AH28" s="126">
        <f>VLOOKUP($AE28,'Lower Limb Angioplasty'!$A:$AS,42,FALSE)</f>
        <v>5</v>
      </c>
      <c r="AI28" s="126">
        <f>VLOOKUP($AE28,'Lower Limb Angioplasty'!$A:$AS,43,FALSE)</f>
        <v>2</v>
      </c>
      <c r="AJ28" s="126">
        <f>VLOOKUP($AE28,'Lower Limb Angioplasty'!$A:$AS,44,FALSE)</f>
        <v>3</v>
      </c>
      <c r="AK28" s="126">
        <f>VLOOKUP($AE28,'Lower Limb Angioplasty'!$A:$AS,45,FALSE)</f>
        <v>5</v>
      </c>
    </row>
    <row r="29" spans="2:37" ht="90.75" thickBot="1" x14ac:dyDescent="0.3">
      <c r="B29" s="30" t="s">
        <v>183</v>
      </c>
      <c r="C29" s="30" t="s">
        <v>189</v>
      </c>
      <c r="D29" s="65" t="s">
        <v>190</v>
      </c>
      <c r="E29" s="66" t="s">
        <v>573</v>
      </c>
      <c r="F29" s="66" t="s">
        <v>571</v>
      </c>
      <c r="G29" s="66" t="s">
        <v>572</v>
      </c>
      <c r="H29" s="30" t="s">
        <v>206</v>
      </c>
      <c r="I29" s="65" t="s">
        <v>207</v>
      </c>
      <c r="J29" s="66" t="s">
        <v>569</v>
      </c>
      <c r="K29" s="66" t="s">
        <v>1098</v>
      </c>
      <c r="L29" s="66" t="s">
        <v>1136</v>
      </c>
      <c r="M29" s="30" t="s">
        <v>1100</v>
      </c>
      <c r="AE29" s="125" t="s">
        <v>11</v>
      </c>
      <c r="AF29" s="125" t="s">
        <v>12</v>
      </c>
      <c r="AG29" s="43">
        <v>28</v>
      </c>
      <c r="AH29" s="126">
        <f>VLOOKUP($AE29,'Lower Limb Angioplasty'!$A:$AS,42,FALSE)</f>
        <v>5</v>
      </c>
      <c r="AI29" s="126">
        <f>VLOOKUP($AE29,'Lower Limb Angioplasty'!$A:$AS,43,FALSE)</f>
        <v>2</v>
      </c>
      <c r="AJ29" s="126">
        <f>VLOOKUP($AE29,'Lower Limb Angioplasty'!$A:$AS,44,FALSE)</f>
        <v>3</v>
      </c>
      <c r="AK29" s="126">
        <f>VLOOKUP($AE29,'Lower Limb Angioplasty'!$A:$AS,45,FALSE)</f>
        <v>5</v>
      </c>
    </row>
    <row r="30" spans="2:37" ht="15.75" thickBot="1" x14ac:dyDescent="0.3">
      <c r="B30" s="32" t="str">
        <f>B1</f>
        <v>Aneurin Bevan University Health Board</v>
      </c>
      <c r="C30" s="34" t="str">
        <f>VLOOKUP($B30,'Lower Limb Angioplasty'!$B:$M,12,FALSE)</f>
        <v>7A6</v>
      </c>
      <c r="D30" s="34">
        <f>VLOOKUP($B30,'Lower Limb Angioplasty'!$B:$M,2,FALSE)</f>
        <v>25</v>
      </c>
      <c r="E30" s="35">
        <f>VLOOKUP($B30,'Lower Limb Angioplasty'!$B:$M,3,FALSE)</f>
        <v>1</v>
      </c>
      <c r="F30" s="35">
        <f>VLOOKUP($B30,'Lower Limb Angioplasty'!$B:$M,4,FALSE)</f>
        <v>0.79</v>
      </c>
      <c r="G30" s="35">
        <f>VLOOKUP($B30,'Lower Limb Angioplasty'!$B:$M,5,FALSE)</f>
        <v>0.88</v>
      </c>
      <c r="H30" s="33" t="str">
        <f>VLOOKUP($B30,'Lower Limb Angioplasty'!$B:$M,6,FALSE)</f>
        <v>0 (0 - 7)</v>
      </c>
      <c r="I30" s="36">
        <f>VLOOKUP($B30,'Lower Limb Angioplasty'!$B:$M,7,FALSE)</f>
        <v>7.4671835899353028E-2</v>
      </c>
      <c r="J30" s="36">
        <f>VLOOKUP($B30,'Lower Limb Angioplasty'!$B:$M,9,FALSE)</f>
        <v>0.28999999165534973</v>
      </c>
      <c r="K30" s="34" t="str">
        <f>VLOOKUP($B30,'Lower Limb Angioplasty'!$B:$M,10,FALSE)</f>
        <v>&lt;10</v>
      </c>
      <c r="L30" s="33" t="str">
        <f>VLOOKUP($B30,'Lower Limb Angioplasty'!$B:$M,11,FALSE)</f>
        <v>xx</v>
      </c>
      <c r="M30" s="123" t="str">
        <f>VLOOKUP($B30,'Lower Limb Angioplasty'!$B:$AT,45,FALSE)</f>
        <v>xx</v>
      </c>
      <c r="AE30" s="125" t="s">
        <v>15</v>
      </c>
      <c r="AF30" s="125" t="s">
        <v>620</v>
      </c>
      <c r="AG30" s="43">
        <v>29</v>
      </c>
      <c r="AH30" s="126">
        <f>VLOOKUP($AE30,'Lower Limb Angioplasty'!$A:$AS,42,FALSE)</f>
        <v>6</v>
      </c>
      <c r="AI30" s="126">
        <f>VLOOKUP($AE30,'Lower Limb Angioplasty'!$A:$AS,43,FALSE)</f>
        <v>4</v>
      </c>
      <c r="AJ30" s="126">
        <f>VLOOKUP($AE30,'Lower Limb Angioplasty'!$A:$AS,44,FALSE)</f>
        <v>5</v>
      </c>
      <c r="AK30" s="126">
        <f>VLOOKUP($AE30,'Lower Limb Angioplasty'!$A:$AS,45,FALSE)</f>
        <v>5</v>
      </c>
    </row>
    <row r="31" spans="2:37" ht="15.75" thickBot="1" x14ac:dyDescent="0.3">
      <c r="B31" s="135" t="s">
        <v>405</v>
      </c>
      <c r="C31" s="135"/>
      <c r="D31" s="69">
        <v>23881</v>
      </c>
      <c r="E31" s="71">
        <v>0.97</v>
      </c>
      <c r="F31" s="71">
        <v>0.61</v>
      </c>
      <c r="G31" s="71">
        <v>0.87</v>
      </c>
      <c r="H31" s="87" t="s">
        <v>647</v>
      </c>
      <c r="I31" s="68">
        <v>1.6E-2</v>
      </c>
      <c r="J31" s="36">
        <v>0.10199999999999999</v>
      </c>
      <c r="K31" s="69">
        <v>5174</v>
      </c>
      <c r="L31" s="33" t="s">
        <v>331</v>
      </c>
      <c r="M31" s="123">
        <v>0.52</v>
      </c>
      <c r="AE31" s="125" t="s">
        <v>176</v>
      </c>
      <c r="AF31" s="125" t="s">
        <v>177</v>
      </c>
      <c r="AG31" s="43">
        <v>30</v>
      </c>
      <c r="AH31" s="126">
        <f>VLOOKUP($AE31,'Lower Limb Angioplasty'!$A:$AS,42,FALSE)</f>
        <v>6</v>
      </c>
      <c r="AI31" s="126">
        <f>VLOOKUP($AE31,'Lower Limb Angioplasty'!$A:$AS,43,FALSE)</f>
        <v>3</v>
      </c>
      <c r="AJ31" s="126">
        <f>VLOOKUP($AE31,'Lower Limb Angioplasty'!$A:$AS,44,FALSE)</f>
        <v>2</v>
      </c>
      <c r="AK31" s="126">
        <f>VLOOKUP($AE31,'Lower Limb Angioplasty'!$A:$AS,45,FALSE)</f>
        <v>5</v>
      </c>
    </row>
    <row r="32" spans="2:37" x14ac:dyDescent="0.25">
      <c r="AE32" s="125" t="s">
        <v>140</v>
      </c>
      <c r="AF32" s="125" t="s">
        <v>141</v>
      </c>
      <c r="AG32" s="43">
        <v>31</v>
      </c>
      <c r="AH32" s="126">
        <f>VLOOKUP($AE32,'Lower Limb Angioplasty'!$A:$AS,42,FALSE)</f>
        <v>6</v>
      </c>
      <c r="AI32" s="126">
        <f>VLOOKUP($AE32,'Lower Limb Angioplasty'!$A:$AS,43,FALSE)</f>
        <v>3</v>
      </c>
      <c r="AJ32" s="126">
        <f>VLOOKUP($AE32,'Lower Limb Angioplasty'!$A:$AS,44,FALSE)</f>
        <v>2</v>
      </c>
      <c r="AK32" s="126">
        <f>VLOOKUP($AE32,'Lower Limb Angioplasty'!$A:$AS,45,FALSE)</f>
        <v>5</v>
      </c>
    </row>
    <row r="33" spans="31:37" x14ac:dyDescent="0.25">
      <c r="AE33" s="125" t="s">
        <v>66</v>
      </c>
      <c r="AF33" s="125" t="s">
        <v>67</v>
      </c>
      <c r="AG33" s="43">
        <v>32</v>
      </c>
      <c r="AH33" s="126">
        <f>VLOOKUP($AE33,'Lower Limb Angioplasty'!$A:$AS,42,FALSE)</f>
        <v>6</v>
      </c>
      <c r="AI33" s="126">
        <f>VLOOKUP($AE33,'Lower Limb Angioplasty'!$A:$AS,43,FALSE)</f>
        <v>3</v>
      </c>
      <c r="AJ33" s="126">
        <f>VLOOKUP($AE33,'Lower Limb Angioplasty'!$A:$AS,44,FALSE)</f>
        <v>3</v>
      </c>
      <c r="AK33" s="126">
        <f>VLOOKUP($AE33,'Lower Limb Angioplasty'!$A:$AS,45,FALSE)</f>
        <v>5</v>
      </c>
    </row>
    <row r="34" spans="31:37" x14ac:dyDescent="0.25">
      <c r="AE34" s="125" t="s">
        <v>54</v>
      </c>
      <c r="AF34" s="125" t="s">
        <v>55</v>
      </c>
      <c r="AG34" s="43">
        <v>33</v>
      </c>
      <c r="AH34" s="126">
        <f>VLOOKUP($AE34,'Lower Limb Angioplasty'!$A:$AS,42,FALSE)</f>
        <v>6</v>
      </c>
      <c r="AI34" s="126">
        <f>VLOOKUP($AE34,'Lower Limb Angioplasty'!$A:$AS,43,FALSE)</f>
        <v>3</v>
      </c>
      <c r="AJ34" s="126">
        <f>VLOOKUP($AE34,'Lower Limb Angioplasty'!$A:$AS,44,FALSE)</f>
        <v>4</v>
      </c>
      <c r="AK34" s="126">
        <f>VLOOKUP($AE34,'Lower Limb Angioplasty'!$A:$AS,45,FALSE)</f>
        <v>5</v>
      </c>
    </row>
    <row r="35" spans="31:37" x14ac:dyDescent="0.25">
      <c r="AE35" s="125" t="s">
        <v>113</v>
      </c>
      <c r="AF35" s="125" t="s">
        <v>114</v>
      </c>
      <c r="AG35" s="43">
        <v>34</v>
      </c>
      <c r="AH35" s="126">
        <f>VLOOKUP($AE35,'Lower Limb Angioplasty'!$A:$AS,42,FALSE)</f>
        <v>6</v>
      </c>
      <c r="AI35" s="126">
        <f>VLOOKUP($AE35,'Lower Limb Angioplasty'!$A:$AS,43,FALSE)</f>
        <v>3</v>
      </c>
      <c r="AJ35" s="126">
        <f>VLOOKUP($AE35,'Lower Limb Angioplasty'!$A:$AS,44,FALSE)</f>
        <v>4</v>
      </c>
      <c r="AK35" s="126">
        <f>VLOOKUP($AE35,'Lower Limb Angioplasty'!$A:$AS,45,FALSE)</f>
        <v>5</v>
      </c>
    </row>
    <row r="36" spans="31:37" x14ac:dyDescent="0.25">
      <c r="AE36" s="125" t="s">
        <v>70</v>
      </c>
      <c r="AF36" s="125" t="s">
        <v>71</v>
      </c>
      <c r="AG36" s="43">
        <v>35</v>
      </c>
      <c r="AH36" s="126">
        <f>VLOOKUP($AE36,'Lower Limb Angioplasty'!$A:$AS,42,FALSE)</f>
        <v>6</v>
      </c>
      <c r="AI36" s="126">
        <f>VLOOKUP($AE36,'Lower Limb Angioplasty'!$A:$AS,43,FALSE)</f>
        <v>3</v>
      </c>
      <c r="AJ36" s="126">
        <f>VLOOKUP($AE36,'Lower Limb Angioplasty'!$A:$AS,44,FALSE)</f>
        <v>4</v>
      </c>
      <c r="AK36" s="126">
        <f>VLOOKUP($AE36,'Lower Limb Angioplasty'!$A:$AS,45,FALSE)</f>
        <v>5</v>
      </c>
    </row>
    <row r="37" spans="31:37" x14ac:dyDescent="0.25">
      <c r="AE37" s="125" t="s">
        <v>107</v>
      </c>
      <c r="AF37" s="125" t="s">
        <v>108</v>
      </c>
      <c r="AG37" s="43">
        <v>36</v>
      </c>
      <c r="AH37" s="126">
        <f>VLOOKUP($AE37,'Lower Limb Angioplasty'!$A:$AS,42,FALSE)</f>
        <v>6</v>
      </c>
      <c r="AI37" s="126">
        <f>VLOOKUP($AE37,'Lower Limb Angioplasty'!$A:$AS,43,FALSE)</f>
        <v>3</v>
      </c>
      <c r="AJ37" s="126">
        <f>VLOOKUP($AE37,'Lower Limb Angioplasty'!$A:$AS,44,FALSE)</f>
        <v>5</v>
      </c>
      <c r="AK37" s="126">
        <f>VLOOKUP($AE37,'Lower Limb Angioplasty'!$A:$AS,45,FALSE)</f>
        <v>5</v>
      </c>
    </row>
    <row r="38" spans="31:37" x14ac:dyDescent="0.25">
      <c r="AE38" s="125" t="s">
        <v>117</v>
      </c>
      <c r="AF38" s="125" t="s">
        <v>400</v>
      </c>
      <c r="AG38" s="43">
        <v>37</v>
      </c>
      <c r="AH38" s="126">
        <f>VLOOKUP($AE38,'Lower Limb Angioplasty'!$A:$AS,42,FALSE)</f>
        <v>6</v>
      </c>
      <c r="AI38" s="126">
        <f>VLOOKUP($AE38,'Lower Limb Angioplasty'!$A:$AS,43,FALSE)</f>
        <v>3</v>
      </c>
      <c r="AJ38" s="126">
        <f>VLOOKUP($AE38,'Lower Limb Angioplasty'!$A:$AS,44,FALSE)</f>
        <v>5</v>
      </c>
      <c r="AK38" s="126">
        <f>VLOOKUP($AE38,'Lower Limb Angioplasty'!$A:$AS,45,FALSE)</f>
        <v>5</v>
      </c>
    </row>
    <row r="39" spans="31:37" x14ac:dyDescent="0.25">
      <c r="AE39" s="125" t="s">
        <v>180</v>
      </c>
      <c r="AF39" s="125" t="s">
        <v>181</v>
      </c>
      <c r="AG39" s="43">
        <v>38</v>
      </c>
      <c r="AH39" s="126">
        <f>VLOOKUP($AE39,'Lower Limb Angioplasty'!$A:$AS,42,FALSE)</f>
        <v>6</v>
      </c>
      <c r="AI39" s="126">
        <f>VLOOKUP($AE39,'Lower Limb Angioplasty'!$A:$AS,43,FALSE)</f>
        <v>2</v>
      </c>
      <c r="AJ39" s="126">
        <f>VLOOKUP($AE39,'Lower Limb Angioplasty'!$A:$AS,44,FALSE)</f>
        <v>7</v>
      </c>
      <c r="AK39" s="126">
        <f>VLOOKUP($AE39,'Lower Limb Angioplasty'!$A:$AS,45,FALSE)</f>
        <v>5</v>
      </c>
    </row>
    <row r="40" spans="31:37" x14ac:dyDescent="0.25">
      <c r="AE40" s="125" t="s">
        <v>23</v>
      </c>
      <c r="AF40" s="125" t="s">
        <v>24</v>
      </c>
      <c r="AG40" s="43">
        <v>39</v>
      </c>
      <c r="AH40" s="126">
        <f>VLOOKUP($AE40,'Lower Limb Angioplasty'!$A:$AS,42,FALSE)</f>
        <v>7</v>
      </c>
      <c r="AI40" s="126">
        <f>VLOOKUP($AE40,'Lower Limb Angioplasty'!$A:$AS,43,FALSE)</f>
        <v>5</v>
      </c>
      <c r="AJ40" s="126">
        <f>VLOOKUP($AE40,'Lower Limb Angioplasty'!$A:$AS,44,FALSE)</f>
        <v>5</v>
      </c>
      <c r="AK40" s="126">
        <f>VLOOKUP($AE40,'Lower Limb Angioplasty'!$A:$AS,45,FALSE)</f>
        <v>5</v>
      </c>
    </row>
    <row r="41" spans="31:37" x14ac:dyDescent="0.25">
      <c r="AE41" s="125" t="s">
        <v>99</v>
      </c>
      <c r="AF41" s="125" t="s">
        <v>100</v>
      </c>
      <c r="AG41" s="43">
        <v>40</v>
      </c>
      <c r="AH41" s="126">
        <f>VLOOKUP($AE41,'Lower Limb Angioplasty'!$A:$AS,42,FALSE)</f>
        <v>7</v>
      </c>
      <c r="AI41" s="126">
        <f>VLOOKUP($AE41,'Lower Limb Angioplasty'!$A:$AS,43,FALSE)</f>
        <v>5</v>
      </c>
      <c r="AJ41" s="126">
        <f>VLOOKUP($AE41,'Lower Limb Angioplasty'!$A:$AS,44,FALSE)</f>
        <v>6</v>
      </c>
      <c r="AK41" s="126">
        <f>VLOOKUP($AE41,'Lower Limb Angioplasty'!$A:$AS,45,FALSE)</f>
        <v>5</v>
      </c>
    </row>
    <row r="42" spans="31:37" x14ac:dyDescent="0.25">
      <c r="AE42" s="125" t="s">
        <v>48</v>
      </c>
      <c r="AF42" s="125" t="s">
        <v>613</v>
      </c>
      <c r="AG42" s="43">
        <v>41</v>
      </c>
      <c r="AH42" s="126">
        <f>VLOOKUP($AE42,'Lower Limb Angioplasty'!$A:$AS,42,FALSE)</f>
        <v>7</v>
      </c>
      <c r="AI42" s="126">
        <f>VLOOKUP($AE42,'Lower Limb Angioplasty'!$A:$AS,43,FALSE)</f>
        <v>3</v>
      </c>
      <c r="AJ42" s="126">
        <f>VLOOKUP($AE42,'Lower Limb Angioplasty'!$A:$AS,44,FALSE)</f>
        <v>4</v>
      </c>
      <c r="AK42" s="126">
        <f>VLOOKUP($AE42,'Lower Limb Angioplasty'!$A:$AS,45,FALSE)</f>
        <v>5</v>
      </c>
    </row>
    <row r="43" spans="31:37" x14ac:dyDescent="0.25">
      <c r="AE43" s="125" t="s">
        <v>77</v>
      </c>
      <c r="AF43" s="125" t="s">
        <v>78</v>
      </c>
      <c r="AG43" s="43">
        <v>42</v>
      </c>
      <c r="AH43" s="126">
        <f>VLOOKUP($AE43,'Lower Limb Angioplasty'!$A:$AS,42,FALSE)</f>
        <v>7</v>
      </c>
      <c r="AI43" s="126">
        <f>VLOOKUP($AE43,'Lower Limb Angioplasty'!$A:$AS,43,FALSE)</f>
        <v>3</v>
      </c>
      <c r="AJ43" s="126">
        <f>VLOOKUP($AE43,'Lower Limb Angioplasty'!$A:$AS,44,FALSE)</f>
        <v>5</v>
      </c>
      <c r="AK43" s="126">
        <f>VLOOKUP($AE43,'Lower Limb Angioplasty'!$A:$AS,45,FALSE)</f>
        <v>5</v>
      </c>
    </row>
    <row r="44" spans="31:37" x14ac:dyDescent="0.25">
      <c r="AE44" s="125" t="s">
        <v>629</v>
      </c>
      <c r="AF44" s="125" t="s">
        <v>630</v>
      </c>
      <c r="AG44" s="43">
        <v>43</v>
      </c>
      <c r="AH44" s="126">
        <f>VLOOKUP($AE44,'Lower Limb Angioplasty'!$A:$AS,42,FALSE)</f>
        <v>7</v>
      </c>
      <c r="AI44" s="126">
        <f>VLOOKUP($AE44,'Lower Limb Angioplasty'!$A:$AS,43,FALSE)</f>
        <v>3</v>
      </c>
      <c r="AJ44" s="126">
        <f>VLOOKUP($AE44,'Lower Limb Angioplasty'!$A:$AS,44,FALSE)</f>
        <v>9</v>
      </c>
      <c r="AK44" s="126">
        <f>VLOOKUP($AE44,'Lower Limb Angioplasty'!$A:$AS,45,FALSE)</f>
        <v>5</v>
      </c>
    </row>
    <row r="45" spans="31:37" x14ac:dyDescent="0.25">
      <c r="AE45" s="125" t="s">
        <v>5</v>
      </c>
      <c r="AF45" s="125" t="s">
        <v>6</v>
      </c>
      <c r="AG45" s="43">
        <v>44</v>
      </c>
      <c r="AH45" s="126">
        <f>VLOOKUP($AE45,'Lower Limb Angioplasty'!$A:$AS,42,FALSE)</f>
        <v>8</v>
      </c>
      <c r="AI45" s="126">
        <f>VLOOKUP($AE45,'Lower Limb Angioplasty'!$A:$AS,43,FALSE)</f>
        <v>5</v>
      </c>
      <c r="AJ45" s="126">
        <f>VLOOKUP($AE45,'Lower Limb Angioplasty'!$A:$AS,44,FALSE)</f>
        <v>8</v>
      </c>
      <c r="AK45" s="126">
        <f>VLOOKUP($AE45,'Lower Limb Angioplasty'!$A:$AS,45,FALSE)</f>
        <v>5</v>
      </c>
    </row>
    <row r="46" spans="31:37" x14ac:dyDescent="0.25">
      <c r="AE46" s="125" t="s">
        <v>138</v>
      </c>
      <c r="AF46" s="125" t="s">
        <v>139</v>
      </c>
      <c r="AG46" s="43">
        <v>45</v>
      </c>
      <c r="AH46" s="126">
        <f>VLOOKUP($AE46,'Lower Limb Angioplasty'!$A:$AS,42,FALSE)</f>
        <v>8</v>
      </c>
      <c r="AI46" s="126">
        <f>VLOOKUP($AE46,'Lower Limb Angioplasty'!$A:$AS,43,FALSE)</f>
        <v>5</v>
      </c>
      <c r="AJ46" s="126">
        <f>VLOOKUP($AE46,'Lower Limb Angioplasty'!$A:$AS,44,FALSE)</f>
        <v>8</v>
      </c>
      <c r="AK46" s="126">
        <f>VLOOKUP($AE46,'Lower Limb Angioplasty'!$A:$AS,45,FALSE)</f>
        <v>5</v>
      </c>
    </row>
    <row r="47" spans="31:37" x14ac:dyDescent="0.25">
      <c r="AE47" s="125" t="s">
        <v>105</v>
      </c>
      <c r="AF47" s="125" t="s">
        <v>106</v>
      </c>
      <c r="AG47" s="43">
        <v>46</v>
      </c>
      <c r="AH47" s="126">
        <f>VLOOKUP($AE47,'Lower Limb Angioplasty'!$A:$AS,42,FALSE)</f>
        <v>8</v>
      </c>
      <c r="AI47" s="126">
        <f>VLOOKUP($AE47,'Lower Limb Angioplasty'!$A:$AS,43,FALSE)</f>
        <v>4</v>
      </c>
      <c r="AJ47" s="126">
        <f>VLOOKUP($AE47,'Lower Limb Angioplasty'!$A:$AS,44,FALSE)</f>
        <v>4</v>
      </c>
      <c r="AK47" s="126">
        <f>VLOOKUP($AE47,'Lower Limb Angioplasty'!$A:$AS,45,FALSE)</f>
        <v>5</v>
      </c>
    </row>
    <row r="48" spans="31:37" x14ac:dyDescent="0.25">
      <c r="AE48" s="125" t="s">
        <v>13</v>
      </c>
      <c r="AF48" s="125" t="s">
        <v>14</v>
      </c>
      <c r="AG48" s="43">
        <v>47</v>
      </c>
      <c r="AH48" s="126">
        <f>VLOOKUP($AE48,'Lower Limb Angioplasty'!$A:$AS,42,FALSE)</f>
        <v>8</v>
      </c>
      <c r="AI48" s="126">
        <f>VLOOKUP($AE48,'Lower Limb Angioplasty'!$A:$AS,43,FALSE)</f>
        <v>4</v>
      </c>
      <c r="AJ48" s="126">
        <f>VLOOKUP($AE48,'Lower Limb Angioplasty'!$A:$AS,44,FALSE)</f>
        <v>5</v>
      </c>
      <c r="AK48" s="126">
        <f>VLOOKUP($AE48,'Lower Limb Angioplasty'!$A:$AS,45,FALSE)</f>
        <v>5</v>
      </c>
    </row>
    <row r="49" spans="18:37" x14ac:dyDescent="0.25">
      <c r="AE49" s="125" t="s">
        <v>136</v>
      </c>
      <c r="AF49" s="125" t="s">
        <v>137</v>
      </c>
      <c r="AG49" s="43">
        <v>48</v>
      </c>
      <c r="AH49" s="126">
        <f>VLOOKUP($AE49,'Lower Limb Angioplasty'!$A:$AS,42,FALSE)</f>
        <v>8</v>
      </c>
      <c r="AI49" s="126">
        <f>VLOOKUP($AE49,'Lower Limb Angioplasty'!$A:$AS,43,FALSE)</f>
        <v>4</v>
      </c>
      <c r="AJ49" s="126">
        <f>VLOOKUP($AE49,'Lower Limb Angioplasty'!$A:$AS,44,FALSE)</f>
        <v>8</v>
      </c>
      <c r="AK49" s="126">
        <f>VLOOKUP($AE49,'Lower Limb Angioplasty'!$A:$AS,45,FALSE)</f>
        <v>5</v>
      </c>
    </row>
    <row r="50" spans="18:37" x14ac:dyDescent="0.25">
      <c r="AE50" s="125" t="s">
        <v>7</v>
      </c>
      <c r="AF50" s="125" t="s">
        <v>616</v>
      </c>
      <c r="AG50" s="43">
        <v>49</v>
      </c>
      <c r="AH50" s="126">
        <f>VLOOKUP($AE50,'Lower Limb Angioplasty'!$A:$AS,42,FALSE)</f>
        <v>8</v>
      </c>
      <c r="AI50" s="126">
        <f>VLOOKUP($AE50,'Lower Limb Angioplasty'!$A:$AS,43,FALSE)</f>
        <v>3</v>
      </c>
      <c r="AJ50" s="126">
        <f>VLOOKUP($AE50,'Lower Limb Angioplasty'!$A:$AS,44,FALSE)</f>
        <v>5</v>
      </c>
      <c r="AK50" s="126">
        <f>VLOOKUP($AE50,'Lower Limb Angioplasty'!$A:$AS,45,FALSE)</f>
        <v>5</v>
      </c>
    </row>
    <row r="51" spans="18:37" x14ac:dyDescent="0.25">
      <c r="AE51" s="125" t="s">
        <v>39</v>
      </c>
      <c r="AF51" s="125" t="s">
        <v>215</v>
      </c>
      <c r="AG51" s="43">
        <v>50</v>
      </c>
      <c r="AH51" s="126">
        <f>VLOOKUP($AE51,'Lower Limb Angioplasty'!$A:$AS,42,FALSE)</f>
        <v>8</v>
      </c>
      <c r="AI51" s="126">
        <f>VLOOKUP($AE51,'Lower Limb Angioplasty'!$A:$AS,43,FALSE)</f>
        <v>2</v>
      </c>
      <c r="AJ51" s="126">
        <f>VLOOKUP($AE51,'Lower Limb Angioplasty'!$A:$AS,44,FALSE)</f>
        <v>7</v>
      </c>
      <c r="AK51" s="126">
        <f>VLOOKUP($AE51,'Lower Limb Angioplasty'!$A:$AS,45,FALSE)</f>
        <v>5</v>
      </c>
    </row>
    <row r="52" spans="18:37" x14ac:dyDescent="0.25">
      <c r="AE52" s="125" t="s">
        <v>95</v>
      </c>
      <c r="AF52" s="125" t="s">
        <v>96</v>
      </c>
      <c r="AG52" s="43">
        <v>51</v>
      </c>
      <c r="AH52" s="126">
        <f>VLOOKUP($AE52,'Lower Limb Angioplasty'!$A:$AS,42,FALSE)</f>
        <v>9</v>
      </c>
      <c r="AI52" s="126">
        <f>VLOOKUP($AE52,'Lower Limb Angioplasty'!$A:$AS,43,FALSE)</f>
        <v>7</v>
      </c>
      <c r="AJ52" s="126">
        <f>VLOOKUP($AE52,'Lower Limb Angioplasty'!$A:$AS,44,FALSE)</f>
        <v>12</v>
      </c>
      <c r="AK52" s="126">
        <f>VLOOKUP($AE52,'Lower Limb Angioplasty'!$A:$AS,45,FALSE)</f>
        <v>5</v>
      </c>
    </row>
    <row r="53" spans="18:37" ht="15.75" x14ac:dyDescent="0.25">
      <c r="R53" s="44" t="s">
        <v>436</v>
      </c>
      <c r="AE53" s="125" t="s">
        <v>132</v>
      </c>
      <c r="AF53" s="125" t="s">
        <v>133</v>
      </c>
      <c r="AG53" s="43">
        <v>52</v>
      </c>
      <c r="AH53" s="126">
        <f>VLOOKUP($AE53,'Lower Limb Angioplasty'!$A:$AS,42,FALSE)</f>
        <v>9</v>
      </c>
      <c r="AI53" s="126">
        <f>VLOOKUP($AE53,'Lower Limb Angioplasty'!$A:$AS,43,FALSE)</f>
        <v>4</v>
      </c>
      <c r="AJ53" s="126">
        <f>VLOOKUP($AE53,'Lower Limb Angioplasty'!$A:$AS,44,FALSE)</f>
        <v>4</v>
      </c>
      <c r="AK53" s="126">
        <f>VLOOKUP($AE53,'Lower Limb Angioplasty'!$A:$AS,45,FALSE)</f>
        <v>5</v>
      </c>
    </row>
    <row r="54" spans="18:37" ht="15.75" x14ac:dyDescent="0.25">
      <c r="R54" s="29" t="s">
        <v>573</v>
      </c>
      <c r="AE54" s="125" t="s">
        <v>4</v>
      </c>
      <c r="AF54" s="125" t="s">
        <v>213</v>
      </c>
      <c r="AG54" s="43">
        <v>53</v>
      </c>
      <c r="AH54" s="126">
        <f>VLOOKUP($AE54,'Lower Limb Angioplasty'!$A:$AS,42,FALSE)</f>
        <v>9</v>
      </c>
      <c r="AI54" s="126">
        <f>VLOOKUP($AE54,'Lower Limb Angioplasty'!$A:$AS,43,FALSE)</f>
        <v>3</v>
      </c>
      <c r="AJ54" s="126">
        <f>VLOOKUP($AE54,'Lower Limb Angioplasty'!$A:$AS,44,FALSE)</f>
        <v>5</v>
      </c>
      <c r="AK54" s="126">
        <f>VLOOKUP($AE54,'Lower Limb Angioplasty'!$A:$AS,45,FALSE)</f>
        <v>5</v>
      </c>
    </row>
    <row r="55" spans="18:37" x14ac:dyDescent="0.25">
      <c r="R55" s="43">
        <f>MATCH(R54,'Lower Limb Angioplasty'!$D$1:$F$1,0)</f>
        <v>1</v>
      </c>
      <c r="AE55" s="125" t="s">
        <v>79</v>
      </c>
      <c r="AF55" s="125" t="s">
        <v>80</v>
      </c>
      <c r="AG55" s="43">
        <v>54</v>
      </c>
      <c r="AH55" s="126">
        <f>VLOOKUP($AE55,'Lower Limb Angioplasty'!$A:$AS,42,FALSE)</f>
        <v>10</v>
      </c>
      <c r="AI55" s="126">
        <f>VLOOKUP($AE55,'Lower Limb Angioplasty'!$A:$AS,43,FALSE)</f>
        <v>9</v>
      </c>
      <c r="AJ55" s="126">
        <f>VLOOKUP($AE55,'Lower Limb Angioplasty'!$A:$AS,44,FALSE)</f>
        <v>5</v>
      </c>
      <c r="AK55" s="126">
        <f>VLOOKUP($AE55,'Lower Limb Angioplasty'!$A:$AS,45,FALSE)</f>
        <v>5</v>
      </c>
    </row>
    <row r="56" spans="18:37" x14ac:dyDescent="0.25">
      <c r="AE56" s="125" t="s">
        <v>21</v>
      </c>
      <c r="AF56" s="125" t="s">
        <v>22</v>
      </c>
      <c r="AG56" s="43">
        <v>55</v>
      </c>
      <c r="AH56" s="126">
        <f>VLOOKUP($AE56,'Lower Limb Angioplasty'!$A:$AS,42,FALSE)</f>
        <v>10</v>
      </c>
      <c r="AI56" s="126">
        <f>VLOOKUP($AE56,'Lower Limb Angioplasty'!$A:$AS,43,FALSE)</f>
        <v>8</v>
      </c>
      <c r="AJ56" s="126">
        <f>VLOOKUP($AE56,'Lower Limb Angioplasty'!$A:$AS,44,FALSE)</f>
        <v>6</v>
      </c>
      <c r="AK56" s="126">
        <f>VLOOKUP($AE56,'Lower Limb Angioplasty'!$A:$AS,45,FALSE)</f>
        <v>5</v>
      </c>
    </row>
    <row r="57" spans="18:37" x14ac:dyDescent="0.25">
      <c r="AE57" s="125" t="s">
        <v>631</v>
      </c>
      <c r="AF57" s="125" t="s">
        <v>632</v>
      </c>
      <c r="AG57" s="43">
        <v>56</v>
      </c>
      <c r="AH57" s="126">
        <f>VLOOKUP($AE57,'Lower Limb Angioplasty'!$A:$AS,42,FALSE)</f>
        <v>10</v>
      </c>
      <c r="AI57" s="126">
        <f>VLOOKUP($AE57,'Lower Limb Angioplasty'!$A:$AS,43,FALSE)</f>
        <v>8</v>
      </c>
      <c r="AJ57" s="126">
        <f>VLOOKUP($AE57,'Lower Limb Angioplasty'!$A:$AS,44,FALSE)</f>
        <v>6</v>
      </c>
      <c r="AK57" s="126">
        <f>VLOOKUP($AE57,'Lower Limb Angioplasty'!$A:$AS,45,FALSE)</f>
        <v>5</v>
      </c>
    </row>
    <row r="58" spans="18:37" x14ac:dyDescent="0.25">
      <c r="AE58" s="125" t="s">
        <v>103</v>
      </c>
      <c r="AF58" s="125" t="s">
        <v>104</v>
      </c>
      <c r="AG58" s="43">
        <v>57</v>
      </c>
      <c r="AH58" s="126">
        <f>VLOOKUP($AE58,'Lower Limb Angioplasty'!$A:$AS,42,FALSE)</f>
        <v>11</v>
      </c>
      <c r="AI58" s="126">
        <f>VLOOKUP($AE58,'Lower Limb Angioplasty'!$A:$AS,43,FALSE)</f>
        <v>7</v>
      </c>
      <c r="AJ58" s="126">
        <f>VLOOKUP($AE58,'Lower Limb Angioplasty'!$A:$AS,44,FALSE)</f>
        <v>9</v>
      </c>
      <c r="AK58" s="126">
        <f>VLOOKUP($AE58,'Lower Limb Angioplasty'!$A:$AS,45,FALSE)</f>
        <v>5</v>
      </c>
    </row>
    <row r="59" spans="18:37" x14ac:dyDescent="0.25">
      <c r="AE59" s="125" t="s">
        <v>46</v>
      </c>
      <c r="AF59" s="125" t="s">
        <v>619</v>
      </c>
      <c r="AG59" s="43">
        <v>58</v>
      </c>
      <c r="AH59" s="126">
        <f>VLOOKUP($AE59,'Lower Limb Angioplasty'!$A:$AS,42,FALSE)</f>
        <v>12</v>
      </c>
      <c r="AI59" s="126">
        <f>VLOOKUP($AE59,'Lower Limb Angioplasty'!$A:$AS,43,FALSE)</f>
        <v>4</v>
      </c>
      <c r="AJ59" s="126">
        <f>VLOOKUP($AE59,'Lower Limb Angioplasty'!$A:$AS,44,FALSE)</f>
        <v>8</v>
      </c>
      <c r="AK59" s="126">
        <f>VLOOKUP($AE59,'Lower Limb Angioplasty'!$A:$AS,45,FALSE)</f>
        <v>5</v>
      </c>
    </row>
    <row r="60" spans="18:37" x14ac:dyDescent="0.25">
      <c r="AE60" s="49"/>
      <c r="AF60" s="129"/>
    </row>
    <row r="61" spans="18:37" x14ac:dyDescent="0.25">
      <c r="AE61" s="49"/>
      <c r="AF61" s="130"/>
    </row>
    <row r="62" spans="18:37" x14ac:dyDescent="0.25">
      <c r="AE62" s="49"/>
      <c r="AF62" s="130"/>
    </row>
    <row r="63" spans="18:37" x14ac:dyDescent="0.25">
      <c r="AE63" s="49"/>
      <c r="AF63" s="130"/>
    </row>
    <row r="64" spans="18:37" x14ac:dyDescent="0.25">
      <c r="AE64" s="49"/>
      <c r="AF64" s="130"/>
    </row>
    <row r="65" spans="31:32" x14ac:dyDescent="0.25">
      <c r="AE65" s="49"/>
      <c r="AF65" s="130"/>
    </row>
    <row r="66" spans="31:32" x14ac:dyDescent="0.25">
      <c r="AE66" s="49"/>
      <c r="AF66" s="130"/>
    </row>
    <row r="67" spans="31:32" x14ac:dyDescent="0.25">
      <c r="AE67" s="49"/>
      <c r="AF67" s="130"/>
    </row>
    <row r="68" spans="31:32" x14ac:dyDescent="0.25">
      <c r="AE68" s="49"/>
      <c r="AF68" s="130"/>
    </row>
    <row r="69" spans="31:32" x14ac:dyDescent="0.25">
      <c r="AE69" s="49"/>
      <c r="AF69" s="130"/>
    </row>
    <row r="70" spans="31:32" x14ac:dyDescent="0.25">
      <c r="AE70" s="49"/>
      <c r="AF70" s="130"/>
    </row>
    <row r="71" spans="31:32" x14ac:dyDescent="0.25">
      <c r="AE71" s="49"/>
      <c r="AF71" s="130"/>
    </row>
    <row r="72" spans="31:32" x14ac:dyDescent="0.25">
      <c r="AE72" s="49"/>
      <c r="AF72" s="130"/>
    </row>
    <row r="73" spans="31:32" x14ac:dyDescent="0.25">
      <c r="AE73" s="49"/>
      <c r="AF73" s="130"/>
    </row>
    <row r="74" spans="31:32" x14ac:dyDescent="0.25">
      <c r="AE74" s="49"/>
      <c r="AF74" s="130"/>
    </row>
    <row r="75" spans="31:32" x14ac:dyDescent="0.25">
      <c r="AE75" s="49"/>
      <c r="AF75" s="130"/>
    </row>
    <row r="76" spans="31:32" x14ac:dyDescent="0.25">
      <c r="AE76" s="49"/>
      <c r="AF76" s="130"/>
    </row>
  </sheetData>
  <mergeCells count="1">
    <mergeCell ref="B31:C31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'Lower Limb Angioplasty'!$D$1:$F$1</xm:f>
          </x14:formula1>
          <xm:sqref>R54</xm:sqref>
        </x14:dataValidation>
        <x14:dataValidation type="list" allowBlank="1" showInputMessage="1" showErrorMessage="1">
          <x14:formula1>
            <xm:f>'Lower Limb Angioplasty'!$B$2:$B$102</xm:f>
          </x14:formula1>
          <xm:sqref>B1</xm:sqref>
        </x14:dataValidation>
        <x14:dataValidation type="list" allowBlank="1" showInputMessage="1" showErrorMessage="1">
          <x14:formula1>
            <xm:f>'Lower Limb Angioplasty'!$AD$1:$AE$1</xm:f>
          </x14:formula1>
          <xm:sqref>R3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84" sqref="L84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0" bestFit="1" customWidth="1"/>
    <col min="4" max="4" width="15.42578125" customWidth="1"/>
    <col min="5" max="5" width="6" bestFit="1" customWidth="1"/>
    <col min="6" max="6" width="10.140625" bestFit="1" customWidth="1"/>
    <col min="7" max="7" width="19.7109375" customWidth="1"/>
    <col min="8" max="8" width="16.85546875" bestFit="1" customWidth="1"/>
    <col min="9" max="9" width="12.28515625" bestFit="1" customWidth="1"/>
    <col min="10" max="10" width="14.140625" bestFit="1" customWidth="1"/>
    <col min="11" max="11" width="15.28515625" customWidth="1"/>
    <col min="12" max="12" width="15" customWidth="1"/>
    <col min="13" max="13" width="6.42578125" style="40" bestFit="1" customWidth="1"/>
    <col min="14" max="14" width="8.28515625" bestFit="1" customWidth="1"/>
    <col min="15" max="15" width="8.7109375" bestFit="1" customWidth="1"/>
    <col min="16" max="16" width="6" bestFit="1" customWidth="1"/>
    <col min="17" max="17" width="9.85546875" bestFit="1" customWidth="1"/>
    <col min="18" max="19" width="10.140625" bestFit="1" customWidth="1"/>
    <col min="20" max="20" width="10" bestFit="1" customWidth="1"/>
    <col min="21" max="21" width="11.7109375" bestFit="1" customWidth="1"/>
    <col min="22" max="22" width="10" bestFit="1" customWidth="1"/>
    <col min="23" max="23" width="10.5703125" bestFit="1" customWidth="1"/>
    <col min="24" max="24" width="10.140625" bestFit="1" customWidth="1"/>
    <col min="25" max="25" width="10.5703125" bestFit="1" customWidth="1"/>
    <col min="26" max="26" width="8.42578125" bestFit="1" customWidth="1"/>
    <col min="27" max="27" width="6.42578125" bestFit="1" customWidth="1"/>
    <col min="28" max="29" width="8.42578125" bestFit="1" customWidth="1"/>
    <col min="30" max="30" width="15.5703125" customWidth="1"/>
  </cols>
  <sheetData>
    <row r="1" spans="1:46" ht="60.75" thickBot="1" x14ac:dyDescent="0.3">
      <c r="A1" s="75" t="s">
        <v>189</v>
      </c>
      <c r="B1" s="75" t="s">
        <v>183</v>
      </c>
      <c r="C1" s="76" t="s">
        <v>190</v>
      </c>
      <c r="D1" s="22" t="s">
        <v>573</v>
      </c>
      <c r="E1" s="22" t="s">
        <v>571</v>
      </c>
      <c r="F1" s="22" t="s">
        <v>572</v>
      </c>
      <c r="G1" s="77" t="s">
        <v>206</v>
      </c>
      <c r="H1" s="76" t="s">
        <v>208</v>
      </c>
      <c r="I1" s="26" t="s">
        <v>397</v>
      </c>
      <c r="J1" s="22" t="s">
        <v>609</v>
      </c>
      <c r="K1" s="22" t="s">
        <v>1098</v>
      </c>
      <c r="L1" s="22" t="s">
        <v>1099</v>
      </c>
      <c r="M1" s="82" t="s">
        <v>189</v>
      </c>
      <c r="N1" s="22" t="s">
        <v>594</v>
      </c>
      <c r="O1" s="22" t="s">
        <v>595</v>
      </c>
      <c r="P1" s="22" t="s">
        <v>596</v>
      </c>
      <c r="Q1" s="22" t="s">
        <v>597</v>
      </c>
      <c r="R1" s="22" t="s">
        <v>598</v>
      </c>
      <c r="S1" s="22" t="s">
        <v>605</v>
      </c>
      <c r="T1" s="22" t="s">
        <v>599</v>
      </c>
      <c r="U1" s="22" t="s">
        <v>600</v>
      </c>
      <c r="V1" s="22" t="s">
        <v>601</v>
      </c>
      <c r="W1" s="22" t="s">
        <v>602</v>
      </c>
      <c r="X1" s="22" t="s">
        <v>603</v>
      </c>
      <c r="Y1" s="22" t="s">
        <v>604</v>
      </c>
      <c r="Z1" s="78" t="s">
        <v>586</v>
      </c>
      <c r="AA1" s="78" t="s">
        <v>610</v>
      </c>
      <c r="AB1" s="78" t="s">
        <v>590</v>
      </c>
      <c r="AC1" s="78" t="s">
        <v>591</v>
      </c>
      <c r="AD1" s="66" t="s">
        <v>1136</v>
      </c>
      <c r="AE1" s="78" t="s">
        <v>1112</v>
      </c>
      <c r="AF1" s="78" t="s">
        <v>1115</v>
      </c>
      <c r="AG1" s="78" t="s">
        <v>1116</v>
      </c>
      <c r="AH1" s="78" t="s">
        <v>1117</v>
      </c>
      <c r="AI1" s="78" t="s">
        <v>1118</v>
      </c>
      <c r="AJ1" s="78" t="s">
        <v>1113</v>
      </c>
      <c r="AK1" s="78" t="s">
        <v>1114</v>
      </c>
      <c r="AL1" s="78" t="s">
        <v>1119</v>
      </c>
      <c r="AM1" s="78" t="s">
        <v>1120</v>
      </c>
      <c r="AN1" s="78" t="s">
        <v>1124</v>
      </c>
      <c r="AO1" s="78" t="s">
        <v>1125</v>
      </c>
      <c r="AP1" s="52" t="s">
        <v>588</v>
      </c>
      <c r="AQ1" s="52" t="s">
        <v>1121</v>
      </c>
      <c r="AR1" s="52" t="s">
        <v>1122</v>
      </c>
      <c r="AS1" s="52" t="s">
        <v>1123</v>
      </c>
      <c r="AT1" s="30" t="s">
        <v>1100</v>
      </c>
    </row>
    <row r="2" spans="1:46" x14ac:dyDescent="0.25">
      <c r="A2" s="18" t="s">
        <v>9</v>
      </c>
      <c r="B2" s="18" t="s">
        <v>10</v>
      </c>
      <c r="C2" s="80">
        <v>25</v>
      </c>
      <c r="D2" s="83">
        <v>1</v>
      </c>
      <c r="E2" s="83">
        <v>0.79</v>
      </c>
      <c r="F2" s="83">
        <v>0.88</v>
      </c>
      <c r="G2" s="83" t="s">
        <v>291</v>
      </c>
      <c r="H2" s="81">
        <v>7.4671835899353028E-2</v>
      </c>
      <c r="I2" s="84">
        <v>7</v>
      </c>
      <c r="J2" s="81">
        <v>0.28999999165534973</v>
      </c>
      <c r="K2" s="84" t="s">
        <v>633</v>
      </c>
      <c r="L2" s="84" t="s">
        <v>399</v>
      </c>
      <c r="M2" s="79" t="s">
        <v>9</v>
      </c>
      <c r="N2" s="83">
        <v>0.86</v>
      </c>
      <c r="O2" s="83">
        <v>1</v>
      </c>
      <c r="P2" s="83">
        <v>0.54</v>
      </c>
      <c r="Q2" s="83">
        <v>0.94</v>
      </c>
      <c r="R2" s="83">
        <v>0.69</v>
      </c>
      <c r="S2" s="83">
        <v>0.97</v>
      </c>
      <c r="T2" s="85">
        <v>0.14000000000000001</v>
      </c>
      <c r="U2" s="85">
        <v>0</v>
      </c>
      <c r="V2" s="85">
        <v>0.25</v>
      </c>
      <c r="W2" s="85">
        <v>0.14999999999999991</v>
      </c>
      <c r="X2" s="85">
        <v>0.19000000000000006</v>
      </c>
      <c r="Y2" s="85">
        <v>8.9999999999999969E-2</v>
      </c>
      <c r="Z2" s="86">
        <f>IF('Angioplasty Summary'!$R$55=3, RANK(F2,F$2:F$102,1)+COUNTIF($F$2:F2,F2)-1, IF('Angioplasty Summary'!$R$55=2, RANK(E2,E$2:E$102,1)+COUNTIF($E$2:E2,E2)-1, IF('Angioplasty Summary'!$R$55=1, RANK(D2,D$2:D$102,1)+COUNTIF($D$2:D2,D2)-1)))</f>
        <v>47</v>
      </c>
      <c r="AA2" s="85">
        <f>IF('Angioplasty Summary'!$R$55=3, F2, IF('Angioplasty Summary'!$R$55=2, E2, IF('Angioplasty Summary'!$R$55=1, D2)))</f>
        <v>1</v>
      </c>
      <c r="AB2" s="85">
        <f>IF('Angioplasty Summary'!$R$55=3, X2, IF('Angioplasty Summary'!$R$55=2, V2, IF('Angioplasty Summary'!$R$55=1, T2)))</f>
        <v>0.14000000000000001</v>
      </c>
      <c r="AC2" s="85">
        <f>IF('Angioplasty Summary'!$R$55=3, Y2, IF('Angioplasty Summary'!$R$55=2, W2, IF('Angioplasty Summary'!$R$55=1, U2)))</f>
        <v>0</v>
      </c>
      <c r="AD2" t="s">
        <v>399</v>
      </c>
      <c r="AE2" t="e">
        <v>#VALUE!</v>
      </c>
      <c r="AF2" t="e">
        <v>#VALUE!</v>
      </c>
      <c r="AG2" t="e">
        <v>#VALUE!</v>
      </c>
      <c r="AH2" t="e">
        <f>AD2-AF2</f>
        <v>#VALUE!</v>
      </c>
      <c r="AI2" t="e">
        <f>AG2-AD2</f>
        <v>#VALUE!</v>
      </c>
      <c r="AJ2" t="e">
        <v>#VALUE!</v>
      </c>
      <c r="AK2" t="e">
        <v>#VALUE!</v>
      </c>
      <c r="AL2" t="e">
        <f>AE2-AJ2</f>
        <v>#VALUE!</v>
      </c>
      <c r="AM2" t="e">
        <f>AK2-AE2</f>
        <v>#VALUE!</v>
      </c>
      <c r="AN2">
        <v>5</v>
      </c>
      <c r="AO2">
        <v>80</v>
      </c>
      <c r="AP2" s="91" t="str">
        <f>IF('Angioplasty Summary'!$R$4=2, AE2, IF('Angioplasty Summary'!$R$4=1, AD2))</f>
        <v>xx</v>
      </c>
      <c r="AQ2" s="91" t="e">
        <f>IF('Angioplasty Summary'!$R$4=2, AL2, IF('Angioplasty Summary'!$R$4=1, AH2))</f>
        <v>#VALUE!</v>
      </c>
      <c r="AR2" s="91" t="e">
        <f>IF('Angioplasty Summary'!$R$4=2, AM2, IF('Angioplasty Summary'!$R$4=1, AI2))</f>
        <v>#VALUE!</v>
      </c>
      <c r="AS2" s="91">
        <f>IF('Angioplasty Summary'!$R$4=2, AO2, IF('Angioplasty Summary'!$R$4=1, AN2))</f>
        <v>5</v>
      </c>
      <c r="AT2" t="s">
        <v>399</v>
      </c>
    </row>
    <row r="3" spans="1:46" x14ac:dyDescent="0.25">
      <c r="A3" s="18" t="s">
        <v>120</v>
      </c>
      <c r="B3" s="18" t="s">
        <v>612</v>
      </c>
      <c r="C3" s="80">
        <v>55</v>
      </c>
      <c r="D3" s="83">
        <v>0.91</v>
      </c>
      <c r="E3" s="83">
        <v>0.25</v>
      </c>
      <c r="F3" s="83">
        <v>0.87</v>
      </c>
      <c r="G3" s="83" t="s">
        <v>243</v>
      </c>
      <c r="H3" s="81">
        <v>6.494049549102783E-2</v>
      </c>
      <c r="I3" s="84">
        <v>52</v>
      </c>
      <c r="J3" s="81">
        <v>1.9999999552965164E-2</v>
      </c>
      <c r="K3" s="84" t="s">
        <v>633</v>
      </c>
      <c r="L3" s="84" t="s">
        <v>399</v>
      </c>
      <c r="M3" s="79" t="s">
        <v>120</v>
      </c>
      <c r="N3" s="83">
        <v>0.8</v>
      </c>
      <c r="O3" s="83">
        <v>0.97</v>
      </c>
      <c r="P3" s="83">
        <v>0.13</v>
      </c>
      <c r="Q3" s="83">
        <v>0.4</v>
      </c>
      <c r="R3" s="83">
        <v>0.76</v>
      </c>
      <c r="S3" s="83">
        <v>0.95</v>
      </c>
      <c r="T3" s="85">
        <v>0.10999999999999999</v>
      </c>
      <c r="U3" s="85">
        <v>5.9999999999999942E-2</v>
      </c>
      <c r="V3" s="85">
        <v>0.12</v>
      </c>
      <c r="W3" s="85">
        <v>0.15000000000000002</v>
      </c>
      <c r="X3" s="85">
        <v>0.10999999999999999</v>
      </c>
      <c r="Y3" s="85">
        <v>7.999999999999996E-2</v>
      </c>
      <c r="Z3" s="86">
        <f>IF('Angioplasty Summary'!$R$55=3, RANK(F3,F$2:F$102,1)+COUNTIF($F$2:F3,F3)-1, IF('Angioplasty Summary'!$R$55=2, RANK(E3,E$2:E$102,1)+COUNTIF($E$2:E3,E3)-1, IF('Angioplasty Summary'!$R$55=1, RANK(D3,D$2:D$102,1)+COUNTIF($D$2:D3,D3)-1)))</f>
        <v>5</v>
      </c>
      <c r="AA3" s="85">
        <f>IF('Angioplasty Summary'!$R$55=3, F3, IF('Angioplasty Summary'!$R$55=2, E3, IF('Angioplasty Summary'!$R$55=1, D3)))</f>
        <v>0.91</v>
      </c>
      <c r="AB3" s="85">
        <f>IF('Angioplasty Summary'!$R$55=3, X3, IF('Angioplasty Summary'!$R$55=2, V3, IF('Angioplasty Summary'!$R$55=1, T3)))</f>
        <v>0.10999999999999999</v>
      </c>
      <c r="AC3" s="85">
        <f>IF('Angioplasty Summary'!$R$55=3, Y3, IF('Angioplasty Summary'!$R$55=2, W3, IF('Angioplasty Summary'!$R$55=1, U3)))</f>
        <v>5.9999999999999942E-2</v>
      </c>
      <c r="AD3" t="s">
        <v>399</v>
      </c>
      <c r="AE3" t="e">
        <v>#VALUE!</v>
      </c>
      <c r="AF3" t="e">
        <v>#VALUE!</v>
      </c>
      <c r="AG3" t="e">
        <v>#VALUE!</v>
      </c>
      <c r="AH3" t="e">
        <f t="shared" ref="AH3:AH66" si="0">AD3-AF3</f>
        <v>#VALUE!</v>
      </c>
      <c r="AI3" t="e">
        <f t="shared" ref="AI3:AI66" si="1">AG3-AD3</f>
        <v>#VALUE!</v>
      </c>
      <c r="AJ3" t="e">
        <v>#VALUE!</v>
      </c>
      <c r="AK3" t="e">
        <v>#VALUE!</v>
      </c>
      <c r="AL3" t="e">
        <f t="shared" ref="AL3:AL66" si="2">AE3-AJ3</f>
        <v>#VALUE!</v>
      </c>
      <c r="AM3" t="e">
        <f t="shared" ref="AM3:AM66" si="3">AK3-AE3</f>
        <v>#VALUE!</v>
      </c>
      <c r="AN3">
        <v>5</v>
      </c>
      <c r="AO3">
        <v>80</v>
      </c>
      <c r="AP3" s="91" t="str">
        <f>IF('Angioplasty Summary'!$R$4=2, AE3, IF('Angioplasty Summary'!$R$4=1, AD3))</f>
        <v>xx</v>
      </c>
      <c r="AQ3" s="91" t="e">
        <f>IF('Angioplasty Summary'!$R$4=2, AL3, IF('Angioplasty Summary'!$R$4=1, AH3))</f>
        <v>#VALUE!</v>
      </c>
      <c r="AR3" s="91" t="e">
        <f>IF('Angioplasty Summary'!$R$4=2, AM3, IF('Angioplasty Summary'!$R$4=1, AI3))</f>
        <v>#VALUE!</v>
      </c>
      <c r="AS3" s="91">
        <f>IF('Angioplasty Summary'!$R$4=2, AO3, IF('Angioplasty Summary'!$R$4=1, AN3))</f>
        <v>5</v>
      </c>
      <c r="AT3" t="s">
        <v>399</v>
      </c>
    </row>
    <row r="4" spans="1:46" x14ac:dyDescent="0.25">
      <c r="A4" s="18" t="s">
        <v>48</v>
      </c>
      <c r="B4" s="18" t="s">
        <v>613</v>
      </c>
      <c r="C4" s="80">
        <v>551</v>
      </c>
      <c r="D4" s="83">
        <v>0.97</v>
      </c>
      <c r="E4" s="83">
        <v>0.57999999999999996</v>
      </c>
      <c r="F4" s="83">
        <v>0.87</v>
      </c>
      <c r="G4" s="83" t="s">
        <v>634</v>
      </c>
      <c r="H4" s="81">
        <v>2.3003439903259277E-2</v>
      </c>
      <c r="I4" s="84">
        <v>538</v>
      </c>
      <c r="J4" s="81">
        <v>9.0000003576278687E-2</v>
      </c>
      <c r="K4" s="84">
        <v>98</v>
      </c>
      <c r="L4" s="84" t="s">
        <v>372</v>
      </c>
      <c r="M4" s="79" t="s">
        <v>48</v>
      </c>
      <c r="N4" s="83">
        <v>0.95</v>
      </c>
      <c r="O4" s="83">
        <v>0.98</v>
      </c>
      <c r="P4" s="83">
        <v>0.52</v>
      </c>
      <c r="Q4" s="83">
        <v>0.63</v>
      </c>
      <c r="R4" s="83">
        <v>0.84</v>
      </c>
      <c r="S4" s="83">
        <v>0.9</v>
      </c>
      <c r="T4" s="85">
        <v>2.0000000000000018E-2</v>
      </c>
      <c r="U4" s="85">
        <v>1.0000000000000009E-2</v>
      </c>
      <c r="V4" s="85">
        <v>5.9999999999999942E-2</v>
      </c>
      <c r="W4" s="85">
        <v>5.0000000000000044E-2</v>
      </c>
      <c r="X4" s="85">
        <v>3.0000000000000027E-2</v>
      </c>
      <c r="Y4" s="85">
        <v>3.0000000000000027E-2</v>
      </c>
      <c r="Z4" s="86">
        <f>IF('Angioplasty Summary'!$R$55=3, RANK(F4,F$2:F$102,1)+COUNTIF($F$2:F4,F4)-1, IF('Angioplasty Summary'!$R$55=2, RANK(E4,E$2:E$102,1)+COUNTIF($E$2:E4,E4)-1, IF('Angioplasty Summary'!$R$55=1, RANK(D4,D$2:D$102,1)+COUNTIF($D$2:D4,D4)-1)))</f>
        <v>18</v>
      </c>
      <c r="AA4" s="85">
        <f>IF('Angioplasty Summary'!$R$55=3, F4, IF('Angioplasty Summary'!$R$55=2, E4, IF('Angioplasty Summary'!$R$55=1, D4)))</f>
        <v>0.97</v>
      </c>
      <c r="AB4" s="85">
        <f>IF('Angioplasty Summary'!$R$55=3, X4, IF('Angioplasty Summary'!$R$55=2, V4, IF('Angioplasty Summary'!$R$55=1, T4)))</f>
        <v>2.0000000000000018E-2</v>
      </c>
      <c r="AC4" s="85">
        <f>IF('Angioplasty Summary'!$R$55=3, Y4, IF('Angioplasty Summary'!$R$55=2, W4, IF('Angioplasty Summary'!$R$55=1, U4)))</f>
        <v>1.0000000000000009E-2</v>
      </c>
      <c r="AD4">
        <v>7</v>
      </c>
      <c r="AE4">
        <v>38</v>
      </c>
      <c r="AF4">
        <v>4</v>
      </c>
      <c r="AG4">
        <v>11</v>
      </c>
      <c r="AH4">
        <f t="shared" si="0"/>
        <v>3</v>
      </c>
      <c r="AI4">
        <f t="shared" si="1"/>
        <v>4</v>
      </c>
      <c r="AJ4">
        <v>28.00000011920929</v>
      </c>
      <c r="AK4">
        <v>47.999998927116394</v>
      </c>
      <c r="AL4">
        <f t="shared" si="2"/>
        <v>9.9999998807907104</v>
      </c>
      <c r="AM4">
        <f t="shared" si="3"/>
        <v>9.999998927116394</v>
      </c>
      <c r="AN4">
        <v>5</v>
      </c>
      <c r="AO4">
        <v>80</v>
      </c>
      <c r="AP4" s="91">
        <f>IF('Angioplasty Summary'!$R$4=2, AE4, IF('Angioplasty Summary'!$R$4=1, AD4))</f>
        <v>7</v>
      </c>
      <c r="AQ4" s="91">
        <f>IF('Angioplasty Summary'!$R$4=2, AL4, IF('Angioplasty Summary'!$R$4=1, AH4))</f>
        <v>3</v>
      </c>
      <c r="AR4" s="91">
        <f>IF('Angioplasty Summary'!$R$4=2, AM4, IF('Angioplasty Summary'!$R$4=1, AI4))</f>
        <v>4</v>
      </c>
      <c r="AS4" s="91">
        <f>IF('Angioplasty Summary'!$R$4=2, AO4, IF('Angioplasty Summary'!$R$4=1, AN4))</f>
        <v>5</v>
      </c>
      <c r="AT4" s="124">
        <v>0.38</v>
      </c>
    </row>
    <row r="5" spans="1:46" x14ac:dyDescent="0.25">
      <c r="A5" s="18" t="s">
        <v>13</v>
      </c>
      <c r="B5" s="18" t="s">
        <v>14</v>
      </c>
      <c r="C5" s="80">
        <v>581</v>
      </c>
      <c r="D5" s="83">
        <v>0.97</v>
      </c>
      <c r="E5" s="83">
        <v>0.54</v>
      </c>
      <c r="F5" s="83">
        <v>0.84</v>
      </c>
      <c r="G5" s="83" t="s">
        <v>635</v>
      </c>
      <c r="H5" s="81">
        <v>1.2989259958267212E-2</v>
      </c>
      <c r="I5" s="84">
        <v>501</v>
      </c>
      <c r="J5" s="81">
        <v>0.15000000596046448</v>
      </c>
      <c r="K5" s="84">
        <v>102</v>
      </c>
      <c r="L5" s="84" t="s">
        <v>636</v>
      </c>
      <c r="M5" s="79" t="s">
        <v>13</v>
      </c>
      <c r="N5" s="83">
        <v>0.95</v>
      </c>
      <c r="O5" s="83">
        <v>0.99</v>
      </c>
      <c r="P5" s="83">
        <v>0.48</v>
      </c>
      <c r="Q5" s="83">
        <v>0.6</v>
      </c>
      <c r="R5" s="83">
        <v>0.8</v>
      </c>
      <c r="S5" s="83">
        <v>0.88</v>
      </c>
      <c r="T5" s="85">
        <v>2.0000000000000018E-2</v>
      </c>
      <c r="U5" s="85">
        <v>2.0000000000000018E-2</v>
      </c>
      <c r="V5" s="85">
        <v>6.0000000000000053E-2</v>
      </c>
      <c r="W5" s="85">
        <v>5.9999999999999942E-2</v>
      </c>
      <c r="X5" s="85">
        <v>3.9999999999999925E-2</v>
      </c>
      <c r="Y5" s="85">
        <v>4.0000000000000036E-2</v>
      </c>
      <c r="Z5" s="86">
        <f>IF('Angioplasty Summary'!$R$55=3, RANK(F5,F$2:F$102,1)+COUNTIF($F$2:F5,F5)-1, IF('Angioplasty Summary'!$R$55=2, RANK(E5,E$2:E$102,1)+COUNTIF($E$2:E5,E5)-1, IF('Angioplasty Summary'!$R$55=1, RANK(D5,D$2:D$102,1)+COUNTIF($D$2:D5,D5)-1)))</f>
        <v>19</v>
      </c>
      <c r="AA5" s="85">
        <f>IF('Angioplasty Summary'!$R$55=3, F5, IF('Angioplasty Summary'!$R$55=2, E5, IF('Angioplasty Summary'!$R$55=1, D5)))</f>
        <v>0.97</v>
      </c>
      <c r="AB5" s="85">
        <f>IF('Angioplasty Summary'!$R$55=3, X5, IF('Angioplasty Summary'!$R$55=2, V5, IF('Angioplasty Summary'!$R$55=1, T5)))</f>
        <v>2.0000000000000018E-2</v>
      </c>
      <c r="AC5" s="85">
        <f>IF('Angioplasty Summary'!$R$55=3, Y5, IF('Angioplasty Summary'!$R$55=2, W5, IF('Angioplasty Summary'!$R$55=1, U5)))</f>
        <v>2.0000000000000018E-2</v>
      </c>
      <c r="AD5">
        <v>8</v>
      </c>
      <c r="AE5">
        <v>37</v>
      </c>
      <c r="AF5">
        <v>4</v>
      </c>
      <c r="AG5">
        <v>13</v>
      </c>
      <c r="AH5">
        <f t="shared" si="0"/>
        <v>4</v>
      </c>
      <c r="AI5">
        <f t="shared" si="1"/>
        <v>5</v>
      </c>
      <c r="AJ5">
        <v>27.000001072883606</v>
      </c>
      <c r="AK5">
        <v>46.99999988079071</v>
      </c>
      <c r="AL5">
        <f t="shared" si="2"/>
        <v>9.999998927116394</v>
      </c>
      <c r="AM5">
        <f t="shared" si="3"/>
        <v>9.9999998807907104</v>
      </c>
      <c r="AN5">
        <v>5</v>
      </c>
      <c r="AO5">
        <v>80</v>
      </c>
      <c r="AP5" s="91">
        <f>IF('Angioplasty Summary'!$R$4=2, AE5, IF('Angioplasty Summary'!$R$4=1, AD5))</f>
        <v>8</v>
      </c>
      <c r="AQ5" s="91">
        <f>IF('Angioplasty Summary'!$R$4=2, AL5, IF('Angioplasty Summary'!$R$4=1, AH5))</f>
        <v>4</v>
      </c>
      <c r="AR5" s="91">
        <f>IF('Angioplasty Summary'!$R$4=2, AM5, IF('Angioplasty Summary'!$R$4=1, AI5))</f>
        <v>5</v>
      </c>
      <c r="AS5" s="91">
        <f>IF('Angioplasty Summary'!$R$4=2, AO5, IF('Angioplasty Summary'!$R$4=1, AN5))</f>
        <v>5</v>
      </c>
      <c r="AT5" s="124">
        <v>0.37</v>
      </c>
    </row>
    <row r="6" spans="1:46" x14ac:dyDescent="0.25">
      <c r="A6" s="18" t="s">
        <v>37</v>
      </c>
      <c r="B6" s="18" t="s">
        <v>38</v>
      </c>
      <c r="C6" s="80">
        <v>17</v>
      </c>
      <c r="D6" s="83">
        <v>1</v>
      </c>
      <c r="E6" s="83">
        <v>0.08</v>
      </c>
      <c r="F6" s="83">
        <v>0.82</v>
      </c>
      <c r="G6" s="83" t="s">
        <v>637</v>
      </c>
      <c r="H6" s="81">
        <v>0</v>
      </c>
      <c r="I6" s="84">
        <v>17</v>
      </c>
      <c r="J6" s="81">
        <v>0.11999999731779099</v>
      </c>
      <c r="K6" s="84" t="s">
        <v>633</v>
      </c>
      <c r="L6" s="84" t="s">
        <v>399</v>
      </c>
      <c r="M6" s="79" t="s">
        <v>37</v>
      </c>
      <c r="N6" s="83">
        <v>0.8</v>
      </c>
      <c r="O6" s="83">
        <v>1</v>
      </c>
      <c r="P6" s="83">
        <v>0</v>
      </c>
      <c r="Q6" s="83">
        <v>0.36</v>
      </c>
      <c r="R6" s="83">
        <v>0.56999999999999995</v>
      </c>
      <c r="S6" s="83">
        <v>0.96</v>
      </c>
      <c r="T6" s="85">
        <v>0.19999999999999996</v>
      </c>
      <c r="U6" s="85">
        <v>0</v>
      </c>
      <c r="V6" s="85">
        <v>0.08</v>
      </c>
      <c r="W6" s="85">
        <v>0.27999999999999997</v>
      </c>
      <c r="X6" s="85">
        <v>0.25</v>
      </c>
      <c r="Y6" s="85">
        <v>0.14000000000000001</v>
      </c>
      <c r="Z6" s="86">
        <f>IF('Angioplasty Summary'!$R$55=3, RANK(F6,F$2:F$102,1)+COUNTIF($F$2:F6,F6)-1, IF('Angioplasty Summary'!$R$55=2, RANK(E6,E$2:E$102,1)+COUNTIF($E$2:E6,E6)-1, IF('Angioplasty Summary'!$R$55=1, RANK(D6,D$2:D$102,1)+COUNTIF($D$2:D6,D6)-1)))</f>
        <v>48</v>
      </c>
      <c r="AA6" s="85">
        <f>IF('Angioplasty Summary'!$R$55=3, F6, IF('Angioplasty Summary'!$R$55=2, E6, IF('Angioplasty Summary'!$R$55=1, D6)))</f>
        <v>1</v>
      </c>
      <c r="AB6" s="85">
        <f>IF('Angioplasty Summary'!$R$55=3, X6, IF('Angioplasty Summary'!$R$55=2, V6, IF('Angioplasty Summary'!$R$55=1, T6)))</f>
        <v>0.19999999999999996</v>
      </c>
      <c r="AC6" s="85">
        <f>IF('Angioplasty Summary'!$R$55=3, Y6, IF('Angioplasty Summary'!$R$55=2, W6, IF('Angioplasty Summary'!$R$55=1, U6)))</f>
        <v>0</v>
      </c>
      <c r="AD6" t="s">
        <v>399</v>
      </c>
      <c r="AE6" t="e">
        <v>#VALUE!</v>
      </c>
      <c r="AF6" t="e">
        <v>#VALUE!</v>
      </c>
      <c r="AG6" t="e">
        <v>#VALUE!</v>
      </c>
      <c r="AH6" t="e">
        <f t="shared" si="0"/>
        <v>#VALUE!</v>
      </c>
      <c r="AI6" t="e">
        <f t="shared" si="1"/>
        <v>#VALUE!</v>
      </c>
      <c r="AJ6" t="e">
        <v>#VALUE!</v>
      </c>
      <c r="AK6" t="e">
        <v>#VALUE!</v>
      </c>
      <c r="AL6" t="e">
        <f t="shared" si="2"/>
        <v>#VALUE!</v>
      </c>
      <c r="AM6" t="e">
        <f t="shared" si="3"/>
        <v>#VALUE!</v>
      </c>
      <c r="AN6">
        <v>5</v>
      </c>
      <c r="AO6">
        <v>80</v>
      </c>
      <c r="AP6" s="91" t="str">
        <f>IF('Angioplasty Summary'!$R$4=2, AE6, IF('Angioplasty Summary'!$R$4=1, AD6))</f>
        <v>xx</v>
      </c>
      <c r="AQ6" s="91" t="e">
        <f>IF('Angioplasty Summary'!$R$4=2, AL6, IF('Angioplasty Summary'!$R$4=1, AH6))</f>
        <v>#VALUE!</v>
      </c>
      <c r="AR6" s="91" t="e">
        <f>IF('Angioplasty Summary'!$R$4=2, AM6, IF('Angioplasty Summary'!$R$4=1, AI6))</f>
        <v>#VALUE!</v>
      </c>
      <c r="AS6" s="91">
        <f>IF('Angioplasty Summary'!$R$4=2, AO6, IF('Angioplasty Summary'!$R$4=1, AN6))</f>
        <v>5</v>
      </c>
      <c r="AT6" t="s">
        <v>399</v>
      </c>
    </row>
    <row r="7" spans="1:46" x14ac:dyDescent="0.25">
      <c r="A7" s="18" t="s">
        <v>33</v>
      </c>
      <c r="B7" s="18" t="s">
        <v>34</v>
      </c>
      <c r="C7" s="80">
        <v>450</v>
      </c>
      <c r="D7" s="83">
        <v>0.99</v>
      </c>
      <c r="E7" s="83">
        <v>0.91</v>
      </c>
      <c r="F7" s="83">
        <v>0.89</v>
      </c>
      <c r="G7" s="83" t="s">
        <v>290</v>
      </c>
      <c r="H7" s="81">
        <v>8.2653129100799562E-3</v>
      </c>
      <c r="I7" s="84">
        <v>190</v>
      </c>
      <c r="J7" s="81">
        <v>5.000000074505806E-2</v>
      </c>
      <c r="K7" s="84">
        <v>99</v>
      </c>
      <c r="L7" s="84" t="s">
        <v>299</v>
      </c>
      <c r="M7" s="79" t="s">
        <v>33</v>
      </c>
      <c r="N7" s="83">
        <v>0.97</v>
      </c>
      <c r="O7" s="83">
        <v>1</v>
      </c>
      <c r="P7" s="83">
        <v>0.87</v>
      </c>
      <c r="Q7" s="83">
        <v>0.94</v>
      </c>
      <c r="R7" s="83">
        <v>0.86</v>
      </c>
      <c r="S7" s="83">
        <v>0.92</v>
      </c>
      <c r="T7" s="85">
        <v>2.0000000000000018E-2</v>
      </c>
      <c r="U7" s="85">
        <v>1.0000000000000009E-2</v>
      </c>
      <c r="V7" s="85">
        <v>4.0000000000000036E-2</v>
      </c>
      <c r="W7" s="85">
        <v>2.9999999999999916E-2</v>
      </c>
      <c r="X7" s="85">
        <v>3.0000000000000027E-2</v>
      </c>
      <c r="Y7" s="85">
        <v>3.0000000000000027E-2</v>
      </c>
      <c r="Z7" s="86">
        <f>IF('Angioplasty Summary'!$R$55=3, RANK(F7,F$2:F$102,1)+COUNTIF($F$2:F7,F7)-1, IF('Angioplasty Summary'!$R$55=2, RANK(E7,E$2:E$102,1)+COUNTIF($E$2:E7,E7)-1, IF('Angioplasty Summary'!$R$55=1, RANK(D7,D$2:D$102,1)+COUNTIF($D$2:D7,D7)-1)))</f>
        <v>36</v>
      </c>
      <c r="AA7" s="85">
        <f>IF('Angioplasty Summary'!$R$55=3, F7, IF('Angioplasty Summary'!$R$55=2, E7, IF('Angioplasty Summary'!$R$55=1, D7)))</f>
        <v>0.99</v>
      </c>
      <c r="AB7" s="85">
        <f>IF('Angioplasty Summary'!$R$55=3, X7, IF('Angioplasty Summary'!$R$55=2, V7, IF('Angioplasty Summary'!$R$55=1, T7)))</f>
        <v>2.0000000000000018E-2</v>
      </c>
      <c r="AC7" s="85">
        <f>IF('Angioplasty Summary'!$R$55=3, Y7, IF('Angioplasty Summary'!$R$55=2, W7, IF('Angioplasty Summary'!$R$55=1, U7)))</f>
        <v>1.0000000000000009E-2</v>
      </c>
      <c r="AD7">
        <v>0</v>
      </c>
      <c r="AE7">
        <v>87</v>
      </c>
      <c r="AF7">
        <v>0</v>
      </c>
      <c r="AG7">
        <v>3</v>
      </c>
      <c r="AH7">
        <f t="shared" si="0"/>
        <v>0</v>
      </c>
      <c r="AI7">
        <f t="shared" si="1"/>
        <v>3</v>
      </c>
      <c r="AJ7">
        <v>79.000002145767212</v>
      </c>
      <c r="AK7">
        <v>93.000000715255737</v>
      </c>
      <c r="AL7">
        <f t="shared" si="2"/>
        <v>7.9999978542327881</v>
      </c>
      <c r="AM7">
        <f t="shared" si="3"/>
        <v>6.0000007152557373</v>
      </c>
      <c r="AN7">
        <v>5</v>
      </c>
      <c r="AO7">
        <v>80</v>
      </c>
      <c r="AP7" s="91">
        <f>IF('Angioplasty Summary'!$R$4=2, AE7, IF('Angioplasty Summary'!$R$4=1, AD7))</f>
        <v>0</v>
      </c>
      <c r="AQ7" s="91">
        <f>IF('Angioplasty Summary'!$R$4=2, AL7, IF('Angioplasty Summary'!$R$4=1, AH7))</f>
        <v>0</v>
      </c>
      <c r="AR7" s="91">
        <f>IF('Angioplasty Summary'!$R$4=2, AM7, IF('Angioplasty Summary'!$R$4=1, AI7))</f>
        <v>3</v>
      </c>
      <c r="AS7" s="91">
        <f>IF('Angioplasty Summary'!$R$4=2, AO7, IF('Angioplasty Summary'!$R$4=1, AN7))</f>
        <v>5</v>
      </c>
      <c r="AT7" s="124">
        <v>0.87</v>
      </c>
    </row>
    <row r="8" spans="1:46" x14ac:dyDescent="0.25">
      <c r="A8" s="18" t="s">
        <v>180</v>
      </c>
      <c r="B8" s="18" t="s">
        <v>181</v>
      </c>
      <c r="C8" s="80">
        <v>552</v>
      </c>
      <c r="D8" s="83">
        <v>0.99</v>
      </c>
      <c r="E8" s="83">
        <v>0.82</v>
      </c>
      <c r="F8" s="83">
        <v>0.82</v>
      </c>
      <c r="G8" s="83" t="s">
        <v>293</v>
      </c>
      <c r="H8" s="81">
        <v>6.571748852729797E-3</v>
      </c>
      <c r="I8" s="84">
        <v>543</v>
      </c>
      <c r="J8" s="81">
        <v>0.15000000596046448</v>
      </c>
      <c r="K8" s="84">
        <v>68</v>
      </c>
      <c r="L8" s="84" t="s">
        <v>262</v>
      </c>
      <c r="M8" s="79" t="s">
        <v>180</v>
      </c>
      <c r="N8" s="83">
        <v>0.97</v>
      </c>
      <c r="O8" s="83">
        <v>0.99</v>
      </c>
      <c r="P8" s="83">
        <v>0.79</v>
      </c>
      <c r="Q8" s="83">
        <v>0.86</v>
      </c>
      <c r="R8" s="83">
        <v>0.78</v>
      </c>
      <c r="S8" s="83">
        <v>0.85</v>
      </c>
      <c r="T8" s="85">
        <v>2.0000000000000018E-2</v>
      </c>
      <c r="U8" s="85">
        <v>0</v>
      </c>
      <c r="V8" s="85">
        <v>2.9999999999999916E-2</v>
      </c>
      <c r="W8" s="85">
        <v>4.0000000000000036E-2</v>
      </c>
      <c r="X8" s="85">
        <v>3.9999999999999925E-2</v>
      </c>
      <c r="Y8" s="85">
        <v>3.0000000000000027E-2</v>
      </c>
      <c r="Z8" s="86">
        <f>IF('Angioplasty Summary'!$R$55=3, RANK(F8,F$2:F$102,1)+COUNTIF($F$2:F8,F8)-1, IF('Angioplasty Summary'!$R$55=2, RANK(E8,E$2:E$102,1)+COUNTIF($E$2:E8,E8)-1, IF('Angioplasty Summary'!$R$55=1, RANK(D8,D$2:D$102,1)+COUNTIF($D$2:D8,D8)-1)))</f>
        <v>37</v>
      </c>
      <c r="AA8" s="85">
        <f>IF('Angioplasty Summary'!$R$55=3, F8, IF('Angioplasty Summary'!$R$55=2, E8, IF('Angioplasty Summary'!$R$55=1, D8)))</f>
        <v>0.99</v>
      </c>
      <c r="AB8" s="85">
        <f>IF('Angioplasty Summary'!$R$55=3, X8, IF('Angioplasty Summary'!$R$55=2, V8, IF('Angioplasty Summary'!$R$55=1, T8)))</f>
        <v>2.0000000000000018E-2</v>
      </c>
      <c r="AC8" s="85">
        <f>IF('Angioplasty Summary'!$R$55=3, Y8, IF('Angioplasty Summary'!$R$55=2, W8, IF('Angioplasty Summary'!$R$55=1, U8)))</f>
        <v>0</v>
      </c>
      <c r="AD8">
        <v>6</v>
      </c>
      <c r="AE8">
        <v>41</v>
      </c>
      <c r="AF8">
        <v>4</v>
      </c>
      <c r="AG8">
        <v>13</v>
      </c>
      <c r="AH8">
        <f t="shared" si="0"/>
        <v>2</v>
      </c>
      <c r="AI8">
        <f t="shared" si="1"/>
        <v>7</v>
      </c>
      <c r="AJ8">
        <v>28.999999165534973</v>
      </c>
      <c r="AK8">
        <v>54.000002145767212</v>
      </c>
      <c r="AL8">
        <f t="shared" si="2"/>
        <v>12.000000834465027</v>
      </c>
      <c r="AM8">
        <f t="shared" si="3"/>
        <v>13.000002145767212</v>
      </c>
      <c r="AN8">
        <v>5</v>
      </c>
      <c r="AO8">
        <v>80</v>
      </c>
      <c r="AP8" s="91">
        <f>IF('Angioplasty Summary'!$R$4=2, AE8, IF('Angioplasty Summary'!$R$4=1, AD8))</f>
        <v>6</v>
      </c>
      <c r="AQ8" s="91">
        <f>IF('Angioplasty Summary'!$R$4=2, AL8, IF('Angioplasty Summary'!$R$4=1, AH8))</f>
        <v>2</v>
      </c>
      <c r="AR8" s="91">
        <f>IF('Angioplasty Summary'!$R$4=2, AM8, IF('Angioplasty Summary'!$R$4=1, AI8))</f>
        <v>7</v>
      </c>
      <c r="AS8" s="91">
        <f>IF('Angioplasty Summary'!$R$4=2, AO8, IF('Angioplasty Summary'!$R$4=1, AN8))</f>
        <v>5</v>
      </c>
      <c r="AT8" s="124">
        <v>0.41</v>
      </c>
    </row>
    <row r="9" spans="1:46" x14ac:dyDescent="0.25">
      <c r="A9" s="18" t="s">
        <v>0</v>
      </c>
      <c r="B9" s="18" t="s">
        <v>1</v>
      </c>
      <c r="C9" s="80">
        <v>2</v>
      </c>
      <c r="D9" s="83" t="s">
        <v>399</v>
      </c>
      <c r="E9" s="83" t="s">
        <v>399</v>
      </c>
      <c r="F9" s="83" t="s">
        <v>399</v>
      </c>
      <c r="G9" s="83" t="s">
        <v>399</v>
      </c>
      <c r="H9" s="81" t="s">
        <v>399</v>
      </c>
      <c r="I9" s="84" t="s">
        <v>399</v>
      </c>
      <c r="J9" s="81" t="s">
        <v>399</v>
      </c>
      <c r="K9" s="84" t="s">
        <v>399</v>
      </c>
      <c r="L9" s="84" t="s">
        <v>399</v>
      </c>
      <c r="M9" s="79" t="s">
        <v>0</v>
      </c>
      <c r="N9" s="83" t="e">
        <v>#VALUE!</v>
      </c>
      <c r="O9" s="83" t="e">
        <v>#VALUE!</v>
      </c>
      <c r="P9" s="83" t="e">
        <v>#VALUE!</v>
      </c>
      <c r="Q9" s="83" t="e">
        <v>#VALUE!</v>
      </c>
      <c r="R9" s="83" t="e">
        <v>#VALUE!</v>
      </c>
      <c r="S9" s="83" t="e">
        <v>#VALUE!</v>
      </c>
      <c r="T9" s="85" t="e">
        <v>#VALUE!</v>
      </c>
      <c r="U9" s="85" t="e">
        <v>#VALUE!</v>
      </c>
      <c r="V9" s="85" t="e">
        <v>#VALUE!</v>
      </c>
      <c r="W9" s="85" t="e">
        <v>#VALUE!</v>
      </c>
      <c r="X9" s="85" t="e">
        <v>#VALUE!</v>
      </c>
      <c r="Y9" s="85" t="e">
        <v>#VALUE!</v>
      </c>
      <c r="Z9" s="86" t="e">
        <f>IF('Angioplasty Summary'!$R$55=3, RANK(F9,F$2:F$102,1)+COUNTIF($F$2:F9,F9)-1, IF('Angioplasty Summary'!$R$55=2, RANK(E9,E$2:E$102,1)+COUNTIF($E$2:E9,E9)-1, IF('Angioplasty Summary'!$R$55=1, RANK(D9,D$2:D$102,1)+COUNTIF($D$2:D9,D9)-1)))</f>
        <v>#VALUE!</v>
      </c>
      <c r="AA9" s="85" t="str">
        <f>IF('Angioplasty Summary'!$R$55=3, F9, IF('Angioplasty Summary'!$R$55=2, E9, IF('Angioplasty Summary'!$R$55=1, D9)))</f>
        <v>xx</v>
      </c>
      <c r="AB9" s="85" t="e">
        <f>IF('Angioplasty Summary'!$R$55=3, X9, IF('Angioplasty Summary'!$R$55=2, V9, IF('Angioplasty Summary'!$R$55=1, T9)))</f>
        <v>#VALUE!</v>
      </c>
      <c r="AC9" s="85" t="e">
        <f>IF('Angioplasty Summary'!$R$55=3, Y9, IF('Angioplasty Summary'!$R$55=2, W9, IF('Angioplasty Summary'!$R$55=1, U9)))</f>
        <v>#VALUE!</v>
      </c>
      <c r="AD9" t="s">
        <v>399</v>
      </c>
      <c r="AE9" t="e">
        <v>#VALUE!</v>
      </c>
      <c r="AF9" t="e">
        <v>#VALUE!</v>
      </c>
      <c r="AG9" t="e">
        <v>#VALUE!</v>
      </c>
      <c r="AH9" t="e">
        <f t="shared" si="0"/>
        <v>#VALUE!</v>
      </c>
      <c r="AI9" t="e">
        <f t="shared" si="1"/>
        <v>#VALUE!</v>
      </c>
      <c r="AJ9" t="e">
        <v>#VALUE!</v>
      </c>
      <c r="AK9" t="e">
        <v>#VALUE!</v>
      </c>
      <c r="AL9" t="e">
        <f t="shared" si="2"/>
        <v>#VALUE!</v>
      </c>
      <c r="AM9" t="e">
        <f t="shared" si="3"/>
        <v>#VALUE!</v>
      </c>
      <c r="AN9">
        <v>5</v>
      </c>
      <c r="AO9">
        <v>80</v>
      </c>
      <c r="AP9" s="91" t="str">
        <f>IF('Angioplasty Summary'!$R$4=2, AE9, IF('Angioplasty Summary'!$R$4=1, AD9))</f>
        <v>xx</v>
      </c>
      <c r="AQ9" s="91" t="e">
        <f>IF('Angioplasty Summary'!$R$4=2, AL9, IF('Angioplasty Summary'!$R$4=1, AH9))</f>
        <v>#VALUE!</v>
      </c>
      <c r="AR9" s="91" t="e">
        <f>IF('Angioplasty Summary'!$R$4=2, AM9, IF('Angioplasty Summary'!$R$4=1, AI9))</f>
        <v>#VALUE!</v>
      </c>
      <c r="AS9" s="91">
        <f>IF('Angioplasty Summary'!$R$4=2, AO9, IF('Angioplasty Summary'!$R$4=1, AN9))</f>
        <v>5</v>
      </c>
      <c r="AT9" t="s">
        <v>399</v>
      </c>
    </row>
    <row r="10" spans="1:46" x14ac:dyDescent="0.25">
      <c r="A10" s="18" t="s">
        <v>614</v>
      </c>
      <c r="B10" s="79" t="s">
        <v>615</v>
      </c>
      <c r="C10" s="80">
        <v>0</v>
      </c>
      <c r="D10" s="83" t="s">
        <v>384</v>
      </c>
      <c r="E10" s="83" t="s">
        <v>384</v>
      </c>
      <c r="F10" s="83" t="s">
        <v>384</v>
      </c>
      <c r="G10" s="83" t="s">
        <v>384</v>
      </c>
      <c r="H10" s="81" t="s">
        <v>384</v>
      </c>
      <c r="I10" s="84" t="s">
        <v>384</v>
      </c>
      <c r="J10" s="81" t="s">
        <v>384</v>
      </c>
      <c r="K10" s="84" t="s">
        <v>384</v>
      </c>
      <c r="L10" s="84" t="s">
        <v>384</v>
      </c>
      <c r="M10" s="79" t="s">
        <v>614</v>
      </c>
      <c r="N10" s="83" t="e">
        <v>#VALUE!</v>
      </c>
      <c r="O10" s="83" t="e">
        <v>#VALUE!</v>
      </c>
      <c r="P10" s="83" t="e">
        <v>#VALUE!</v>
      </c>
      <c r="Q10" s="83" t="e">
        <v>#VALUE!</v>
      </c>
      <c r="R10" s="83" t="e">
        <v>#VALUE!</v>
      </c>
      <c r="S10" s="83" t="e">
        <v>#VALUE!</v>
      </c>
      <c r="T10" s="85" t="e">
        <v>#VALUE!</v>
      </c>
      <c r="U10" s="85" t="e">
        <v>#VALUE!</v>
      </c>
      <c r="V10" s="85" t="e">
        <v>#VALUE!</v>
      </c>
      <c r="W10" s="85" t="e">
        <v>#VALUE!</v>
      </c>
      <c r="X10" s="85" t="e">
        <v>#VALUE!</v>
      </c>
      <c r="Y10" s="85" t="e">
        <v>#VALUE!</v>
      </c>
      <c r="Z10" s="86" t="e">
        <f>IF('Angioplasty Summary'!$R$55=3, RANK(F10,F$2:F$102,1)+COUNTIF($F$2:F10,F10)-1, IF('Angioplasty Summary'!$R$55=2, RANK(E10,E$2:E$102,1)+COUNTIF($E$2:E10,E10)-1, IF('Angioplasty Summary'!$R$55=1, RANK(D10,D$2:D$102,1)+COUNTIF($D$2:D10,D10)-1)))</f>
        <v>#VALUE!</v>
      </c>
      <c r="AA10" s="85" t="str">
        <f>IF('Angioplasty Summary'!$R$55=3, F10, IF('Angioplasty Summary'!$R$55=2, E10, IF('Angioplasty Summary'!$R$55=1, D10)))</f>
        <v>N/A</v>
      </c>
      <c r="AB10" s="85" t="e">
        <f>IF('Angioplasty Summary'!$R$55=3, X10, IF('Angioplasty Summary'!$R$55=2, V10, IF('Angioplasty Summary'!$R$55=1, T10)))</f>
        <v>#VALUE!</v>
      </c>
      <c r="AC10" s="85" t="e">
        <f>IF('Angioplasty Summary'!$R$55=3, Y10, IF('Angioplasty Summary'!$R$55=2, W10, IF('Angioplasty Summary'!$R$55=1, U10)))</f>
        <v>#VALUE!</v>
      </c>
      <c r="AD10" t="s">
        <v>384</v>
      </c>
      <c r="AE10" t="e">
        <v>#VALUE!</v>
      </c>
      <c r="AF10" t="e">
        <v>#VALUE!</v>
      </c>
      <c r="AG10" t="e">
        <v>#VALUE!</v>
      </c>
      <c r="AH10" t="e">
        <f t="shared" si="0"/>
        <v>#VALUE!</v>
      </c>
      <c r="AI10" t="e">
        <f t="shared" si="1"/>
        <v>#VALUE!</v>
      </c>
      <c r="AJ10" t="e">
        <v>#VALUE!</v>
      </c>
      <c r="AK10" t="e">
        <v>#VALUE!</v>
      </c>
      <c r="AL10" t="e">
        <f t="shared" si="2"/>
        <v>#VALUE!</v>
      </c>
      <c r="AM10" t="e">
        <f t="shared" si="3"/>
        <v>#VALUE!</v>
      </c>
      <c r="AN10">
        <v>5</v>
      </c>
      <c r="AO10">
        <v>80</v>
      </c>
      <c r="AP10" s="91" t="str">
        <f>IF('Angioplasty Summary'!$R$4=2, AE10, IF('Angioplasty Summary'!$R$4=1, AD10))</f>
        <v>N/A</v>
      </c>
      <c r="AQ10" s="91" t="e">
        <f>IF('Angioplasty Summary'!$R$4=2, AL10, IF('Angioplasty Summary'!$R$4=1, AH10))</f>
        <v>#VALUE!</v>
      </c>
      <c r="AR10" s="91" t="e">
        <f>IF('Angioplasty Summary'!$R$4=2, AM10, IF('Angioplasty Summary'!$R$4=1, AI10))</f>
        <v>#VALUE!</v>
      </c>
      <c r="AS10" s="91">
        <f>IF('Angioplasty Summary'!$R$4=2, AO10, IF('Angioplasty Summary'!$R$4=1, AN10))</f>
        <v>5</v>
      </c>
      <c r="AT10" t="s">
        <v>399</v>
      </c>
    </row>
    <row r="11" spans="1:46" x14ac:dyDescent="0.25">
      <c r="A11" s="18" t="s">
        <v>85</v>
      </c>
      <c r="B11" s="18" t="s">
        <v>86</v>
      </c>
      <c r="C11" s="80">
        <v>226</v>
      </c>
      <c r="D11" s="83">
        <v>0.98</v>
      </c>
      <c r="E11" s="83">
        <v>0.94</v>
      </c>
      <c r="F11" s="83">
        <v>0.79</v>
      </c>
      <c r="G11" s="83" t="s">
        <v>290</v>
      </c>
      <c r="H11" s="81">
        <v>1.4976642131805419E-2</v>
      </c>
      <c r="I11" s="84">
        <v>194</v>
      </c>
      <c r="J11" s="81">
        <v>9.9999997764825821E-3</v>
      </c>
      <c r="K11" s="84" t="s">
        <v>633</v>
      </c>
      <c r="L11" s="84" t="s">
        <v>399</v>
      </c>
      <c r="M11" s="79" t="s">
        <v>85</v>
      </c>
      <c r="N11" s="83">
        <v>0.96</v>
      </c>
      <c r="O11" s="83">
        <v>1</v>
      </c>
      <c r="P11" s="83">
        <v>0.9</v>
      </c>
      <c r="Q11" s="83">
        <v>0.97</v>
      </c>
      <c r="R11" s="83">
        <v>0.73</v>
      </c>
      <c r="S11" s="83">
        <v>0.84</v>
      </c>
      <c r="T11" s="85">
        <v>2.0000000000000018E-2</v>
      </c>
      <c r="U11" s="85">
        <v>2.0000000000000018E-2</v>
      </c>
      <c r="V11" s="85">
        <v>3.9999999999999925E-2</v>
      </c>
      <c r="W11" s="85">
        <v>3.0000000000000027E-2</v>
      </c>
      <c r="X11" s="85">
        <v>6.0000000000000053E-2</v>
      </c>
      <c r="Y11" s="85">
        <v>4.9999999999999933E-2</v>
      </c>
      <c r="Z11" s="86">
        <f>IF('Angioplasty Summary'!$R$55=3, RANK(F11,F$2:F$102,1)+COUNTIF($F$2:F11,F11)-1, IF('Angioplasty Summary'!$R$55=2, RANK(E11,E$2:E$102,1)+COUNTIF($E$2:E11,E11)-1, IF('Angioplasty Summary'!$R$55=1, RANK(D11,D$2:D$102,1)+COUNTIF($D$2:D11,D11)-1)))</f>
        <v>28</v>
      </c>
      <c r="AA11" s="85">
        <f>IF('Angioplasty Summary'!$R$55=3, F11, IF('Angioplasty Summary'!$R$55=2, E11, IF('Angioplasty Summary'!$R$55=1, D11)))</f>
        <v>0.98</v>
      </c>
      <c r="AB11" s="85">
        <f>IF('Angioplasty Summary'!$R$55=3, X11, IF('Angioplasty Summary'!$R$55=2, V11, IF('Angioplasty Summary'!$R$55=1, T11)))</f>
        <v>2.0000000000000018E-2</v>
      </c>
      <c r="AC11" s="85">
        <f>IF('Angioplasty Summary'!$R$55=3, Y11, IF('Angioplasty Summary'!$R$55=2, W11, IF('Angioplasty Summary'!$R$55=1, U11)))</f>
        <v>2.0000000000000018E-2</v>
      </c>
      <c r="AD11" t="s">
        <v>399</v>
      </c>
      <c r="AE11" t="e">
        <v>#VALUE!</v>
      </c>
      <c r="AF11" t="e">
        <v>#VALUE!</v>
      </c>
      <c r="AG11" t="e">
        <v>#VALUE!</v>
      </c>
      <c r="AH11" t="e">
        <f t="shared" si="0"/>
        <v>#VALUE!</v>
      </c>
      <c r="AI11" t="e">
        <f t="shared" si="1"/>
        <v>#VALUE!</v>
      </c>
      <c r="AJ11" t="e">
        <v>#VALUE!</v>
      </c>
      <c r="AK11" t="e">
        <v>#VALUE!</v>
      </c>
      <c r="AL11" t="e">
        <f t="shared" si="2"/>
        <v>#VALUE!</v>
      </c>
      <c r="AM11" t="e">
        <f t="shared" si="3"/>
        <v>#VALUE!</v>
      </c>
      <c r="AN11">
        <v>5</v>
      </c>
      <c r="AO11">
        <v>80</v>
      </c>
      <c r="AP11" s="91" t="str">
        <f>IF('Angioplasty Summary'!$R$4=2, AE11, IF('Angioplasty Summary'!$R$4=1, AD11))</f>
        <v>xx</v>
      </c>
      <c r="AQ11" s="91" t="e">
        <f>IF('Angioplasty Summary'!$R$4=2, AL11, IF('Angioplasty Summary'!$R$4=1, AH11))</f>
        <v>#VALUE!</v>
      </c>
      <c r="AR11" s="91" t="e">
        <f>IF('Angioplasty Summary'!$R$4=2, AM11, IF('Angioplasty Summary'!$R$4=1, AI11))</f>
        <v>#VALUE!</v>
      </c>
      <c r="AS11" s="91">
        <f>IF('Angioplasty Summary'!$R$4=2, AO11, IF('Angioplasty Summary'!$R$4=1, AN11))</f>
        <v>5</v>
      </c>
      <c r="AT11" t="s">
        <v>399</v>
      </c>
    </row>
    <row r="12" spans="1:46" x14ac:dyDescent="0.25">
      <c r="A12" s="18" t="s">
        <v>19</v>
      </c>
      <c r="B12" s="18" t="s">
        <v>20</v>
      </c>
      <c r="C12" s="80">
        <v>26</v>
      </c>
      <c r="D12" s="83">
        <v>0.96</v>
      </c>
      <c r="E12" s="83">
        <v>1</v>
      </c>
      <c r="F12" s="83">
        <v>0.88</v>
      </c>
      <c r="G12" s="83" t="s">
        <v>291</v>
      </c>
      <c r="H12" s="81">
        <v>0</v>
      </c>
      <c r="I12" s="84">
        <v>17</v>
      </c>
      <c r="J12" s="81">
        <v>0.11999999731779099</v>
      </c>
      <c r="K12" s="84" t="s">
        <v>633</v>
      </c>
      <c r="L12" s="84" t="s">
        <v>399</v>
      </c>
      <c r="M12" s="79" t="s">
        <v>19</v>
      </c>
      <c r="N12" s="83">
        <v>0.8</v>
      </c>
      <c r="O12" s="83">
        <v>1</v>
      </c>
      <c r="P12" s="83">
        <v>0.79</v>
      </c>
      <c r="Q12" s="83">
        <v>1</v>
      </c>
      <c r="R12" s="83">
        <v>0.7</v>
      </c>
      <c r="S12" s="83">
        <v>0.98</v>
      </c>
      <c r="T12" s="85">
        <v>0.15999999999999992</v>
      </c>
      <c r="U12" s="85">
        <v>4.0000000000000036E-2</v>
      </c>
      <c r="V12" s="85">
        <v>0.20999999999999996</v>
      </c>
      <c r="W12" s="85">
        <v>0</v>
      </c>
      <c r="X12" s="85">
        <v>0.18000000000000005</v>
      </c>
      <c r="Y12" s="85">
        <v>9.9999999999999978E-2</v>
      </c>
      <c r="Z12" s="86">
        <f>IF('Angioplasty Summary'!$R$55=3, RANK(F12,F$2:F$102,1)+COUNTIF($F$2:F12,F12)-1, IF('Angioplasty Summary'!$R$55=2, RANK(E12,E$2:E$102,1)+COUNTIF($E$2:E12,E12)-1, IF('Angioplasty Summary'!$R$55=1, RANK(D12,D$2:D$102,1)+COUNTIF($D$2:D12,D12)-1)))</f>
        <v>13</v>
      </c>
      <c r="AA12" s="85">
        <f>IF('Angioplasty Summary'!$R$55=3, F12, IF('Angioplasty Summary'!$R$55=2, E12, IF('Angioplasty Summary'!$R$55=1, D12)))</f>
        <v>0.96</v>
      </c>
      <c r="AB12" s="85">
        <f>IF('Angioplasty Summary'!$R$55=3, X12, IF('Angioplasty Summary'!$R$55=2, V12, IF('Angioplasty Summary'!$R$55=1, T12)))</f>
        <v>0.15999999999999992</v>
      </c>
      <c r="AC12" s="85">
        <f>IF('Angioplasty Summary'!$R$55=3, Y12, IF('Angioplasty Summary'!$R$55=2, W12, IF('Angioplasty Summary'!$R$55=1, U12)))</f>
        <v>4.0000000000000036E-2</v>
      </c>
      <c r="AD12" t="s">
        <v>399</v>
      </c>
      <c r="AE12" t="e">
        <v>#VALUE!</v>
      </c>
      <c r="AF12" t="e">
        <v>#VALUE!</v>
      </c>
      <c r="AG12" t="e">
        <v>#VALUE!</v>
      </c>
      <c r="AH12" t="e">
        <f t="shared" si="0"/>
        <v>#VALUE!</v>
      </c>
      <c r="AI12" t="e">
        <f t="shared" si="1"/>
        <v>#VALUE!</v>
      </c>
      <c r="AJ12" t="e">
        <v>#VALUE!</v>
      </c>
      <c r="AK12" t="e">
        <v>#VALUE!</v>
      </c>
      <c r="AL12" t="e">
        <f t="shared" si="2"/>
        <v>#VALUE!</v>
      </c>
      <c r="AM12" t="e">
        <f t="shared" si="3"/>
        <v>#VALUE!</v>
      </c>
      <c r="AN12">
        <v>5</v>
      </c>
      <c r="AO12">
        <v>80</v>
      </c>
      <c r="AP12" s="91" t="str">
        <f>IF('Angioplasty Summary'!$R$4=2, AE12, IF('Angioplasty Summary'!$R$4=1, AD12))</f>
        <v>xx</v>
      </c>
      <c r="AQ12" s="91" t="e">
        <f>IF('Angioplasty Summary'!$R$4=2, AL12, IF('Angioplasty Summary'!$R$4=1, AH12))</f>
        <v>#VALUE!</v>
      </c>
      <c r="AR12" s="91" t="e">
        <f>IF('Angioplasty Summary'!$R$4=2, AM12, IF('Angioplasty Summary'!$R$4=1, AI12))</f>
        <v>#VALUE!</v>
      </c>
      <c r="AS12" s="91">
        <f>IF('Angioplasty Summary'!$R$4=2, AO12, IF('Angioplasty Summary'!$R$4=1, AN12))</f>
        <v>5</v>
      </c>
      <c r="AT12" t="s">
        <v>399</v>
      </c>
    </row>
    <row r="13" spans="1:46" x14ac:dyDescent="0.25">
      <c r="A13" s="18" t="s">
        <v>148</v>
      </c>
      <c r="B13" s="18" t="s">
        <v>149</v>
      </c>
      <c r="C13" s="80">
        <v>0</v>
      </c>
      <c r="D13" s="83" t="s">
        <v>384</v>
      </c>
      <c r="E13" s="83" t="s">
        <v>384</v>
      </c>
      <c r="F13" s="83" t="s">
        <v>384</v>
      </c>
      <c r="G13" s="83" t="s">
        <v>384</v>
      </c>
      <c r="H13" s="81" t="s">
        <v>384</v>
      </c>
      <c r="I13" s="84" t="s">
        <v>384</v>
      </c>
      <c r="J13" s="81" t="s">
        <v>384</v>
      </c>
      <c r="K13" s="84" t="s">
        <v>384</v>
      </c>
      <c r="L13" s="84" t="s">
        <v>384</v>
      </c>
      <c r="M13" s="79" t="s">
        <v>148</v>
      </c>
      <c r="N13" s="83" t="e">
        <v>#VALUE!</v>
      </c>
      <c r="O13" s="83" t="e">
        <v>#VALUE!</v>
      </c>
      <c r="P13" s="83" t="e">
        <v>#VALUE!</v>
      </c>
      <c r="Q13" s="83" t="e">
        <v>#VALUE!</v>
      </c>
      <c r="R13" s="83" t="e">
        <v>#VALUE!</v>
      </c>
      <c r="S13" s="83" t="e">
        <v>#VALUE!</v>
      </c>
      <c r="T13" s="85" t="e">
        <v>#VALUE!</v>
      </c>
      <c r="U13" s="85" t="e">
        <v>#VALUE!</v>
      </c>
      <c r="V13" s="85" t="e">
        <v>#VALUE!</v>
      </c>
      <c r="W13" s="85" t="e">
        <v>#VALUE!</v>
      </c>
      <c r="X13" s="85" t="e">
        <v>#VALUE!</v>
      </c>
      <c r="Y13" s="85" t="e">
        <v>#VALUE!</v>
      </c>
      <c r="Z13" s="86" t="e">
        <f>IF('Angioplasty Summary'!$R$55=3, RANK(F13,F$2:F$102,1)+COUNTIF($F$2:F13,F13)-1, IF('Angioplasty Summary'!$R$55=2, RANK(E13,E$2:E$102,1)+COUNTIF($E$2:E13,E13)-1, IF('Angioplasty Summary'!$R$55=1, RANK(D13,D$2:D$102,1)+COUNTIF($D$2:D13,D13)-1)))</f>
        <v>#VALUE!</v>
      </c>
      <c r="AA13" s="85" t="str">
        <f>IF('Angioplasty Summary'!$R$55=3, F13, IF('Angioplasty Summary'!$R$55=2, E13, IF('Angioplasty Summary'!$R$55=1, D13)))</f>
        <v>N/A</v>
      </c>
      <c r="AB13" s="85" t="e">
        <f>IF('Angioplasty Summary'!$R$55=3, X13, IF('Angioplasty Summary'!$R$55=2, V13, IF('Angioplasty Summary'!$R$55=1, T13)))</f>
        <v>#VALUE!</v>
      </c>
      <c r="AC13" s="85" t="e">
        <f>IF('Angioplasty Summary'!$R$55=3, Y13, IF('Angioplasty Summary'!$R$55=2, W13, IF('Angioplasty Summary'!$R$55=1, U13)))</f>
        <v>#VALUE!</v>
      </c>
      <c r="AD13" t="s">
        <v>384</v>
      </c>
      <c r="AE13" t="e">
        <v>#VALUE!</v>
      </c>
      <c r="AF13" t="e">
        <v>#VALUE!</v>
      </c>
      <c r="AG13" t="e">
        <v>#VALUE!</v>
      </c>
      <c r="AH13" t="e">
        <f t="shared" si="0"/>
        <v>#VALUE!</v>
      </c>
      <c r="AI13" t="e">
        <f t="shared" si="1"/>
        <v>#VALUE!</v>
      </c>
      <c r="AJ13" t="e">
        <v>#VALUE!</v>
      </c>
      <c r="AK13" t="e">
        <v>#VALUE!</v>
      </c>
      <c r="AL13" t="e">
        <f t="shared" si="2"/>
        <v>#VALUE!</v>
      </c>
      <c r="AM13" t="e">
        <f t="shared" si="3"/>
        <v>#VALUE!</v>
      </c>
      <c r="AN13">
        <v>5</v>
      </c>
      <c r="AO13">
        <v>80</v>
      </c>
      <c r="AP13" s="91" t="str">
        <f>IF('Angioplasty Summary'!$R$4=2, AE13, IF('Angioplasty Summary'!$R$4=1, AD13))</f>
        <v>N/A</v>
      </c>
      <c r="AQ13" s="91" t="e">
        <f>IF('Angioplasty Summary'!$R$4=2, AL13, IF('Angioplasty Summary'!$R$4=1, AH13))</f>
        <v>#VALUE!</v>
      </c>
      <c r="AR13" s="91" t="e">
        <f>IF('Angioplasty Summary'!$R$4=2, AM13, IF('Angioplasty Summary'!$R$4=1, AI13))</f>
        <v>#VALUE!</v>
      </c>
      <c r="AS13" s="91">
        <f>IF('Angioplasty Summary'!$R$4=2, AO13, IF('Angioplasty Summary'!$R$4=1, AN13))</f>
        <v>5</v>
      </c>
      <c r="AT13" t="s">
        <v>399</v>
      </c>
    </row>
    <row r="14" spans="1:46" x14ac:dyDescent="0.25">
      <c r="A14" s="18" t="s">
        <v>255</v>
      </c>
      <c r="B14" s="18" t="s">
        <v>395</v>
      </c>
      <c r="C14" s="80">
        <v>38</v>
      </c>
      <c r="D14" s="83">
        <v>1</v>
      </c>
      <c r="E14" s="83">
        <v>1</v>
      </c>
      <c r="F14" s="83">
        <v>1</v>
      </c>
      <c r="G14" s="83" t="s">
        <v>290</v>
      </c>
      <c r="H14" s="81">
        <v>0</v>
      </c>
      <c r="I14" s="84">
        <v>7</v>
      </c>
      <c r="J14" s="81">
        <v>0</v>
      </c>
      <c r="K14" s="84" t="s">
        <v>633</v>
      </c>
      <c r="L14" s="84" t="s">
        <v>399</v>
      </c>
      <c r="M14" s="79" t="s">
        <v>255</v>
      </c>
      <c r="N14" s="83">
        <v>0.91</v>
      </c>
      <c r="O14" s="83">
        <v>1</v>
      </c>
      <c r="P14" s="83">
        <v>0.91</v>
      </c>
      <c r="Q14" s="83">
        <v>1</v>
      </c>
      <c r="R14" s="83">
        <v>0.91</v>
      </c>
      <c r="S14" s="83">
        <v>1</v>
      </c>
      <c r="T14" s="85">
        <v>8.9999999999999969E-2</v>
      </c>
      <c r="U14" s="85">
        <v>0</v>
      </c>
      <c r="V14" s="85">
        <v>8.9999999999999969E-2</v>
      </c>
      <c r="W14" s="85">
        <v>0</v>
      </c>
      <c r="X14" s="85">
        <v>8.9999999999999969E-2</v>
      </c>
      <c r="Y14" s="85">
        <v>0</v>
      </c>
      <c r="Z14" s="86">
        <f>IF('Angioplasty Summary'!$R$55=3, RANK(F14,F$2:F$102,1)+COUNTIF($F$2:F14,F14)-1, IF('Angioplasty Summary'!$R$55=2, RANK(E14,E$2:E$102,1)+COUNTIF($E$2:E14,E14)-1, IF('Angioplasty Summary'!$R$55=1, RANK(D14,D$2:D$102,1)+COUNTIF($D$2:D14,D14)-1)))</f>
        <v>49</v>
      </c>
      <c r="AA14" s="85">
        <f>IF('Angioplasty Summary'!$R$55=3, F14, IF('Angioplasty Summary'!$R$55=2, E14, IF('Angioplasty Summary'!$R$55=1, D14)))</f>
        <v>1</v>
      </c>
      <c r="AB14" s="85">
        <f>IF('Angioplasty Summary'!$R$55=3, X14, IF('Angioplasty Summary'!$R$55=2, V14, IF('Angioplasty Summary'!$R$55=1, T14)))</f>
        <v>8.9999999999999969E-2</v>
      </c>
      <c r="AC14" s="85">
        <f>IF('Angioplasty Summary'!$R$55=3, Y14, IF('Angioplasty Summary'!$R$55=2, W14, IF('Angioplasty Summary'!$R$55=1, U14)))</f>
        <v>0</v>
      </c>
      <c r="AD14" t="s">
        <v>399</v>
      </c>
      <c r="AE14" t="e">
        <v>#VALUE!</v>
      </c>
      <c r="AF14" t="e">
        <v>#VALUE!</v>
      </c>
      <c r="AG14" t="e">
        <v>#VALUE!</v>
      </c>
      <c r="AH14" t="e">
        <f t="shared" si="0"/>
        <v>#VALUE!</v>
      </c>
      <c r="AI14" t="e">
        <f t="shared" si="1"/>
        <v>#VALUE!</v>
      </c>
      <c r="AJ14" t="e">
        <v>#VALUE!</v>
      </c>
      <c r="AK14" t="e">
        <v>#VALUE!</v>
      </c>
      <c r="AL14" t="e">
        <f t="shared" si="2"/>
        <v>#VALUE!</v>
      </c>
      <c r="AM14" t="e">
        <f t="shared" si="3"/>
        <v>#VALUE!</v>
      </c>
      <c r="AN14">
        <v>5</v>
      </c>
      <c r="AO14">
        <v>80</v>
      </c>
      <c r="AP14" s="91" t="str">
        <f>IF('Angioplasty Summary'!$R$4=2, AE14, IF('Angioplasty Summary'!$R$4=1, AD14))</f>
        <v>xx</v>
      </c>
      <c r="AQ14" s="91" t="e">
        <f>IF('Angioplasty Summary'!$R$4=2, AL14, IF('Angioplasty Summary'!$R$4=1, AH14))</f>
        <v>#VALUE!</v>
      </c>
      <c r="AR14" s="91" t="e">
        <f>IF('Angioplasty Summary'!$R$4=2, AM14, IF('Angioplasty Summary'!$R$4=1, AI14))</f>
        <v>#VALUE!</v>
      </c>
      <c r="AS14" s="91">
        <f>IF('Angioplasty Summary'!$R$4=2, AO14, IF('Angioplasty Summary'!$R$4=1, AN14))</f>
        <v>5</v>
      </c>
      <c r="AT14" t="s">
        <v>399</v>
      </c>
    </row>
    <row r="15" spans="1:46" x14ac:dyDescent="0.25">
      <c r="A15" s="18" t="s">
        <v>142</v>
      </c>
      <c r="B15" s="18" t="s">
        <v>143</v>
      </c>
      <c r="C15" s="80">
        <v>0</v>
      </c>
      <c r="D15" s="83" t="s">
        <v>384</v>
      </c>
      <c r="E15" s="83" t="s">
        <v>384</v>
      </c>
      <c r="F15" s="83" t="s">
        <v>384</v>
      </c>
      <c r="G15" s="83" t="s">
        <v>384</v>
      </c>
      <c r="H15" s="81" t="s">
        <v>384</v>
      </c>
      <c r="I15" s="84" t="s">
        <v>384</v>
      </c>
      <c r="J15" s="81" t="s">
        <v>384</v>
      </c>
      <c r="K15" s="84" t="s">
        <v>384</v>
      </c>
      <c r="L15" s="84" t="s">
        <v>384</v>
      </c>
      <c r="M15" s="79" t="s">
        <v>142</v>
      </c>
      <c r="N15" s="83" t="e">
        <v>#VALUE!</v>
      </c>
      <c r="O15" s="83" t="e">
        <v>#VALUE!</v>
      </c>
      <c r="P15" s="83" t="e">
        <v>#VALUE!</v>
      </c>
      <c r="Q15" s="83" t="e">
        <v>#VALUE!</v>
      </c>
      <c r="R15" s="83" t="e">
        <v>#VALUE!</v>
      </c>
      <c r="S15" s="83" t="e">
        <v>#VALUE!</v>
      </c>
      <c r="T15" s="85" t="e">
        <v>#VALUE!</v>
      </c>
      <c r="U15" s="85" t="e">
        <v>#VALUE!</v>
      </c>
      <c r="V15" s="85" t="e">
        <v>#VALUE!</v>
      </c>
      <c r="W15" s="85" t="e">
        <v>#VALUE!</v>
      </c>
      <c r="X15" s="85" t="e">
        <v>#VALUE!</v>
      </c>
      <c r="Y15" s="85" t="e">
        <v>#VALUE!</v>
      </c>
      <c r="Z15" s="86" t="e">
        <f>IF('Angioplasty Summary'!$R$55=3, RANK(F15,F$2:F$102,1)+COUNTIF($F$2:F15,F15)-1, IF('Angioplasty Summary'!$R$55=2, RANK(E15,E$2:E$102,1)+COUNTIF($E$2:E15,E15)-1, IF('Angioplasty Summary'!$R$55=1, RANK(D15,D$2:D$102,1)+COUNTIF($D$2:D15,D15)-1)))</f>
        <v>#VALUE!</v>
      </c>
      <c r="AA15" s="85" t="str">
        <f>IF('Angioplasty Summary'!$R$55=3, F15, IF('Angioplasty Summary'!$R$55=2, E15, IF('Angioplasty Summary'!$R$55=1, D15)))</f>
        <v>N/A</v>
      </c>
      <c r="AB15" s="85" t="e">
        <f>IF('Angioplasty Summary'!$R$55=3, X15, IF('Angioplasty Summary'!$R$55=2, V15, IF('Angioplasty Summary'!$R$55=1, T15)))</f>
        <v>#VALUE!</v>
      </c>
      <c r="AC15" s="85" t="e">
        <f>IF('Angioplasty Summary'!$R$55=3, Y15, IF('Angioplasty Summary'!$R$55=2, W15, IF('Angioplasty Summary'!$R$55=1, U15)))</f>
        <v>#VALUE!</v>
      </c>
      <c r="AD15" t="s">
        <v>384</v>
      </c>
      <c r="AE15" t="e">
        <v>#VALUE!</v>
      </c>
      <c r="AF15" t="e">
        <v>#VALUE!</v>
      </c>
      <c r="AG15" t="e">
        <v>#VALUE!</v>
      </c>
      <c r="AH15" t="e">
        <f t="shared" si="0"/>
        <v>#VALUE!</v>
      </c>
      <c r="AI15" t="e">
        <f t="shared" si="1"/>
        <v>#VALUE!</v>
      </c>
      <c r="AJ15" t="e">
        <v>#VALUE!</v>
      </c>
      <c r="AK15" t="e">
        <v>#VALUE!</v>
      </c>
      <c r="AL15" t="e">
        <f t="shared" si="2"/>
        <v>#VALUE!</v>
      </c>
      <c r="AM15" t="e">
        <f t="shared" si="3"/>
        <v>#VALUE!</v>
      </c>
      <c r="AN15">
        <v>5</v>
      </c>
      <c r="AO15">
        <v>80</v>
      </c>
      <c r="AP15" s="91" t="str">
        <f>IF('Angioplasty Summary'!$R$4=2, AE15, IF('Angioplasty Summary'!$R$4=1, AD15))</f>
        <v>N/A</v>
      </c>
      <c r="AQ15" s="91" t="e">
        <f>IF('Angioplasty Summary'!$R$4=2, AL15, IF('Angioplasty Summary'!$R$4=1, AH15))</f>
        <v>#VALUE!</v>
      </c>
      <c r="AR15" s="91" t="e">
        <f>IF('Angioplasty Summary'!$R$4=2, AM15, IF('Angioplasty Summary'!$R$4=1, AI15))</f>
        <v>#VALUE!</v>
      </c>
      <c r="AS15" s="91">
        <f>IF('Angioplasty Summary'!$R$4=2, AO15, IF('Angioplasty Summary'!$R$4=1, AN15))</f>
        <v>5</v>
      </c>
      <c r="AT15" t="s">
        <v>399</v>
      </c>
    </row>
    <row r="16" spans="1:46" x14ac:dyDescent="0.25">
      <c r="A16" s="18" t="s">
        <v>54</v>
      </c>
      <c r="B16" s="18" t="s">
        <v>55</v>
      </c>
      <c r="C16" s="80">
        <v>404</v>
      </c>
      <c r="D16" s="83">
        <v>0.96</v>
      </c>
      <c r="E16" s="83">
        <v>0.49</v>
      </c>
      <c r="F16" s="83">
        <v>0.83</v>
      </c>
      <c r="G16" s="83" t="s">
        <v>638</v>
      </c>
      <c r="H16" s="81">
        <v>1.3398959636688232E-2</v>
      </c>
      <c r="I16" s="84">
        <v>397</v>
      </c>
      <c r="J16" s="81">
        <v>9.0000003576278687E-2</v>
      </c>
      <c r="K16" s="84">
        <v>82</v>
      </c>
      <c r="L16" s="84" t="s">
        <v>339</v>
      </c>
      <c r="M16" s="79" t="s">
        <v>54</v>
      </c>
      <c r="N16" s="83">
        <v>0.93</v>
      </c>
      <c r="O16" s="83">
        <v>0.97</v>
      </c>
      <c r="P16" s="83">
        <v>0.43</v>
      </c>
      <c r="Q16" s="83">
        <v>0.54</v>
      </c>
      <c r="R16" s="83">
        <v>0.79</v>
      </c>
      <c r="S16" s="83">
        <v>0.86</v>
      </c>
      <c r="T16" s="85">
        <v>2.9999999999999916E-2</v>
      </c>
      <c r="U16" s="85">
        <v>1.0000000000000009E-2</v>
      </c>
      <c r="V16" s="85">
        <v>0.06</v>
      </c>
      <c r="W16" s="85">
        <v>5.0000000000000044E-2</v>
      </c>
      <c r="X16" s="85">
        <v>3.9999999999999925E-2</v>
      </c>
      <c r="Y16" s="85">
        <v>3.0000000000000027E-2</v>
      </c>
      <c r="Z16" s="86">
        <f>IF('Angioplasty Summary'!$R$55=3, RANK(F16,F$2:F$102,1)+COUNTIF($F$2:F16,F16)-1, IF('Angioplasty Summary'!$R$55=2, RANK(E16,E$2:E$102,1)+COUNTIF($E$2:E16,E16)-1, IF('Angioplasty Summary'!$R$55=1, RANK(D16,D$2:D$102,1)+COUNTIF($D$2:D16,D16)-1)))</f>
        <v>14</v>
      </c>
      <c r="AA16" s="85">
        <f>IF('Angioplasty Summary'!$R$55=3, F16, IF('Angioplasty Summary'!$R$55=2, E16, IF('Angioplasty Summary'!$R$55=1, D16)))</f>
        <v>0.96</v>
      </c>
      <c r="AB16" s="85">
        <f>IF('Angioplasty Summary'!$R$55=3, X16, IF('Angioplasty Summary'!$R$55=2, V16, IF('Angioplasty Summary'!$R$55=1, T16)))</f>
        <v>2.9999999999999916E-2</v>
      </c>
      <c r="AC16" s="85">
        <f>IF('Angioplasty Summary'!$R$55=3, Y16, IF('Angioplasty Summary'!$R$55=2, W16, IF('Angioplasty Summary'!$R$55=1, U16)))</f>
        <v>1.0000000000000009E-2</v>
      </c>
      <c r="AD16" s="25">
        <v>6</v>
      </c>
      <c r="AE16">
        <v>50</v>
      </c>
      <c r="AF16">
        <v>3</v>
      </c>
      <c r="AG16">
        <v>10</v>
      </c>
      <c r="AH16">
        <f t="shared" si="0"/>
        <v>3</v>
      </c>
      <c r="AI16">
        <f t="shared" si="1"/>
        <v>4</v>
      </c>
      <c r="AJ16">
        <v>38.999998569488525</v>
      </c>
      <c r="AK16">
        <v>61.000001430511475</v>
      </c>
      <c r="AL16">
        <f t="shared" si="2"/>
        <v>11.000001430511475</v>
      </c>
      <c r="AM16">
        <f t="shared" si="3"/>
        <v>11.000001430511475</v>
      </c>
      <c r="AN16">
        <v>5</v>
      </c>
      <c r="AO16">
        <v>80</v>
      </c>
      <c r="AP16" s="91">
        <f>IF('Angioplasty Summary'!$R$4=2, AE16, IF('Angioplasty Summary'!$R$4=1, AD16))</f>
        <v>6</v>
      </c>
      <c r="AQ16" s="91">
        <f>IF('Angioplasty Summary'!$R$4=2, AL16, IF('Angioplasty Summary'!$R$4=1, AH16))</f>
        <v>3</v>
      </c>
      <c r="AR16" s="91">
        <f>IF('Angioplasty Summary'!$R$4=2, AM16, IF('Angioplasty Summary'!$R$4=1, AI16))</f>
        <v>4</v>
      </c>
      <c r="AS16" s="91">
        <f>IF('Angioplasty Summary'!$R$4=2, AO16, IF('Angioplasty Summary'!$R$4=1, AN16))</f>
        <v>5</v>
      </c>
      <c r="AT16" s="124">
        <v>0.5</v>
      </c>
    </row>
    <row r="17" spans="1:46" x14ac:dyDescent="0.25">
      <c r="A17" s="18" t="s">
        <v>5</v>
      </c>
      <c r="B17" s="18" t="s">
        <v>6</v>
      </c>
      <c r="C17" s="80">
        <v>90</v>
      </c>
      <c r="D17" s="83">
        <v>1</v>
      </c>
      <c r="E17" s="83">
        <v>0.53</v>
      </c>
      <c r="F17" s="83">
        <v>0.92</v>
      </c>
      <c r="G17" s="83" t="s">
        <v>288</v>
      </c>
      <c r="H17" s="81">
        <v>3.5231688022613526E-2</v>
      </c>
      <c r="I17" s="84">
        <v>86</v>
      </c>
      <c r="J17" s="81">
        <v>7.9999998211860657E-2</v>
      </c>
      <c r="K17" s="84">
        <v>26</v>
      </c>
      <c r="L17" s="84" t="s">
        <v>1138</v>
      </c>
      <c r="M17" s="79" t="s">
        <v>5</v>
      </c>
      <c r="N17" s="83">
        <v>0.96</v>
      </c>
      <c r="O17" s="83">
        <v>1</v>
      </c>
      <c r="P17" s="83">
        <v>0.39</v>
      </c>
      <c r="Q17" s="83">
        <v>0.66</v>
      </c>
      <c r="R17" s="83">
        <v>0.85</v>
      </c>
      <c r="S17" s="83">
        <v>0.97</v>
      </c>
      <c r="T17" s="85">
        <v>4.0000000000000036E-2</v>
      </c>
      <c r="U17" s="85">
        <v>0</v>
      </c>
      <c r="V17" s="85">
        <v>0.14000000000000001</v>
      </c>
      <c r="W17" s="85">
        <v>0.13</v>
      </c>
      <c r="X17" s="85">
        <v>7.0000000000000062E-2</v>
      </c>
      <c r="Y17" s="85">
        <v>4.9999999999999933E-2</v>
      </c>
      <c r="Z17" s="86">
        <f>IF('Angioplasty Summary'!$R$55=3, RANK(F17,F$2:F$102,1)+COUNTIF($F$2:F17,F17)-1, IF('Angioplasty Summary'!$R$55=2, RANK(E17,E$2:E$102,1)+COUNTIF($E$2:E17,E17)-1, IF('Angioplasty Summary'!$R$55=1, RANK(D17,D$2:D$102,1)+COUNTIF($D$2:D17,D17)-1)))</f>
        <v>50</v>
      </c>
      <c r="AA17" s="85">
        <f>IF('Angioplasty Summary'!$R$55=3, F17, IF('Angioplasty Summary'!$R$55=2, E17, IF('Angioplasty Summary'!$R$55=1, D17)))</f>
        <v>1</v>
      </c>
      <c r="AB17" s="85">
        <f>IF('Angioplasty Summary'!$R$55=3, X17, IF('Angioplasty Summary'!$R$55=2, V17, IF('Angioplasty Summary'!$R$55=1, T17)))</f>
        <v>4.0000000000000036E-2</v>
      </c>
      <c r="AC17" s="85">
        <f>IF('Angioplasty Summary'!$R$55=3, Y17, IF('Angioplasty Summary'!$R$55=2, W17, IF('Angioplasty Summary'!$R$55=1, U17)))</f>
        <v>0</v>
      </c>
      <c r="AD17" s="25">
        <v>8</v>
      </c>
      <c r="AE17">
        <v>38</v>
      </c>
      <c r="AF17">
        <v>3</v>
      </c>
      <c r="AG17">
        <v>16</v>
      </c>
      <c r="AH17">
        <f t="shared" si="0"/>
        <v>5</v>
      </c>
      <c r="AI17">
        <f t="shared" si="1"/>
        <v>8</v>
      </c>
      <c r="AJ17">
        <v>20.000000298023224</v>
      </c>
      <c r="AK17">
        <v>58.99999737739563</v>
      </c>
      <c r="AL17">
        <f t="shared" si="2"/>
        <v>17.999999701976776</v>
      </c>
      <c r="AM17">
        <f t="shared" si="3"/>
        <v>20.99999737739563</v>
      </c>
      <c r="AN17">
        <v>5</v>
      </c>
      <c r="AO17">
        <v>80</v>
      </c>
      <c r="AP17" s="91">
        <f>IF('Angioplasty Summary'!$R$4=2, AE17, IF('Angioplasty Summary'!$R$4=1, AD17))</f>
        <v>8</v>
      </c>
      <c r="AQ17" s="91">
        <f>IF('Angioplasty Summary'!$R$4=2, AL17, IF('Angioplasty Summary'!$R$4=1, AH17))</f>
        <v>5</v>
      </c>
      <c r="AR17" s="91">
        <f>IF('Angioplasty Summary'!$R$4=2, AM17, IF('Angioplasty Summary'!$R$4=1, AI17))</f>
        <v>8</v>
      </c>
      <c r="AS17" s="91">
        <f>IF('Angioplasty Summary'!$R$4=2, AO17, IF('Angioplasty Summary'!$R$4=1, AN17))</f>
        <v>5</v>
      </c>
      <c r="AT17" s="124">
        <v>0.38</v>
      </c>
    </row>
    <row r="18" spans="1:46" x14ac:dyDescent="0.25">
      <c r="A18" s="18" t="s">
        <v>81</v>
      </c>
      <c r="B18" s="18" t="s">
        <v>82</v>
      </c>
      <c r="C18" s="80">
        <v>36</v>
      </c>
      <c r="D18" s="83">
        <v>0.97</v>
      </c>
      <c r="E18" s="83">
        <v>0.17</v>
      </c>
      <c r="F18" s="83">
        <v>0.81</v>
      </c>
      <c r="G18" s="83" t="s">
        <v>639</v>
      </c>
      <c r="H18" s="81">
        <v>3.3528740406036379E-2</v>
      </c>
      <c r="I18" s="84">
        <v>35</v>
      </c>
      <c r="J18" s="81">
        <v>2.9999999329447746E-2</v>
      </c>
      <c r="K18" s="84" t="s">
        <v>633</v>
      </c>
      <c r="L18" s="84" t="s">
        <v>399</v>
      </c>
      <c r="M18" s="79" t="s">
        <v>81</v>
      </c>
      <c r="N18" s="83">
        <v>0.85</v>
      </c>
      <c r="O18" s="83">
        <v>1</v>
      </c>
      <c r="P18" s="83">
        <v>0.05</v>
      </c>
      <c r="Q18" s="83">
        <v>0.39</v>
      </c>
      <c r="R18" s="83">
        <v>0.64</v>
      </c>
      <c r="S18" s="83">
        <v>0.92</v>
      </c>
      <c r="T18" s="85">
        <v>0.12</v>
      </c>
      <c r="U18" s="85">
        <v>3.0000000000000027E-2</v>
      </c>
      <c r="V18" s="85">
        <v>0.12000000000000001</v>
      </c>
      <c r="W18" s="85">
        <v>0.22</v>
      </c>
      <c r="X18" s="85">
        <v>0.17000000000000004</v>
      </c>
      <c r="Y18" s="85">
        <v>0.10999999999999999</v>
      </c>
      <c r="Z18" s="86">
        <f>IF('Angioplasty Summary'!$R$55=3, RANK(F18,F$2:F$102,1)+COUNTIF($F$2:F18,F18)-1, IF('Angioplasty Summary'!$R$55=2, RANK(E18,E$2:E$102,1)+COUNTIF($E$2:E18,E18)-1, IF('Angioplasty Summary'!$R$55=1, RANK(D18,D$2:D$102,1)+COUNTIF($D$2:D18,D18)-1)))</f>
        <v>20</v>
      </c>
      <c r="AA18" s="85">
        <f>IF('Angioplasty Summary'!$R$55=3, F18, IF('Angioplasty Summary'!$R$55=2, E18, IF('Angioplasty Summary'!$R$55=1, D18)))</f>
        <v>0.97</v>
      </c>
      <c r="AB18" s="85">
        <f>IF('Angioplasty Summary'!$R$55=3, X18, IF('Angioplasty Summary'!$R$55=2, V18, IF('Angioplasty Summary'!$R$55=1, T18)))</f>
        <v>0.12</v>
      </c>
      <c r="AC18" s="85">
        <f>IF('Angioplasty Summary'!$R$55=3, Y18, IF('Angioplasty Summary'!$R$55=2, W18, IF('Angioplasty Summary'!$R$55=1, U18)))</f>
        <v>3.0000000000000027E-2</v>
      </c>
      <c r="AD18" t="s">
        <v>399</v>
      </c>
      <c r="AE18" t="e">
        <v>#VALUE!</v>
      </c>
      <c r="AF18" t="e">
        <v>#VALUE!</v>
      </c>
      <c r="AG18" t="e">
        <v>#VALUE!</v>
      </c>
      <c r="AH18" t="e">
        <f t="shared" si="0"/>
        <v>#VALUE!</v>
      </c>
      <c r="AI18" t="e">
        <f t="shared" si="1"/>
        <v>#VALUE!</v>
      </c>
      <c r="AJ18" t="e">
        <v>#VALUE!</v>
      </c>
      <c r="AK18" t="e">
        <v>#VALUE!</v>
      </c>
      <c r="AL18" t="e">
        <f t="shared" si="2"/>
        <v>#VALUE!</v>
      </c>
      <c r="AM18" t="e">
        <f t="shared" si="3"/>
        <v>#VALUE!</v>
      </c>
      <c r="AN18">
        <v>5</v>
      </c>
      <c r="AO18">
        <v>80</v>
      </c>
      <c r="AP18" s="91" t="str">
        <f>IF('Angioplasty Summary'!$R$4=2, AE18, IF('Angioplasty Summary'!$R$4=1, AD18))</f>
        <v>xx</v>
      </c>
      <c r="AQ18" s="91" t="e">
        <f>IF('Angioplasty Summary'!$R$4=2, AL18, IF('Angioplasty Summary'!$R$4=1, AH18))</f>
        <v>#VALUE!</v>
      </c>
      <c r="AR18" s="91" t="e">
        <f>IF('Angioplasty Summary'!$R$4=2, AM18, IF('Angioplasty Summary'!$R$4=1, AI18))</f>
        <v>#VALUE!</v>
      </c>
      <c r="AS18" s="91">
        <f>IF('Angioplasty Summary'!$R$4=2, AO18, IF('Angioplasty Summary'!$R$4=1, AN18))</f>
        <v>5</v>
      </c>
      <c r="AT18" t="s">
        <v>399</v>
      </c>
    </row>
    <row r="19" spans="1:46" x14ac:dyDescent="0.25">
      <c r="A19" s="18" t="s">
        <v>72</v>
      </c>
      <c r="B19" s="18" t="s">
        <v>73</v>
      </c>
      <c r="C19" s="80">
        <v>174</v>
      </c>
      <c r="D19" s="83">
        <v>0.99</v>
      </c>
      <c r="E19" s="83">
        <v>0.52</v>
      </c>
      <c r="F19" s="83">
        <v>0.91</v>
      </c>
      <c r="G19" s="83" t="s">
        <v>640</v>
      </c>
      <c r="H19" s="81">
        <v>3.5999999999999997E-2</v>
      </c>
      <c r="I19" s="84">
        <v>162</v>
      </c>
      <c r="J19" s="81">
        <v>0.14000000059604645</v>
      </c>
      <c r="K19" s="84">
        <v>39</v>
      </c>
      <c r="L19" s="84" t="s">
        <v>234</v>
      </c>
      <c r="M19" s="79" t="s">
        <v>72</v>
      </c>
      <c r="N19" s="83">
        <v>0.97</v>
      </c>
      <c r="O19" s="83">
        <v>1</v>
      </c>
      <c r="P19" s="83">
        <v>0.42</v>
      </c>
      <c r="Q19" s="83">
        <v>0.61</v>
      </c>
      <c r="R19" s="83">
        <v>0.85</v>
      </c>
      <c r="S19" s="83">
        <v>0.95</v>
      </c>
      <c r="T19" s="85">
        <v>2.0000000000000018E-2</v>
      </c>
      <c r="U19" s="85">
        <v>1.0000000000000009E-2</v>
      </c>
      <c r="V19" s="85">
        <v>0.10000000000000003</v>
      </c>
      <c r="W19" s="85">
        <v>8.9999999999999969E-2</v>
      </c>
      <c r="X19" s="85">
        <v>6.0000000000000053E-2</v>
      </c>
      <c r="Y19" s="85">
        <v>3.9999999999999925E-2</v>
      </c>
      <c r="Z19" s="86">
        <f>IF('Angioplasty Summary'!$R$55=3, RANK(F19,F$2:F$102,1)+COUNTIF($F$2:F19,F19)-1, IF('Angioplasty Summary'!$R$55=2, RANK(E19,E$2:E$102,1)+COUNTIF($E$2:E19,E19)-1, IF('Angioplasty Summary'!$R$55=1, RANK(D19,D$2:D$102,1)+COUNTIF($D$2:D19,D19)-1)))</f>
        <v>38</v>
      </c>
      <c r="AA19" s="85">
        <f>IF('Angioplasty Summary'!$R$55=3, F19, IF('Angioplasty Summary'!$R$55=2, E19, IF('Angioplasty Summary'!$R$55=1, D19)))</f>
        <v>0.99</v>
      </c>
      <c r="AB19" s="85">
        <f>IF('Angioplasty Summary'!$R$55=3, X19, IF('Angioplasty Summary'!$R$55=2, V19, IF('Angioplasty Summary'!$R$55=1, T19)))</f>
        <v>2.0000000000000018E-2</v>
      </c>
      <c r="AC19" s="85">
        <f>IF('Angioplasty Summary'!$R$55=3, Y19, IF('Angioplasty Summary'!$R$55=2, W19, IF('Angioplasty Summary'!$R$55=1, U19)))</f>
        <v>1.0000000000000009E-2</v>
      </c>
      <c r="AD19">
        <v>4</v>
      </c>
      <c r="AE19">
        <v>64</v>
      </c>
      <c r="AF19">
        <v>2</v>
      </c>
      <c r="AG19">
        <v>8</v>
      </c>
      <c r="AH19">
        <f t="shared" si="0"/>
        <v>2</v>
      </c>
      <c r="AI19">
        <f t="shared" si="1"/>
        <v>4</v>
      </c>
      <c r="AJ19">
        <v>46.99999988079071</v>
      </c>
      <c r="AK19">
        <v>79.000002145767212</v>
      </c>
      <c r="AL19">
        <f t="shared" si="2"/>
        <v>17.00000011920929</v>
      </c>
      <c r="AM19">
        <f t="shared" si="3"/>
        <v>15.000002145767212</v>
      </c>
      <c r="AN19">
        <v>5</v>
      </c>
      <c r="AO19">
        <v>80</v>
      </c>
      <c r="AP19" s="91">
        <f>IF('Angioplasty Summary'!$R$4=2, AE19, IF('Angioplasty Summary'!$R$4=1, AD19))</f>
        <v>4</v>
      </c>
      <c r="AQ19" s="91">
        <f>IF('Angioplasty Summary'!$R$4=2, AL19, IF('Angioplasty Summary'!$R$4=1, AH19))</f>
        <v>2</v>
      </c>
      <c r="AR19" s="91">
        <f>IF('Angioplasty Summary'!$R$4=2, AM19, IF('Angioplasty Summary'!$R$4=1, AI19))</f>
        <v>4</v>
      </c>
      <c r="AS19" s="91">
        <f>IF('Angioplasty Summary'!$R$4=2, AO19, IF('Angioplasty Summary'!$R$4=1, AN19))</f>
        <v>5</v>
      </c>
      <c r="AT19" s="124">
        <v>0.64</v>
      </c>
    </row>
    <row r="20" spans="1:46" x14ac:dyDescent="0.25">
      <c r="A20" s="18" t="s">
        <v>152</v>
      </c>
      <c r="B20" s="18" t="s">
        <v>153</v>
      </c>
      <c r="C20" s="80">
        <v>15</v>
      </c>
      <c r="D20" s="83">
        <v>1</v>
      </c>
      <c r="E20" s="83">
        <v>0.3</v>
      </c>
      <c r="F20" s="83">
        <v>0.93</v>
      </c>
      <c r="G20" s="83" t="s">
        <v>302</v>
      </c>
      <c r="H20" s="81">
        <v>0</v>
      </c>
      <c r="I20" s="84">
        <v>15</v>
      </c>
      <c r="J20" s="81">
        <v>0.12999999523162842</v>
      </c>
      <c r="K20" s="84" t="s">
        <v>633</v>
      </c>
      <c r="L20" s="84" t="s">
        <v>399</v>
      </c>
      <c r="M20" s="79" t="s">
        <v>152</v>
      </c>
      <c r="N20" s="83">
        <v>0.78</v>
      </c>
      <c r="O20" s="83">
        <v>1</v>
      </c>
      <c r="P20" s="83">
        <v>7.0000000000000007E-2</v>
      </c>
      <c r="Q20" s="83">
        <v>0.65</v>
      </c>
      <c r="R20" s="83">
        <v>0.68</v>
      </c>
      <c r="S20" s="83">
        <v>1</v>
      </c>
      <c r="T20" s="85">
        <v>0.21999999999999997</v>
      </c>
      <c r="U20" s="85">
        <v>0</v>
      </c>
      <c r="V20" s="85">
        <v>0.22999999999999998</v>
      </c>
      <c r="W20" s="85">
        <v>0.35000000000000003</v>
      </c>
      <c r="X20" s="85">
        <v>0.25</v>
      </c>
      <c r="Y20" s="85">
        <v>6.9999999999999951E-2</v>
      </c>
      <c r="Z20" s="86">
        <f>IF('Angioplasty Summary'!$R$55=3, RANK(F20,F$2:F$102,1)+COUNTIF($F$2:F20,F20)-1, IF('Angioplasty Summary'!$R$55=2, RANK(E20,E$2:E$102,1)+COUNTIF($E$2:E20,E20)-1, IF('Angioplasty Summary'!$R$55=1, RANK(D20,D$2:D$102,1)+COUNTIF($D$2:D20,D20)-1)))</f>
        <v>51</v>
      </c>
      <c r="AA20" s="85">
        <f>IF('Angioplasty Summary'!$R$55=3, F20, IF('Angioplasty Summary'!$R$55=2, E20, IF('Angioplasty Summary'!$R$55=1, D20)))</f>
        <v>1</v>
      </c>
      <c r="AB20" s="85">
        <f>IF('Angioplasty Summary'!$R$55=3, X20, IF('Angioplasty Summary'!$R$55=2, V20, IF('Angioplasty Summary'!$R$55=1, T20)))</f>
        <v>0.21999999999999997</v>
      </c>
      <c r="AC20" s="85">
        <f>IF('Angioplasty Summary'!$R$55=3, Y20, IF('Angioplasty Summary'!$R$55=2, W20, IF('Angioplasty Summary'!$R$55=1, U20)))</f>
        <v>0</v>
      </c>
      <c r="AD20" t="s">
        <v>399</v>
      </c>
      <c r="AE20" t="e">
        <v>#VALUE!</v>
      </c>
      <c r="AF20" t="e">
        <v>#VALUE!</v>
      </c>
      <c r="AG20" t="e">
        <v>#VALUE!</v>
      </c>
      <c r="AH20" t="e">
        <f t="shared" si="0"/>
        <v>#VALUE!</v>
      </c>
      <c r="AI20" t="e">
        <f t="shared" si="1"/>
        <v>#VALUE!</v>
      </c>
      <c r="AJ20" t="e">
        <v>#VALUE!</v>
      </c>
      <c r="AK20" t="e">
        <v>#VALUE!</v>
      </c>
      <c r="AL20" t="e">
        <f t="shared" si="2"/>
        <v>#VALUE!</v>
      </c>
      <c r="AM20" t="e">
        <f t="shared" si="3"/>
        <v>#VALUE!</v>
      </c>
      <c r="AN20">
        <v>5</v>
      </c>
      <c r="AO20">
        <v>80</v>
      </c>
      <c r="AP20" s="91" t="str">
        <f>IF('Angioplasty Summary'!$R$4=2, AE20, IF('Angioplasty Summary'!$R$4=1, AD20))</f>
        <v>xx</v>
      </c>
      <c r="AQ20" s="91" t="e">
        <f>IF('Angioplasty Summary'!$R$4=2, AL20, IF('Angioplasty Summary'!$R$4=1, AH20))</f>
        <v>#VALUE!</v>
      </c>
      <c r="AR20" s="91" t="e">
        <f>IF('Angioplasty Summary'!$R$4=2, AM20, IF('Angioplasty Summary'!$R$4=1, AI20))</f>
        <v>#VALUE!</v>
      </c>
      <c r="AS20" s="91">
        <f>IF('Angioplasty Summary'!$R$4=2, AO20, IF('Angioplasty Summary'!$R$4=1, AN20))</f>
        <v>5</v>
      </c>
      <c r="AT20" t="s">
        <v>399</v>
      </c>
    </row>
    <row r="21" spans="1:46" x14ac:dyDescent="0.25">
      <c r="A21" s="18" t="s">
        <v>7</v>
      </c>
      <c r="B21" s="18" t="s">
        <v>616</v>
      </c>
      <c r="C21" s="80">
        <v>150</v>
      </c>
      <c r="D21" s="83">
        <v>1</v>
      </c>
      <c r="E21" s="83">
        <v>0.8</v>
      </c>
      <c r="F21" s="83">
        <v>0.88</v>
      </c>
      <c r="G21" s="83" t="s">
        <v>291</v>
      </c>
      <c r="H21" s="81">
        <v>7.0411366224288939E-3</v>
      </c>
      <c r="I21" s="84">
        <v>147</v>
      </c>
      <c r="J21" s="81">
        <v>9.0000003576278687E-2</v>
      </c>
      <c r="K21" s="84">
        <v>34</v>
      </c>
      <c r="L21" s="84" t="s">
        <v>332</v>
      </c>
      <c r="M21" s="79" t="s">
        <v>7</v>
      </c>
      <c r="N21" s="83">
        <v>0.98</v>
      </c>
      <c r="O21" s="83">
        <v>1</v>
      </c>
      <c r="P21" s="83">
        <v>0.71</v>
      </c>
      <c r="Q21" s="83">
        <v>0.87</v>
      </c>
      <c r="R21" s="83">
        <v>0.82</v>
      </c>
      <c r="S21" s="83">
        <v>0.93</v>
      </c>
      <c r="T21" s="85">
        <v>2.0000000000000018E-2</v>
      </c>
      <c r="U21" s="85">
        <v>0</v>
      </c>
      <c r="V21" s="85">
        <v>9.000000000000008E-2</v>
      </c>
      <c r="W21" s="85">
        <v>6.9999999999999951E-2</v>
      </c>
      <c r="X21" s="85">
        <v>6.0000000000000053E-2</v>
      </c>
      <c r="Y21" s="85">
        <v>5.0000000000000044E-2</v>
      </c>
      <c r="Z21" s="86">
        <f>IF('Angioplasty Summary'!$R$55=3, RANK(F21,F$2:F$102,1)+COUNTIF($F$2:F21,F21)-1, IF('Angioplasty Summary'!$R$55=2, RANK(E21,E$2:E$102,1)+COUNTIF($E$2:E21,E21)-1, IF('Angioplasty Summary'!$R$55=1, RANK(D21,D$2:D$102,1)+COUNTIF($D$2:D21,D21)-1)))</f>
        <v>52</v>
      </c>
      <c r="AA21" s="85">
        <f>IF('Angioplasty Summary'!$R$55=3, F21, IF('Angioplasty Summary'!$R$55=2, E21, IF('Angioplasty Summary'!$R$55=1, D21)))</f>
        <v>1</v>
      </c>
      <c r="AB21" s="85">
        <f>IF('Angioplasty Summary'!$R$55=3, X21, IF('Angioplasty Summary'!$R$55=2, V21, IF('Angioplasty Summary'!$R$55=1, T21)))</f>
        <v>2.0000000000000018E-2</v>
      </c>
      <c r="AC21" s="85">
        <f>IF('Angioplasty Summary'!$R$55=3, Y21, IF('Angioplasty Summary'!$R$55=2, W21, IF('Angioplasty Summary'!$R$55=1, U21)))</f>
        <v>0</v>
      </c>
      <c r="AD21">
        <v>8</v>
      </c>
      <c r="AE21">
        <v>29</v>
      </c>
      <c r="AF21">
        <v>5</v>
      </c>
      <c r="AG21">
        <v>13</v>
      </c>
      <c r="AH21">
        <f t="shared" si="0"/>
        <v>3</v>
      </c>
      <c r="AI21">
        <f t="shared" si="1"/>
        <v>5</v>
      </c>
      <c r="AJ21">
        <v>15.000000596046448</v>
      </c>
      <c r="AK21">
        <v>46.99999988079071</v>
      </c>
      <c r="AL21">
        <f t="shared" si="2"/>
        <v>13.999999403953552</v>
      </c>
      <c r="AM21">
        <f t="shared" si="3"/>
        <v>17.99999988079071</v>
      </c>
      <c r="AN21">
        <v>5</v>
      </c>
      <c r="AO21">
        <v>80</v>
      </c>
      <c r="AP21" s="91">
        <f>IF('Angioplasty Summary'!$R$4=2, AE21, IF('Angioplasty Summary'!$R$4=1, AD21))</f>
        <v>8</v>
      </c>
      <c r="AQ21" s="91">
        <f>IF('Angioplasty Summary'!$R$4=2, AL21, IF('Angioplasty Summary'!$R$4=1, AH21))</f>
        <v>3</v>
      </c>
      <c r="AR21" s="91">
        <f>IF('Angioplasty Summary'!$R$4=2, AM21, IF('Angioplasty Summary'!$R$4=1, AI21))</f>
        <v>5</v>
      </c>
      <c r="AS21" s="91">
        <f>IF('Angioplasty Summary'!$R$4=2, AO21, IF('Angioplasty Summary'!$R$4=1, AN21))</f>
        <v>5</v>
      </c>
      <c r="AT21" s="124">
        <v>0.28999999999999998</v>
      </c>
    </row>
    <row r="22" spans="1:46" x14ac:dyDescent="0.25">
      <c r="A22" s="18" t="s">
        <v>93</v>
      </c>
      <c r="B22" s="18" t="s">
        <v>617</v>
      </c>
      <c r="C22" s="80">
        <v>1</v>
      </c>
      <c r="D22" s="83" t="s">
        <v>399</v>
      </c>
      <c r="E22" s="83" t="s">
        <v>399</v>
      </c>
      <c r="F22" s="83" t="s">
        <v>399</v>
      </c>
      <c r="G22" s="83" t="s">
        <v>399</v>
      </c>
      <c r="H22" s="81" t="s">
        <v>399</v>
      </c>
      <c r="I22" s="84" t="s">
        <v>399</v>
      </c>
      <c r="J22" s="81" t="s">
        <v>399</v>
      </c>
      <c r="K22" s="84" t="s">
        <v>399</v>
      </c>
      <c r="L22" s="84" t="s">
        <v>399</v>
      </c>
      <c r="M22" s="79" t="s">
        <v>93</v>
      </c>
      <c r="N22" s="83" t="e">
        <v>#VALUE!</v>
      </c>
      <c r="O22" s="83" t="e">
        <v>#VALUE!</v>
      </c>
      <c r="P22" s="83" t="e">
        <v>#VALUE!</v>
      </c>
      <c r="Q22" s="83" t="e">
        <v>#VALUE!</v>
      </c>
      <c r="R22" s="83" t="e">
        <v>#VALUE!</v>
      </c>
      <c r="S22" s="83" t="e">
        <v>#VALUE!</v>
      </c>
      <c r="T22" s="85" t="e">
        <v>#VALUE!</v>
      </c>
      <c r="U22" s="85" t="e">
        <v>#VALUE!</v>
      </c>
      <c r="V22" s="85" t="e">
        <v>#VALUE!</v>
      </c>
      <c r="W22" s="85" t="e">
        <v>#VALUE!</v>
      </c>
      <c r="X22" s="85" t="e">
        <v>#VALUE!</v>
      </c>
      <c r="Y22" s="85" t="e">
        <v>#VALUE!</v>
      </c>
      <c r="Z22" s="86" t="e">
        <f>IF('Angioplasty Summary'!$R$55=3, RANK(F22,F$2:F$102,1)+COUNTIF($F$2:F22,F22)-1, IF('Angioplasty Summary'!$R$55=2, RANK(E22,E$2:E$102,1)+COUNTIF($E$2:E22,E22)-1, IF('Angioplasty Summary'!$R$55=1, RANK(D22,D$2:D$102,1)+COUNTIF($D$2:D22,D22)-1)))</f>
        <v>#VALUE!</v>
      </c>
      <c r="AA22" s="85" t="str">
        <f>IF('Angioplasty Summary'!$R$55=3, F22, IF('Angioplasty Summary'!$R$55=2, E22, IF('Angioplasty Summary'!$R$55=1, D22)))</f>
        <v>xx</v>
      </c>
      <c r="AB22" s="85" t="e">
        <f>IF('Angioplasty Summary'!$R$55=3, X22, IF('Angioplasty Summary'!$R$55=2, V22, IF('Angioplasty Summary'!$R$55=1, T22)))</f>
        <v>#VALUE!</v>
      </c>
      <c r="AC22" s="85" t="e">
        <f>IF('Angioplasty Summary'!$R$55=3, Y22, IF('Angioplasty Summary'!$R$55=2, W22, IF('Angioplasty Summary'!$R$55=1, U22)))</f>
        <v>#VALUE!</v>
      </c>
      <c r="AD22" t="s">
        <v>399</v>
      </c>
      <c r="AE22" t="e">
        <v>#VALUE!</v>
      </c>
      <c r="AF22" t="e">
        <v>#VALUE!</v>
      </c>
      <c r="AG22" t="e">
        <v>#VALUE!</v>
      </c>
      <c r="AH22" t="e">
        <f t="shared" si="0"/>
        <v>#VALUE!</v>
      </c>
      <c r="AI22" t="e">
        <f t="shared" si="1"/>
        <v>#VALUE!</v>
      </c>
      <c r="AJ22" t="e">
        <v>#VALUE!</v>
      </c>
      <c r="AK22" t="e">
        <v>#VALUE!</v>
      </c>
      <c r="AL22" t="e">
        <f t="shared" si="2"/>
        <v>#VALUE!</v>
      </c>
      <c r="AM22" t="e">
        <f t="shared" si="3"/>
        <v>#VALUE!</v>
      </c>
      <c r="AN22">
        <v>5</v>
      </c>
      <c r="AO22">
        <v>80</v>
      </c>
      <c r="AP22" s="91" t="str">
        <f>IF('Angioplasty Summary'!$R$4=2, AE22, IF('Angioplasty Summary'!$R$4=1, AD22))</f>
        <v>xx</v>
      </c>
      <c r="AQ22" s="91" t="e">
        <f>IF('Angioplasty Summary'!$R$4=2, AL22, IF('Angioplasty Summary'!$R$4=1, AH22))</f>
        <v>#VALUE!</v>
      </c>
      <c r="AR22" s="91" t="e">
        <f>IF('Angioplasty Summary'!$R$4=2, AM22, IF('Angioplasty Summary'!$R$4=1, AI22))</f>
        <v>#VALUE!</v>
      </c>
      <c r="AS22" s="91">
        <f>IF('Angioplasty Summary'!$R$4=2, AO22, IF('Angioplasty Summary'!$R$4=1, AN22))</f>
        <v>5</v>
      </c>
      <c r="AT22" t="s">
        <v>399</v>
      </c>
    </row>
    <row r="23" spans="1:46" x14ac:dyDescent="0.25">
      <c r="A23" s="18" t="s">
        <v>27</v>
      </c>
      <c r="B23" s="18" t="s">
        <v>28</v>
      </c>
      <c r="C23" s="80">
        <v>0</v>
      </c>
      <c r="D23" s="83" t="s">
        <v>384</v>
      </c>
      <c r="E23" s="83" t="s">
        <v>384</v>
      </c>
      <c r="F23" s="83" t="s">
        <v>384</v>
      </c>
      <c r="G23" s="83" t="s">
        <v>384</v>
      </c>
      <c r="H23" s="81" t="s">
        <v>384</v>
      </c>
      <c r="I23" s="84" t="s">
        <v>384</v>
      </c>
      <c r="J23" s="81" t="s">
        <v>384</v>
      </c>
      <c r="K23" s="84" t="s">
        <v>384</v>
      </c>
      <c r="L23" s="84" t="s">
        <v>384</v>
      </c>
      <c r="M23" s="79" t="s">
        <v>27</v>
      </c>
      <c r="N23" s="83" t="e">
        <v>#VALUE!</v>
      </c>
      <c r="O23" s="83" t="e">
        <v>#VALUE!</v>
      </c>
      <c r="P23" s="83" t="e">
        <v>#VALUE!</v>
      </c>
      <c r="Q23" s="83" t="e">
        <v>#VALUE!</v>
      </c>
      <c r="R23" s="83" t="e">
        <v>#VALUE!</v>
      </c>
      <c r="S23" s="83" t="e">
        <v>#VALUE!</v>
      </c>
      <c r="T23" s="85" t="e">
        <v>#VALUE!</v>
      </c>
      <c r="U23" s="85" t="e">
        <v>#VALUE!</v>
      </c>
      <c r="V23" s="85" t="e">
        <v>#VALUE!</v>
      </c>
      <c r="W23" s="85" t="e">
        <v>#VALUE!</v>
      </c>
      <c r="X23" s="85" t="e">
        <v>#VALUE!</v>
      </c>
      <c r="Y23" s="85" t="e">
        <v>#VALUE!</v>
      </c>
      <c r="Z23" s="86" t="e">
        <f>IF('Angioplasty Summary'!$R$55=3, RANK(F23,F$2:F$102,1)+COUNTIF($F$2:F23,F23)-1, IF('Angioplasty Summary'!$R$55=2, RANK(E23,E$2:E$102,1)+COUNTIF($E$2:E23,E23)-1, IF('Angioplasty Summary'!$R$55=1, RANK(D23,D$2:D$102,1)+COUNTIF($D$2:D23,D23)-1)))</f>
        <v>#VALUE!</v>
      </c>
      <c r="AA23" s="85" t="str">
        <f>IF('Angioplasty Summary'!$R$55=3, F23, IF('Angioplasty Summary'!$R$55=2, E23, IF('Angioplasty Summary'!$R$55=1, D23)))</f>
        <v>N/A</v>
      </c>
      <c r="AB23" s="85" t="e">
        <f>IF('Angioplasty Summary'!$R$55=3, X23, IF('Angioplasty Summary'!$R$55=2, V23, IF('Angioplasty Summary'!$R$55=1, T23)))</f>
        <v>#VALUE!</v>
      </c>
      <c r="AC23" s="85" t="e">
        <f>IF('Angioplasty Summary'!$R$55=3, Y23, IF('Angioplasty Summary'!$R$55=2, W23, IF('Angioplasty Summary'!$R$55=1, U23)))</f>
        <v>#VALUE!</v>
      </c>
      <c r="AD23" t="s">
        <v>384</v>
      </c>
      <c r="AE23" t="e">
        <v>#VALUE!</v>
      </c>
      <c r="AF23" t="e">
        <v>#VALUE!</v>
      </c>
      <c r="AG23" t="e">
        <v>#VALUE!</v>
      </c>
      <c r="AH23" t="e">
        <f t="shared" si="0"/>
        <v>#VALUE!</v>
      </c>
      <c r="AI23" t="e">
        <f t="shared" si="1"/>
        <v>#VALUE!</v>
      </c>
      <c r="AJ23" t="e">
        <v>#VALUE!</v>
      </c>
      <c r="AK23" t="e">
        <v>#VALUE!</v>
      </c>
      <c r="AL23" t="e">
        <f t="shared" si="2"/>
        <v>#VALUE!</v>
      </c>
      <c r="AM23" t="e">
        <f t="shared" si="3"/>
        <v>#VALUE!</v>
      </c>
      <c r="AN23">
        <v>5</v>
      </c>
      <c r="AO23">
        <v>80</v>
      </c>
      <c r="AP23" s="91" t="str">
        <f>IF('Angioplasty Summary'!$R$4=2, AE23, IF('Angioplasty Summary'!$R$4=1, AD23))</f>
        <v>N/A</v>
      </c>
      <c r="AQ23" s="91" t="e">
        <f>IF('Angioplasty Summary'!$R$4=2, AL23, IF('Angioplasty Summary'!$R$4=1, AH23))</f>
        <v>#VALUE!</v>
      </c>
      <c r="AR23" s="91" t="e">
        <f>IF('Angioplasty Summary'!$R$4=2, AM23, IF('Angioplasty Summary'!$R$4=1, AI23))</f>
        <v>#VALUE!</v>
      </c>
      <c r="AS23" s="91">
        <f>IF('Angioplasty Summary'!$R$4=2, AO23, IF('Angioplasty Summary'!$R$4=1, AN23))</f>
        <v>5</v>
      </c>
      <c r="AT23" t="s">
        <v>399</v>
      </c>
    </row>
    <row r="24" spans="1:46" x14ac:dyDescent="0.25">
      <c r="A24" s="18" t="s">
        <v>138</v>
      </c>
      <c r="B24" s="18" t="s">
        <v>139</v>
      </c>
      <c r="C24" s="80">
        <v>95</v>
      </c>
      <c r="D24" s="83">
        <v>0.98</v>
      </c>
      <c r="E24" s="83">
        <v>0.86</v>
      </c>
      <c r="F24" s="83">
        <v>0.93</v>
      </c>
      <c r="G24" s="83" t="s">
        <v>292</v>
      </c>
      <c r="H24" s="81">
        <v>2.0943613052368165E-2</v>
      </c>
      <c r="I24" s="84">
        <v>26</v>
      </c>
      <c r="J24" s="81">
        <v>0.11999999731779099</v>
      </c>
      <c r="K24" s="84">
        <v>13</v>
      </c>
      <c r="L24" s="84" t="s">
        <v>1138</v>
      </c>
      <c r="M24" s="79" t="s">
        <v>138</v>
      </c>
      <c r="N24" s="83">
        <v>0.93</v>
      </c>
      <c r="O24" s="83">
        <v>1</v>
      </c>
      <c r="P24" s="83">
        <v>0.77</v>
      </c>
      <c r="Q24" s="83">
        <v>0.93</v>
      </c>
      <c r="R24" s="83">
        <v>0.85</v>
      </c>
      <c r="S24" s="83">
        <v>0.97</v>
      </c>
      <c r="T24" s="85">
        <v>4.9999999999999933E-2</v>
      </c>
      <c r="U24" s="85">
        <v>2.0000000000000018E-2</v>
      </c>
      <c r="V24" s="85">
        <v>8.9999999999999969E-2</v>
      </c>
      <c r="W24" s="85">
        <v>7.0000000000000062E-2</v>
      </c>
      <c r="X24" s="85">
        <v>8.0000000000000071E-2</v>
      </c>
      <c r="Y24" s="85">
        <v>3.9999999999999925E-2</v>
      </c>
      <c r="Z24" s="86">
        <f>IF('Angioplasty Summary'!$R$55=3, RANK(F24,F$2:F$102,1)+COUNTIF($F$2:F24,F24)-1, IF('Angioplasty Summary'!$R$55=2, RANK(E24,E$2:E$102,1)+COUNTIF($E$2:E24,E24)-1, IF('Angioplasty Summary'!$R$55=1, RANK(D24,D$2:D$102,1)+COUNTIF($D$2:D24,D24)-1)))</f>
        <v>29</v>
      </c>
      <c r="AA24" s="85">
        <f>IF('Angioplasty Summary'!$R$55=3, F24, IF('Angioplasty Summary'!$R$55=2, E24, IF('Angioplasty Summary'!$R$55=1, D24)))</f>
        <v>0.98</v>
      </c>
      <c r="AB24" s="85">
        <f>IF('Angioplasty Summary'!$R$55=3, X24, IF('Angioplasty Summary'!$R$55=2, V24, IF('Angioplasty Summary'!$R$55=1, T24)))</f>
        <v>4.9999999999999933E-2</v>
      </c>
      <c r="AC24" s="85">
        <f>IF('Angioplasty Summary'!$R$55=3, Y24, IF('Angioplasty Summary'!$R$55=2, W24, IF('Angioplasty Summary'!$R$55=1, U24)))</f>
        <v>2.0000000000000018E-2</v>
      </c>
      <c r="AD24">
        <v>8</v>
      </c>
      <c r="AE24">
        <v>33</v>
      </c>
      <c r="AF24">
        <v>3</v>
      </c>
      <c r="AG24">
        <v>16</v>
      </c>
      <c r="AH24">
        <f t="shared" si="0"/>
        <v>5</v>
      </c>
      <c r="AI24">
        <f t="shared" si="1"/>
        <v>8</v>
      </c>
      <c r="AJ24">
        <v>10.000000149011612</v>
      </c>
      <c r="AK24">
        <v>64.999997615814209</v>
      </c>
      <c r="AL24">
        <f t="shared" si="2"/>
        <v>22.999999850988388</v>
      </c>
      <c r="AM24">
        <f t="shared" si="3"/>
        <v>31.999997615814209</v>
      </c>
      <c r="AN24">
        <v>5</v>
      </c>
      <c r="AO24">
        <v>80</v>
      </c>
      <c r="AP24" s="91">
        <f>IF('Angioplasty Summary'!$R$4=2, AE24, IF('Angioplasty Summary'!$R$4=1, AD24))</f>
        <v>8</v>
      </c>
      <c r="AQ24" s="91">
        <f>IF('Angioplasty Summary'!$R$4=2, AL24, IF('Angioplasty Summary'!$R$4=1, AH24))</f>
        <v>5</v>
      </c>
      <c r="AR24" s="91">
        <f>IF('Angioplasty Summary'!$R$4=2, AM24, IF('Angioplasty Summary'!$R$4=1, AI24))</f>
        <v>8</v>
      </c>
      <c r="AS24" s="91">
        <f>IF('Angioplasty Summary'!$R$4=2, AO24, IF('Angioplasty Summary'!$R$4=1, AN24))</f>
        <v>5</v>
      </c>
      <c r="AT24" s="124">
        <v>0.33</v>
      </c>
    </row>
    <row r="25" spans="1:46" x14ac:dyDescent="0.25">
      <c r="A25" s="18" t="s">
        <v>126</v>
      </c>
      <c r="B25" s="18" t="s">
        <v>127</v>
      </c>
      <c r="C25" s="80">
        <v>314</v>
      </c>
      <c r="D25" s="83">
        <v>0.95</v>
      </c>
      <c r="E25" s="83">
        <v>0.06</v>
      </c>
      <c r="F25" s="83">
        <v>0.86</v>
      </c>
      <c r="G25" s="83" t="s">
        <v>641</v>
      </c>
      <c r="H25" s="81">
        <v>1.454188346862793E-2</v>
      </c>
      <c r="I25" s="84">
        <v>271</v>
      </c>
      <c r="J25" s="81">
        <v>0.18000000715255737</v>
      </c>
      <c r="K25" s="84">
        <v>96</v>
      </c>
      <c r="L25" s="84" t="s">
        <v>1139</v>
      </c>
      <c r="M25" s="79" t="s">
        <v>126</v>
      </c>
      <c r="N25" s="83">
        <v>0.92</v>
      </c>
      <c r="O25" s="83">
        <v>0.97</v>
      </c>
      <c r="P25" s="83">
        <v>0.03</v>
      </c>
      <c r="Q25" s="83">
        <v>0.1</v>
      </c>
      <c r="R25" s="83">
        <v>0.82</v>
      </c>
      <c r="S25" s="83">
        <v>0.9</v>
      </c>
      <c r="T25" s="85">
        <v>2.9999999999999916E-2</v>
      </c>
      <c r="U25" s="85">
        <v>2.0000000000000018E-2</v>
      </c>
      <c r="V25" s="85">
        <v>0.03</v>
      </c>
      <c r="W25" s="85">
        <v>4.0000000000000008E-2</v>
      </c>
      <c r="X25" s="85">
        <v>4.0000000000000036E-2</v>
      </c>
      <c r="Y25" s="85">
        <v>4.0000000000000036E-2</v>
      </c>
      <c r="Z25" s="86">
        <f>IF('Angioplasty Summary'!$R$55=3, RANK(F25,F$2:F$102,1)+COUNTIF($F$2:F25,F25)-1, IF('Angioplasty Summary'!$R$55=2, RANK(E25,E$2:E$102,1)+COUNTIF($E$2:E25,E25)-1, IF('Angioplasty Summary'!$R$55=1, RANK(D25,D$2:D$102,1)+COUNTIF($D$2:D25,D25)-1)))</f>
        <v>8</v>
      </c>
      <c r="AA25" s="85">
        <f>IF('Angioplasty Summary'!$R$55=3, F25, IF('Angioplasty Summary'!$R$55=2, E25, IF('Angioplasty Summary'!$R$55=1, D25)))</f>
        <v>0.95</v>
      </c>
      <c r="AB25" s="85">
        <f>IF('Angioplasty Summary'!$R$55=3, X25, IF('Angioplasty Summary'!$R$55=2, V25, IF('Angioplasty Summary'!$R$55=1, T25)))</f>
        <v>2.9999999999999916E-2</v>
      </c>
      <c r="AC25" s="85">
        <f>IF('Angioplasty Summary'!$R$55=3, Y25, IF('Angioplasty Summary'!$R$55=2, W25, IF('Angioplasty Summary'!$R$55=1, U25)))</f>
        <v>2.0000000000000018E-2</v>
      </c>
      <c r="AD25">
        <v>3</v>
      </c>
      <c r="AE25">
        <v>58</v>
      </c>
      <c r="AF25">
        <v>0</v>
      </c>
      <c r="AG25">
        <v>12</v>
      </c>
      <c r="AH25">
        <f t="shared" si="0"/>
        <v>3</v>
      </c>
      <c r="AI25">
        <f t="shared" si="1"/>
        <v>9</v>
      </c>
      <c r="AJ25">
        <v>47.999998927116394</v>
      </c>
      <c r="AK25">
        <v>68.000000715255737</v>
      </c>
      <c r="AL25">
        <f t="shared" si="2"/>
        <v>10.000001072883606</v>
      </c>
      <c r="AM25">
        <f t="shared" si="3"/>
        <v>10.000000715255737</v>
      </c>
      <c r="AN25">
        <v>5</v>
      </c>
      <c r="AO25">
        <v>80</v>
      </c>
      <c r="AP25" s="91">
        <f>IF('Angioplasty Summary'!$R$4=2, AE25, IF('Angioplasty Summary'!$R$4=1, AD25))</f>
        <v>3</v>
      </c>
      <c r="AQ25" s="91">
        <f>IF('Angioplasty Summary'!$R$4=2, AL25, IF('Angioplasty Summary'!$R$4=1, AH25))</f>
        <v>3</v>
      </c>
      <c r="AR25" s="91">
        <f>IF('Angioplasty Summary'!$R$4=2, AM25, IF('Angioplasty Summary'!$R$4=1, AI25))</f>
        <v>9</v>
      </c>
      <c r="AS25" s="91">
        <f>IF('Angioplasty Summary'!$R$4=2, AO25, IF('Angioplasty Summary'!$R$4=1, AN25))</f>
        <v>5</v>
      </c>
      <c r="AT25" s="124">
        <v>0.57999999999999996</v>
      </c>
    </row>
    <row r="26" spans="1:46" x14ac:dyDescent="0.25">
      <c r="A26" s="18" t="s">
        <v>154</v>
      </c>
      <c r="B26" s="18" t="s">
        <v>155</v>
      </c>
      <c r="C26" s="80">
        <v>943</v>
      </c>
      <c r="D26" s="83">
        <v>0.97</v>
      </c>
      <c r="E26" s="83">
        <v>0.65</v>
      </c>
      <c r="F26" s="83">
        <v>0.85</v>
      </c>
      <c r="G26" s="83" t="s">
        <v>294</v>
      </c>
      <c r="H26" s="81">
        <v>1.8489251136779784E-2</v>
      </c>
      <c r="I26" s="84">
        <v>826</v>
      </c>
      <c r="J26" s="81">
        <v>0.14000000059604645</v>
      </c>
      <c r="K26" s="84">
        <v>118</v>
      </c>
      <c r="L26" s="84" t="s">
        <v>379</v>
      </c>
      <c r="M26" s="79" t="s">
        <v>154</v>
      </c>
      <c r="N26" s="83">
        <v>0.96</v>
      </c>
      <c r="O26" s="83">
        <v>0.98</v>
      </c>
      <c r="P26" s="83">
        <v>0.62</v>
      </c>
      <c r="Q26" s="83">
        <v>0.69</v>
      </c>
      <c r="R26" s="83">
        <v>0.82</v>
      </c>
      <c r="S26" s="83">
        <v>0.87</v>
      </c>
      <c r="T26" s="85">
        <v>1.0000000000000009E-2</v>
      </c>
      <c r="U26" s="85">
        <v>1.0000000000000009E-2</v>
      </c>
      <c r="V26" s="85">
        <v>3.0000000000000027E-2</v>
      </c>
      <c r="W26" s="85">
        <v>3.9999999999999925E-2</v>
      </c>
      <c r="X26" s="85">
        <v>3.0000000000000027E-2</v>
      </c>
      <c r="Y26" s="85">
        <v>2.0000000000000018E-2</v>
      </c>
      <c r="Z26" s="86">
        <f>IF('Angioplasty Summary'!$R$55=3, RANK(F26,F$2:F$102,1)+COUNTIF($F$2:F26,F26)-1, IF('Angioplasty Summary'!$R$55=2, RANK(E26,E$2:E$102,1)+COUNTIF($E$2:E26,E26)-1, IF('Angioplasty Summary'!$R$55=1, RANK(D26,D$2:D$102,1)+COUNTIF($D$2:D26,D26)-1)))</f>
        <v>21</v>
      </c>
      <c r="AA26" s="85">
        <f>IF('Angioplasty Summary'!$R$55=3, F26, IF('Angioplasty Summary'!$R$55=2, E26, IF('Angioplasty Summary'!$R$55=1, D26)))</f>
        <v>0.97</v>
      </c>
      <c r="AB26" s="85">
        <f>IF('Angioplasty Summary'!$R$55=3, X26, IF('Angioplasty Summary'!$R$55=2, V26, IF('Angioplasty Summary'!$R$55=1, T26)))</f>
        <v>1.0000000000000009E-2</v>
      </c>
      <c r="AC26" s="85">
        <f>IF('Angioplasty Summary'!$R$55=3, Y26, IF('Angioplasty Summary'!$R$55=2, W26, IF('Angioplasty Summary'!$R$55=1, U26)))</f>
        <v>1.0000000000000009E-2</v>
      </c>
      <c r="AD26">
        <v>3</v>
      </c>
      <c r="AE26">
        <v>66</v>
      </c>
      <c r="AF26">
        <v>0</v>
      </c>
      <c r="AG26">
        <v>7</v>
      </c>
      <c r="AH26">
        <f t="shared" si="0"/>
        <v>3</v>
      </c>
      <c r="AI26">
        <f t="shared" si="1"/>
        <v>4</v>
      </c>
      <c r="AJ26">
        <v>56.000000238418579</v>
      </c>
      <c r="AK26">
        <v>74.000000953674316</v>
      </c>
      <c r="AL26">
        <f t="shared" si="2"/>
        <v>9.9999997615814209</v>
      </c>
      <c r="AM26">
        <f t="shared" si="3"/>
        <v>8.0000009536743164</v>
      </c>
      <c r="AN26">
        <v>5</v>
      </c>
      <c r="AO26">
        <v>80</v>
      </c>
      <c r="AP26" s="91">
        <f>IF('Angioplasty Summary'!$R$4=2, AE26, IF('Angioplasty Summary'!$R$4=1, AD26))</f>
        <v>3</v>
      </c>
      <c r="AQ26" s="91">
        <f>IF('Angioplasty Summary'!$R$4=2, AL26, IF('Angioplasty Summary'!$R$4=1, AH26))</f>
        <v>3</v>
      </c>
      <c r="AR26" s="91">
        <f>IF('Angioplasty Summary'!$R$4=2, AM26, IF('Angioplasty Summary'!$R$4=1, AI26))</f>
        <v>4</v>
      </c>
      <c r="AS26" s="91">
        <f>IF('Angioplasty Summary'!$R$4=2, AO26, IF('Angioplasty Summary'!$R$4=1, AN26))</f>
        <v>5</v>
      </c>
      <c r="AT26" s="124">
        <v>0.66</v>
      </c>
    </row>
    <row r="27" spans="1:46" x14ac:dyDescent="0.25">
      <c r="A27" s="18" t="s">
        <v>39</v>
      </c>
      <c r="B27" s="18" t="s">
        <v>215</v>
      </c>
      <c r="C27" s="80">
        <v>235</v>
      </c>
      <c r="D27" s="83">
        <v>0.88</v>
      </c>
      <c r="E27" s="83">
        <v>0.03</v>
      </c>
      <c r="F27" s="83">
        <v>0.87</v>
      </c>
      <c r="G27" s="83" t="s">
        <v>296</v>
      </c>
      <c r="H27" s="81">
        <v>0</v>
      </c>
      <c r="I27" s="84">
        <v>224</v>
      </c>
      <c r="J27" s="81">
        <v>9.0000003576278687E-2</v>
      </c>
      <c r="K27" s="84">
        <v>31</v>
      </c>
      <c r="L27" s="84" t="s">
        <v>642</v>
      </c>
      <c r="M27" s="79" t="s">
        <v>39</v>
      </c>
      <c r="N27" s="83">
        <v>0.83</v>
      </c>
      <c r="O27" s="83">
        <v>0.92</v>
      </c>
      <c r="P27" s="83">
        <v>0.01</v>
      </c>
      <c r="Q27" s="83">
        <v>7.0000000000000007E-2</v>
      </c>
      <c r="R27" s="83">
        <v>0.82</v>
      </c>
      <c r="S27" s="83">
        <v>0.91</v>
      </c>
      <c r="T27" s="85">
        <v>5.0000000000000044E-2</v>
      </c>
      <c r="U27" s="85">
        <v>4.0000000000000036E-2</v>
      </c>
      <c r="V27" s="85">
        <v>1.9999999999999997E-2</v>
      </c>
      <c r="W27" s="85">
        <v>4.0000000000000008E-2</v>
      </c>
      <c r="X27" s="85">
        <v>5.0000000000000044E-2</v>
      </c>
      <c r="Y27" s="85">
        <v>4.0000000000000036E-2</v>
      </c>
      <c r="Z27" s="86">
        <f>IF('Angioplasty Summary'!$R$55=3, RANK(F27,F$2:F$102,1)+COUNTIF($F$2:F27,F27)-1, IF('Angioplasty Summary'!$R$55=2, RANK(E27,E$2:E$102,1)+COUNTIF($E$2:E27,E27)-1, IF('Angioplasty Summary'!$R$55=1, RANK(D27,D$2:D$102,1)+COUNTIF($D$2:D27,D27)-1)))</f>
        <v>4</v>
      </c>
      <c r="AA27" s="85">
        <f>IF('Angioplasty Summary'!$R$55=3, F27, IF('Angioplasty Summary'!$R$55=2, E27, IF('Angioplasty Summary'!$R$55=1, D27)))</f>
        <v>0.88</v>
      </c>
      <c r="AB27" s="85">
        <f>IF('Angioplasty Summary'!$R$55=3, X27, IF('Angioplasty Summary'!$R$55=2, V27, IF('Angioplasty Summary'!$R$55=1, T27)))</f>
        <v>5.0000000000000044E-2</v>
      </c>
      <c r="AC27" s="85">
        <f>IF('Angioplasty Summary'!$R$55=3, Y27, IF('Angioplasty Summary'!$R$55=2, W27, IF('Angioplasty Summary'!$R$55=1, U27)))</f>
        <v>4.0000000000000036E-2</v>
      </c>
      <c r="AD27">
        <v>8</v>
      </c>
      <c r="AE27">
        <v>19</v>
      </c>
      <c r="AF27">
        <v>6</v>
      </c>
      <c r="AG27">
        <v>15</v>
      </c>
      <c r="AH27">
        <f t="shared" si="0"/>
        <v>2</v>
      </c>
      <c r="AI27">
        <f t="shared" si="1"/>
        <v>7</v>
      </c>
      <c r="AJ27">
        <v>7.0000000298023224</v>
      </c>
      <c r="AK27">
        <v>37.000000476837158</v>
      </c>
      <c r="AL27">
        <f t="shared" si="2"/>
        <v>11.999999970197678</v>
      </c>
      <c r="AM27">
        <f t="shared" si="3"/>
        <v>18.000000476837158</v>
      </c>
      <c r="AN27">
        <v>5</v>
      </c>
      <c r="AO27">
        <v>80</v>
      </c>
      <c r="AP27" s="91">
        <f>IF('Angioplasty Summary'!$R$4=2, AE27, IF('Angioplasty Summary'!$R$4=1, AD27))</f>
        <v>8</v>
      </c>
      <c r="AQ27" s="91">
        <f>IF('Angioplasty Summary'!$R$4=2, AL27, IF('Angioplasty Summary'!$R$4=1, AH27))</f>
        <v>2</v>
      </c>
      <c r="AR27" s="91">
        <f>IF('Angioplasty Summary'!$R$4=2, AM27, IF('Angioplasty Summary'!$R$4=1, AI27))</f>
        <v>7</v>
      </c>
      <c r="AS27" s="91">
        <f>IF('Angioplasty Summary'!$R$4=2, AO27, IF('Angioplasty Summary'!$R$4=1, AN27))</f>
        <v>5</v>
      </c>
      <c r="AT27" s="124">
        <v>0.19</v>
      </c>
    </row>
    <row r="28" spans="1:46" x14ac:dyDescent="0.25">
      <c r="A28" s="18" t="s">
        <v>40</v>
      </c>
      <c r="B28" s="18" t="s">
        <v>41</v>
      </c>
      <c r="C28" s="80">
        <v>459</v>
      </c>
      <c r="D28" s="83">
        <v>0.97</v>
      </c>
      <c r="E28" s="83">
        <v>0.45</v>
      </c>
      <c r="F28" s="83">
        <v>0.9</v>
      </c>
      <c r="G28" s="83" t="s">
        <v>308</v>
      </c>
      <c r="H28" s="81">
        <v>1.5816783905029295E-2</v>
      </c>
      <c r="I28" s="84">
        <v>452</v>
      </c>
      <c r="J28" s="81">
        <v>9.0000003576278687E-2</v>
      </c>
      <c r="K28" s="84">
        <v>92</v>
      </c>
      <c r="L28" s="84" t="s">
        <v>315</v>
      </c>
      <c r="M28" s="79" t="s">
        <v>40</v>
      </c>
      <c r="N28" s="83">
        <v>0.95</v>
      </c>
      <c r="O28" s="83">
        <v>0.98</v>
      </c>
      <c r="P28" s="83">
        <v>0.4</v>
      </c>
      <c r="Q28" s="83">
        <v>0.51</v>
      </c>
      <c r="R28" s="83">
        <v>0.87</v>
      </c>
      <c r="S28" s="83">
        <v>0.93</v>
      </c>
      <c r="T28" s="85">
        <v>2.0000000000000018E-2</v>
      </c>
      <c r="U28" s="85">
        <v>1.0000000000000009E-2</v>
      </c>
      <c r="V28" s="85">
        <v>4.9999999999999989E-2</v>
      </c>
      <c r="W28" s="85">
        <v>0.06</v>
      </c>
      <c r="X28" s="85">
        <v>3.0000000000000027E-2</v>
      </c>
      <c r="Y28" s="85">
        <v>3.0000000000000027E-2</v>
      </c>
      <c r="Z28" s="86">
        <f>IF('Angioplasty Summary'!$R$55=3, RANK(F28,F$2:F$102,1)+COUNTIF($F$2:F28,F28)-1, IF('Angioplasty Summary'!$R$55=2, RANK(E28,E$2:E$102,1)+COUNTIF($E$2:E28,E28)-1, IF('Angioplasty Summary'!$R$55=1, RANK(D28,D$2:D$102,1)+COUNTIF($D$2:D28,D28)-1)))</f>
        <v>22</v>
      </c>
      <c r="AA28" s="85">
        <f>IF('Angioplasty Summary'!$R$55=3, F28, IF('Angioplasty Summary'!$R$55=2, E28, IF('Angioplasty Summary'!$R$55=1, D28)))</f>
        <v>0.97</v>
      </c>
      <c r="AB28" s="85">
        <f>IF('Angioplasty Summary'!$R$55=3, X28, IF('Angioplasty Summary'!$R$55=2, V28, IF('Angioplasty Summary'!$R$55=1, T28)))</f>
        <v>2.0000000000000018E-2</v>
      </c>
      <c r="AC28" s="85">
        <f>IF('Angioplasty Summary'!$R$55=3, Y28, IF('Angioplasty Summary'!$R$55=2, W28, IF('Angioplasty Summary'!$R$55=1, U28)))</f>
        <v>1.0000000000000009E-2</v>
      </c>
      <c r="AD28">
        <v>5</v>
      </c>
      <c r="AE28">
        <v>54</v>
      </c>
      <c r="AF28">
        <v>2</v>
      </c>
      <c r="AG28">
        <v>13</v>
      </c>
      <c r="AH28">
        <f t="shared" si="0"/>
        <v>3</v>
      </c>
      <c r="AI28">
        <f t="shared" si="1"/>
        <v>8</v>
      </c>
      <c r="AJ28">
        <v>43.000000715255737</v>
      </c>
      <c r="AK28">
        <v>63.999998569488525</v>
      </c>
      <c r="AL28">
        <f t="shared" si="2"/>
        <v>10.999999284744263</v>
      </c>
      <c r="AM28">
        <f t="shared" si="3"/>
        <v>9.9999985694885254</v>
      </c>
      <c r="AN28">
        <v>5</v>
      </c>
      <c r="AO28">
        <v>80</v>
      </c>
      <c r="AP28" s="91">
        <f>IF('Angioplasty Summary'!$R$4=2, AE28, IF('Angioplasty Summary'!$R$4=1, AD28))</f>
        <v>5</v>
      </c>
      <c r="AQ28" s="91">
        <f>IF('Angioplasty Summary'!$R$4=2, AL28, IF('Angioplasty Summary'!$R$4=1, AH28))</f>
        <v>3</v>
      </c>
      <c r="AR28" s="91">
        <f>IF('Angioplasty Summary'!$R$4=2, AM28, IF('Angioplasty Summary'!$R$4=1, AI28))</f>
        <v>8</v>
      </c>
      <c r="AS28" s="91">
        <f>IF('Angioplasty Summary'!$R$4=2, AO28, IF('Angioplasty Summary'!$R$4=1, AN28))</f>
        <v>5</v>
      </c>
      <c r="AT28" s="124">
        <v>0.54</v>
      </c>
    </row>
    <row r="29" spans="1:46" x14ac:dyDescent="0.25">
      <c r="A29" s="18" t="s">
        <v>103</v>
      </c>
      <c r="B29" s="18" t="s">
        <v>104</v>
      </c>
      <c r="C29" s="80">
        <v>380</v>
      </c>
      <c r="D29" s="83">
        <v>0.96</v>
      </c>
      <c r="E29" s="83">
        <v>0.72</v>
      </c>
      <c r="F29" s="83">
        <v>0.8</v>
      </c>
      <c r="G29" s="83" t="s">
        <v>293</v>
      </c>
      <c r="H29" s="81">
        <v>2.9416959285736084E-2</v>
      </c>
      <c r="I29" s="84">
        <v>373</v>
      </c>
      <c r="J29" s="81">
        <v>0.15999999642372131</v>
      </c>
      <c r="K29" s="84">
        <v>34</v>
      </c>
      <c r="L29" s="84" t="s">
        <v>643</v>
      </c>
      <c r="M29" s="79" t="s">
        <v>103</v>
      </c>
      <c r="N29" s="83">
        <v>0.94</v>
      </c>
      <c r="O29" s="83">
        <v>0.98</v>
      </c>
      <c r="P29" s="83">
        <v>0.67</v>
      </c>
      <c r="Q29" s="83">
        <v>0.77</v>
      </c>
      <c r="R29" s="83">
        <v>0.76</v>
      </c>
      <c r="S29" s="83">
        <v>0.84</v>
      </c>
      <c r="T29" s="85">
        <v>2.0000000000000018E-2</v>
      </c>
      <c r="U29" s="85">
        <v>2.0000000000000018E-2</v>
      </c>
      <c r="V29" s="85">
        <v>4.9999999999999933E-2</v>
      </c>
      <c r="W29" s="85">
        <v>5.0000000000000044E-2</v>
      </c>
      <c r="X29" s="85">
        <v>4.0000000000000036E-2</v>
      </c>
      <c r="Y29" s="85">
        <v>3.9999999999999925E-2</v>
      </c>
      <c r="Z29" s="86">
        <f>IF('Angioplasty Summary'!$R$55=3, RANK(F29,F$2:F$102,1)+COUNTIF($F$2:F29,F29)-1, IF('Angioplasty Summary'!$R$55=2, RANK(E29,E$2:E$102,1)+COUNTIF($E$2:E29,E29)-1, IF('Angioplasty Summary'!$R$55=1, RANK(D29,D$2:D$102,1)+COUNTIF($D$2:D29,D29)-1)))</f>
        <v>15</v>
      </c>
      <c r="AA29" s="85">
        <f>IF('Angioplasty Summary'!$R$55=3, F29, IF('Angioplasty Summary'!$R$55=2, E29, IF('Angioplasty Summary'!$R$55=1, D29)))</f>
        <v>0.96</v>
      </c>
      <c r="AB29" s="85">
        <f>IF('Angioplasty Summary'!$R$55=3, X29, IF('Angioplasty Summary'!$R$55=2, V29, IF('Angioplasty Summary'!$R$55=1, T29)))</f>
        <v>2.0000000000000018E-2</v>
      </c>
      <c r="AC29" s="85">
        <f>IF('Angioplasty Summary'!$R$55=3, Y29, IF('Angioplasty Summary'!$R$55=2, W29, IF('Angioplasty Summary'!$R$55=1, U29)))</f>
        <v>2.0000000000000018E-2</v>
      </c>
      <c r="AD29">
        <v>11</v>
      </c>
      <c r="AE29">
        <v>30</v>
      </c>
      <c r="AF29">
        <v>4</v>
      </c>
      <c r="AG29">
        <v>20</v>
      </c>
      <c r="AH29">
        <f t="shared" si="0"/>
        <v>7</v>
      </c>
      <c r="AI29">
        <f t="shared" si="1"/>
        <v>9</v>
      </c>
      <c r="AJ29">
        <v>15.999999642372131</v>
      </c>
      <c r="AK29">
        <v>49.000000953674316</v>
      </c>
      <c r="AL29">
        <f t="shared" si="2"/>
        <v>14.000000357627869</v>
      </c>
      <c r="AM29">
        <f t="shared" si="3"/>
        <v>19.000000953674316</v>
      </c>
      <c r="AN29">
        <v>5</v>
      </c>
      <c r="AO29">
        <v>80</v>
      </c>
      <c r="AP29" s="91">
        <f>IF('Angioplasty Summary'!$R$4=2, AE29, IF('Angioplasty Summary'!$R$4=1, AD29))</f>
        <v>11</v>
      </c>
      <c r="AQ29" s="91">
        <f>IF('Angioplasty Summary'!$R$4=2, AL29, IF('Angioplasty Summary'!$R$4=1, AH29))</f>
        <v>7</v>
      </c>
      <c r="AR29" s="91">
        <f>IF('Angioplasty Summary'!$R$4=2, AM29, IF('Angioplasty Summary'!$R$4=1, AI29))</f>
        <v>9</v>
      </c>
      <c r="AS29" s="91">
        <f>IF('Angioplasty Summary'!$R$4=2, AO29, IF('Angioplasty Summary'!$R$4=1, AN29))</f>
        <v>5</v>
      </c>
      <c r="AT29" s="124">
        <v>0.3</v>
      </c>
    </row>
    <row r="30" spans="1:46" x14ac:dyDescent="0.25">
      <c r="A30" s="18" t="s">
        <v>115</v>
      </c>
      <c r="B30" s="18" t="s">
        <v>116</v>
      </c>
      <c r="C30" s="80">
        <v>89</v>
      </c>
      <c r="D30" s="83">
        <v>0.98</v>
      </c>
      <c r="E30" s="83">
        <v>0.39</v>
      </c>
      <c r="F30" s="83">
        <v>0.9</v>
      </c>
      <c r="G30" s="83" t="s">
        <v>297</v>
      </c>
      <c r="H30" s="81">
        <v>1.3045705556869507E-2</v>
      </c>
      <c r="I30" s="84">
        <v>69</v>
      </c>
      <c r="J30" s="81">
        <v>3.9999999105930328E-2</v>
      </c>
      <c r="K30" s="84">
        <v>16</v>
      </c>
      <c r="L30" s="84" t="s">
        <v>234</v>
      </c>
      <c r="M30" s="79" t="s">
        <v>115</v>
      </c>
      <c r="N30" s="83">
        <v>0.92</v>
      </c>
      <c r="O30" s="83">
        <v>1</v>
      </c>
      <c r="P30" s="83">
        <v>0.28000000000000003</v>
      </c>
      <c r="Q30" s="83">
        <v>0.52</v>
      </c>
      <c r="R30" s="83">
        <v>0.81</v>
      </c>
      <c r="S30" s="83">
        <v>0.95</v>
      </c>
      <c r="T30" s="85">
        <v>5.9999999999999942E-2</v>
      </c>
      <c r="U30" s="85">
        <v>2.0000000000000018E-2</v>
      </c>
      <c r="V30" s="85">
        <v>0.10999999999999999</v>
      </c>
      <c r="W30" s="85">
        <v>0.13</v>
      </c>
      <c r="X30" s="85">
        <v>8.9999999999999969E-2</v>
      </c>
      <c r="Y30" s="85">
        <v>4.9999999999999933E-2</v>
      </c>
      <c r="Z30" s="86">
        <f>IF('Angioplasty Summary'!$R$55=3, RANK(F30,F$2:F$102,1)+COUNTIF($F$2:F30,F30)-1, IF('Angioplasty Summary'!$R$55=2, RANK(E30,E$2:E$102,1)+COUNTIF($E$2:E30,E30)-1, IF('Angioplasty Summary'!$R$55=1, RANK(D30,D$2:D$102,1)+COUNTIF($D$2:D30,D30)-1)))</f>
        <v>30</v>
      </c>
      <c r="AA30" s="85">
        <f>IF('Angioplasty Summary'!$R$55=3, F30, IF('Angioplasty Summary'!$R$55=2, E30, IF('Angioplasty Summary'!$R$55=1, D30)))</f>
        <v>0.98</v>
      </c>
      <c r="AB30" s="85">
        <f>IF('Angioplasty Summary'!$R$55=3, X30, IF('Angioplasty Summary'!$R$55=2, V30, IF('Angioplasty Summary'!$R$55=1, T30)))</f>
        <v>5.9999999999999942E-2</v>
      </c>
      <c r="AC30" s="85">
        <f>IF('Angioplasty Summary'!$R$55=3, Y30, IF('Angioplasty Summary'!$R$55=2, W30, IF('Angioplasty Summary'!$R$55=1, U30)))</f>
        <v>2.0000000000000018E-2</v>
      </c>
      <c r="AD30">
        <v>4</v>
      </c>
      <c r="AE30">
        <v>63</v>
      </c>
      <c r="AF30">
        <v>2</v>
      </c>
      <c r="AG30">
        <v>8</v>
      </c>
      <c r="AH30">
        <f t="shared" si="0"/>
        <v>2</v>
      </c>
      <c r="AI30">
        <f t="shared" si="1"/>
        <v>4</v>
      </c>
      <c r="AJ30">
        <v>34.999999403953552</v>
      </c>
      <c r="AK30">
        <v>85.000002384185791</v>
      </c>
      <c r="AL30">
        <f t="shared" si="2"/>
        <v>28.000000596046448</v>
      </c>
      <c r="AM30">
        <f t="shared" si="3"/>
        <v>22.000002384185791</v>
      </c>
      <c r="AN30">
        <v>5</v>
      </c>
      <c r="AO30">
        <v>80</v>
      </c>
      <c r="AP30" s="91">
        <f>IF('Angioplasty Summary'!$R$4=2, AE30, IF('Angioplasty Summary'!$R$4=1, AD30))</f>
        <v>4</v>
      </c>
      <c r="AQ30" s="91">
        <f>IF('Angioplasty Summary'!$R$4=2, AL30, IF('Angioplasty Summary'!$R$4=1, AH30))</f>
        <v>2</v>
      </c>
      <c r="AR30" s="91">
        <f>IF('Angioplasty Summary'!$R$4=2, AM30, IF('Angioplasty Summary'!$R$4=1, AI30))</f>
        <v>4</v>
      </c>
      <c r="AS30" s="91">
        <f>IF('Angioplasty Summary'!$R$4=2, AO30, IF('Angioplasty Summary'!$R$4=1, AN30))</f>
        <v>5</v>
      </c>
      <c r="AT30" s="124">
        <v>0.63</v>
      </c>
    </row>
    <row r="31" spans="1:46" x14ac:dyDescent="0.25">
      <c r="A31" s="18" t="s">
        <v>286</v>
      </c>
      <c r="B31" s="18" t="s">
        <v>393</v>
      </c>
      <c r="C31" s="80">
        <v>21</v>
      </c>
      <c r="D31" s="83">
        <v>1</v>
      </c>
      <c r="E31" s="83">
        <v>0.8</v>
      </c>
      <c r="F31" s="83">
        <v>0.9</v>
      </c>
      <c r="G31" s="83" t="s">
        <v>290</v>
      </c>
      <c r="H31" s="81">
        <v>0</v>
      </c>
      <c r="I31" s="84">
        <v>21</v>
      </c>
      <c r="J31" s="81">
        <v>0</v>
      </c>
      <c r="K31" s="84" t="s">
        <v>633</v>
      </c>
      <c r="L31" s="84" t="s">
        <v>399</v>
      </c>
      <c r="M31" s="79" t="s">
        <v>286</v>
      </c>
      <c r="N31" s="83">
        <v>0.84</v>
      </c>
      <c r="O31" s="83">
        <v>1</v>
      </c>
      <c r="P31" s="83">
        <v>0.56000000000000005</v>
      </c>
      <c r="Q31" s="83">
        <v>0.94</v>
      </c>
      <c r="R31" s="83">
        <v>0.7</v>
      </c>
      <c r="S31" s="83">
        <v>0.99</v>
      </c>
      <c r="T31" s="85">
        <v>0.16000000000000003</v>
      </c>
      <c r="U31" s="85">
        <v>0</v>
      </c>
      <c r="V31" s="85">
        <v>0.24</v>
      </c>
      <c r="W31" s="85">
        <v>0.1399999999999999</v>
      </c>
      <c r="X31" s="85">
        <v>0.20000000000000007</v>
      </c>
      <c r="Y31" s="85">
        <v>8.9999999999999969E-2</v>
      </c>
      <c r="Z31" s="86">
        <f>IF('Angioplasty Summary'!$R$55=3, RANK(F31,F$2:F$102,1)+COUNTIF($F$2:F31,F31)-1, IF('Angioplasty Summary'!$R$55=2, RANK(E31,E$2:E$102,1)+COUNTIF($E$2:E31,E31)-1, IF('Angioplasty Summary'!$R$55=1, RANK(D31,D$2:D$102,1)+COUNTIF($D$2:D31,D31)-1)))</f>
        <v>53</v>
      </c>
      <c r="AA31" s="85">
        <f>IF('Angioplasty Summary'!$R$55=3, F31, IF('Angioplasty Summary'!$R$55=2, E31, IF('Angioplasty Summary'!$R$55=1, D31)))</f>
        <v>1</v>
      </c>
      <c r="AB31" s="85">
        <f>IF('Angioplasty Summary'!$R$55=3, X31, IF('Angioplasty Summary'!$R$55=2, V31, IF('Angioplasty Summary'!$R$55=1, T31)))</f>
        <v>0.16000000000000003</v>
      </c>
      <c r="AC31" s="85">
        <f>IF('Angioplasty Summary'!$R$55=3, Y31, IF('Angioplasty Summary'!$R$55=2, W31, IF('Angioplasty Summary'!$R$55=1, U31)))</f>
        <v>0</v>
      </c>
      <c r="AD31" t="s">
        <v>399</v>
      </c>
      <c r="AE31" t="e">
        <v>#VALUE!</v>
      </c>
      <c r="AF31" t="e">
        <v>#VALUE!</v>
      </c>
      <c r="AG31" t="e">
        <v>#VALUE!</v>
      </c>
      <c r="AH31" t="e">
        <f t="shared" si="0"/>
        <v>#VALUE!</v>
      </c>
      <c r="AI31" t="e">
        <f t="shared" si="1"/>
        <v>#VALUE!</v>
      </c>
      <c r="AJ31" t="e">
        <v>#VALUE!</v>
      </c>
      <c r="AK31" t="e">
        <v>#VALUE!</v>
      </c>
      <c r="AL31" t="e">
        <f t="shared" si="2"/>
        <v>#VALUE!</v>
      </c>
      <c r="AM31" t="e">
        <f t="shared" si="3"/>
        <v>#VALUE!</v>
      </c>
      <c r="AN31">
        <v>5</v>
      </c>
      <c r="AO31">
        <v>80</v>
      </c>
      <c r="AP31" s="91" t="str">
        <f>IF('Angioplasty Summary'!$R$4=2, AE31, IF('Angioplasty Summary'!$R$4=1, AD31))</f>
        <v>xx</v>
      </c>
      <c r="AQ31" s="91" t="e">
        <f>IF('Angioplasty Summary'!$R$4=2, AL31, IF('Angioplasty Summary'!$R$4=1, AH31))</f>
        <v>#VALUE!</v>
      </c>
      <c r="AR31" s="91" t="e">
        <f>IF('Angioplasty Summary'!$R$4=2, AM31, IF('Angioplasty Summary'!$R$4=1, AI31))</f>
        <v>#VALUE!</v>
      </c>
      <c r="AS31" s="91">
        <f>IF('Angioplasty Summary'!$R$4=2, AO31, IF('Angioplasty Summary'!$R$4=1, AN31))</f>
        <v>5</v>
      </c>
      <c r="AT31" t="s">
        <v>399</v>
      </c>
    </row>
    <row r="32" spans="1:46" x14ac:dyDescent="0.25">
      <c r="A32" s="18" t="s">
        <v>66</v>
      </c>
      <c r="B32" s="18" t="s">
        <v>67</v>
      </c>
      <c r="C32" s="80">
        <v>329</v>
      </c>
      <c r="D32" s="83">
        <v>0.87</v>
      </c>
      <c r="E32" s="83">
        <v>0.27</v>
      </c>
      <c r="F32" s="83">
        <v>0.92</v>
      </c>
      <c r="G32" s="83" t="s">
        <v>300</v>
      </c>
      <c r="H32" s="81">
        <v>1.0555293560028076E-2</v>
      </c>
      <c r="I32" s="84">
        <v>211</v>
      </c>
      <c r="J32" s="81">
        <v>5.9999998658895493E-2</v>
      </c>
      <c r="K32" s="84">
        <v>59</v>
      </c>
      <c r="L32" s="84" t="s">
        <v>368</v>
      </c>
      <c r="M32" s="79" t="s">
        <v>66</v>
      </c>
      <c r="N32" s="83">
        <v>0.82</v>
      </c>
      <c r="O32" s="83">
        <v>0.9</v>
      </c>
      <c r="P32" s="83">
        <v>0.22</v>
      </c>
      <c r="Q32" s="83">
        <v>0.33</v>
      </c>
      <c r="R32" s="83">
        <v>0.89</v>
      </c>
      <c r="S32" s="83">
        <v>0.95</v>
      </c>
      <c r="T32" s="85">
        <v>5.0000000000000044E-2</v>
      </c>
      <c r="U32" s="85">
        <v>3.0000000000000027E-2</v>
      </c>
      <c r="V32" s="85">
        <v>5.0000000000000017E-2</v>
      </c>
      <c r="W32" s="85">
        <v>0.06</v>
      </c>
      <c r="X32" s="85">
        <v>3.0000000000000027E-2</v>
      </c>
      <c r="Y32" s="85">
        <v>2.9999999999999916E-2</v>
      </c>
      <c r="Z32" s="86">
        <f>IF('Angioplasty Summary'!$R$55=3, RANK(F32,F$2:F$102,1)+COUNTIF($F$2:F32,F32)-1, IF('Angioplasty Summary'!$R$55=2, RANK(E32,E$2:E$102,1)+COUNTIF($E$2:E32,E32)-1, IF('Angioplasty Summary'!$R$55=1, RANK(D32,D$2:D$102,1)+COUNTIF($D$2:D32,D32)-1)))</f>
        <v>2</v>
      </c>
      <c r="AA32" s="85">
        <f>IF('Angioplasty Summary'!$R$55=3, F32, IF('Angioplasty Summary'!$R$55=2, E32, IF('Angioplasty Summary'!$R$55=1, D32)))</f>
        <v>0.87</v>
      </c>
      <c r="AB32" s="85">
        <f>IF('Angioplasty Summary'!$R$55=3, X32, IF('Angioplasty Summary'!$R$55=2, V32, IF('Angioplasty Summary'!$R$55=1, T32)))</f>
        <v>5.0000000000000044E-2</v>
      </c>
      <c r="AC32" s="85">
        <f>IF('Angioplasty Summary'!$R$55=3, Y32, IF('Angioplasty Summary'!$R$55=2, W32, IF('Angioplasty Summary'!$R$55=1, U32)))</f>
        <v>3.0000000000000027E-2</v>
      </c>
      <c r="AD32">
        <v>6</v>
      </c>
      <c r="AE32">
        <v>42</v>
      </c>
      <c r="AF32">
        <v>3</v>
      </c>
      <c r="AG32">
        <v>9</v>
      </c>
      <c r="AH32">
        <f t="shared" si="0"/>
        <v>3</v>
      </c>
      <c r="AI32">
        <f t="shared" si="1"/>
        <v>3</v>
      </c>
      <c r="AJ32">
        <v>30.000001192092896</v>
      </c>
      <c r="AK32">
        <v>56.000000238418579</v>
      </c>
      <c r="AL32">
        <f t="shared" si="2"/>
        <v>11.999998807907104</v>
      </c>
      <c r="AM32">
        <f t="shared" si="3"/>
        <v>14.000000238418579</v>
      </c>
      <c r="AN32">
        <v>5</v>
      </c>
      <c r="AO32">
        <v>80</v>
      </c>
      <c r="AP32" s="91">
        <f>IF('Angioplasty Summary'!$R$4=2, AE32, IF('Angioplasty Summary'!$R$4=1, AD32))</f>
        <v>6</v>
      </c>
      <c r="AQ32" s="91">
        <f>IF('Angioplasty Summary'!$R$4=2, AL32, IF('Angioplasty Summary'!$R$4=1, AH32))</f>
        <v>3</v>
      </c>
      <c r="AR32" s="91">
        <f>IF('Angioplasty Summary'!$R$4=2, AM32, IF('Angioplasty Summary'!$R$4=1, AI32))</f>
        <v>3</v>
      </c>
      <c r="AS32" s="91">
        <f>IF('Angioplasty Summary'!$R$4=2, AO32, IF('Angioplasty Summary'!$R$4=1, AN32))</f>
        <v>5</v>
      </c>
      <c r="AT32" s="124">
        <v>0.42</v>
      </c>
    </row>
    <row r="33" spans="1:46" x14ac:dyDescent="0.25">
      <c r="A33" s="18" t="s">
        <v>287</v>
      </c>
      <c r="B33" s="18" t="s">
        <v>394</v>
      </c>
      <c r="C33" s="80">
        <v>103</v>
      </c>
      <c r="D33" s="83">
        <v>0.96</v>
      </c>
      <c r="E33" s="83">
        <v>0.46</v>
      </c>
      <c r="F33" s="83">
        <v>0.94</v>
      </c>
      <c r="G33" s="83" t="s">
        <v>374</v>
      </c>
      <c r="H33" s="81">
        <v>0</v>
      </c>
      <c r="I33" s="84">
        <v>101</v>
      </c>
      <c r="J33" s="81">
        <v>7.9999998211860657E-2</v>
      </c>
      <c r="K33" s="84" t="s">
        <v>633</v>
      </c>
      <c r="L33" s="84" t="s">
        <v>399</v>
      </c>
      <c r="M33" s="79" t="s">
        <v>287</v>
      </c>
      <c r="N33" s="83">
        <v>0.9</v>
      </c>
      <c r="O33" s="83">
        <v>0.99</v>
      </c>
      <c r="P33" s="83">
        <v>0.36</v>
      </c>
      <c r="Q33" s="83">
        <v>0.56000000000000005</v>
      </c>
      <c r="R33" s="83">
        <v>0.88</v>
      </c>
      <c r="S33" s="83">
        <v>0.98</v>
      </c>
      <c r="T33" s="85">
        <v>5.9999999999999942E-2</v>
      </c>
      <c r="U33" s="85">
        <v>3.0000000000000027E-2</v>
      </c>
      <c r="V33" s="85">
        <v>0.10000000000000003</v>
      </c>
      <c r="W33" s="85">
        <v>0.10000000000000003</v>
      </c>
      <c r="X33" s="85">
        <v>5.9999999999999942E-2</v>
      </c>
      <c r="Y33" s="85">
        <v>4.0000000000000036E-2</v>
      </c>
      <c r="Z33" s="86">
        <f>IF('Angioplasty Summary'!$R$55=3, RANK(F33,F$2:F$102,1)+COUNTIF($F$2:F33,F33)-1, IF('Angioplasty Summary'!$R$55=2, RANK(E33,E$2:E$102,1)+COUNTIF($E$2:E33,E33)-1, IF('Angioplasty Summary'!$R$55=1, RANK(D33,D$2:D$102,1)+COUNTIF($D$2:D33,D33)-1)))</f>
        <v>16</v>
      </c>
      <c r="AA33" s="85">
        <f>IF('Angioplasty Summary'!$R$55=3, F33, IF('Angioplasty Summary'!$R$55=2, E33, IF('Angioplasty Summary'!$R$55=1, D33)))</f>
        <v>0.96</v>
      </c>
      <c r="AB33" s="85">
        <f>IF('Angioplasty Summary'!$R$55=3, X33, IF('Angioplasty Summary'!$R$55=2, V33, IF('Angioplasty Summary'!$R$55=1, T33)))</f>
        <v>5.9999999999999942E-2</v>
      </c>
      <c r="AC33" s="85">
        <f>IF('Angioplasty Summary'!$R$55=3, Y33, IF('Angioplasty Summary'!$R$55=2, W33, IF('Angioplasty Summary'!$R$55=1, U33)))</f>
        <v>3.0000000000000027E-2</v>
      </c>
      <c r="AD33" t="s">
        <v>399</v>
      </c>
      <c r="AE33" t="e">
        <v>#VALUE!</v>
      </c>
      <c r="AF33" t="e">
        <v>#VALUE!</v>
      </c>
      <c r="AG33" t="e">
        <v>#VALUE!</v>
      </c>
      <c r="AH33" t="e">
        <f t="shared" si="0"/>
        <v>#VALUE!</v>
      </c>
      <c r="AI33" t="e">
        <f t="shared" si="1"/>
        <v>#VALUE!</v>
      </c>
      <c r="AJ33" t="e">
        <v>#VALUE!</v>
      </c>
      <c r="AK33" t="e">
        <v>#VALUE!</v>
      </c>
      <c r="AL33" t="e">
        <f t="shared" si="2"/>
        <v>#VALUE!</v>
      </c>
      <c r="AM33" t="e">
        <f t="shared" si="3"/>
        <v>#VALUE!</v>
      </c>
      <c r="AN33">
        <v>5</v>
      </c>
      <c r="AO33">
        <v>80</v>
      </c>
      <c r="AP33" s="91" t="str">
        <f>IF('Angioplasty Summary'!$R$4=2, AE33, IF('Angioplasty Summary'!$R$4=1, AD33))</f>
        <v>xx</v>
      </c>
      <c r="AQ33" s="91" t="e">
        <f>IF('Angioplasty Summary'!$R$4=2, AL33, IF('Angioplasty Summary'!$R$4=1, AH33))</f>
        <v>#VALUE!</v>
      </c>
      <c r="AR33" s="91" t="e">
        <f>IF('Angioplasty Summary'!$R$4=2, AM33, IF('Angioplasty Summary'!$R$4=1, AI33))</f>
        <v>#VALUE!</v>
      </c>
      <c r="AS33" s="91">
        <f>IF('Angioplasty Summary'!$R$4=2, AO33, IF('Angioplasty Summary'!$R$4=1, AN33))</f>
        <v>5</v>
      </c>
      <c r="AT33" t="s">
        <v>399</v>
      </c>
    </row>
    <row r="34" spans="1:46" x14ac:dyDescent="0.25">
      <c r="A34" s="18" t="s">
        <v>130</v>
      </c>
      <c r="B34" s="18" t="s">
        <v>618</v>
      </c>
      <c r="C34" s="80">
        <v>690</v>
      </c>
      <c r="D34" s="83">
        <v>0.97</v>
      </c>
      <c r="E34" s="83">
        <v>0.61</v>
      </c>
      <c r="F34" s="83">
        <v>0.86</v>
      </c>
      <c r="G34" s="83" t="s">
        <v>304</v>
      </c>
      <c r="H34" s="81">
        <v>1.0349975824356079E-2</v>
      </c>
      <c r="I34" s="84">
        <v>684</v>
      </c>
      <c r="J34" s="81">
        <v>9.0000003576278687E-2</v>
      </c>
      <c r="K34" s="84">
        <v>113</v>
      </c>
      <c r="L34" s="84" t="s">
        <v>341</v>
      </c>
      <c r="M34" s="79" t="s">
        <v>130</v>
      </c>
      <c r="N34" s="83">
        <v>0.95</v>
      </c>
      <c r="O34" s="83">
        <v>0.98</v>
      </c>
      <c r="P34" s="83">
        <v>0.56000000000000005</v>
      </c>
      <c r="Q34" s="83">
        <v>0.65</v>
      </c>
      <c r="R34" s="83">
        <v>0.83</v>
      </c>
      <c r="S34" s="83">
        <v>0.88</v>
      </c>
      <c r="T34" s="85">
        <v>2.0000000000000018E-2</v>
      </c>
      <c r="U34" s="85">
        <v>1.0000000000000009E-2</v>
      </c>
      <c r="V34" s="85">
        <v>4.9999999999999933E-2</v>
      </c>
      <c r="W34" s="85">
        <v>4.0000000000000036E-2</v>
      </c>
      <c r="X34" s="85">
        <v>3.0000000000000027E-2</v>
      </c>
      <c r="Y34" s="85">
        <v>2.0000000000000018E-2</v>
      </c>
      <c r="Z34" s="86">
        <f>IF('Angioplasty Summary'!$R$55=3, RANK(F34,F$2:F$102,1)+COUNTIF($F$2:F34,F34)-1, IF('Angioplasty Summary'!$R$55=2, RANK(E34,E$2:E$102,1)+COUNTIF($E$2:E34,E34)-1, IF('Angioplasty Summary'!$R$55=1, RANK(D34,D$2:D$102,1)+COUNTIF($D$2:D34,D34)-1)))</f>
        <v>23</v>
      </c>
      <c r="AA34" s="85">
        <f>IF('Angioplasty Summary'!$R$55=3, F34, IF('Angioplasty Summary'!$R$55=2, E34, IF('Angioplasty Summary'!$R$55=1, D34)))</f>
        <v>0.97</v>
      </c>
      <c r="AB34" s="85">
        <f>IF('Angioplasty Summary'!$R$55=3, X34, IF('Angioplasty Summary'!$R$55=2, V34, IF('Angioplasty Summary'!$R$55=1, T34)))</f>
        <v>2.0000000000000018E-2</v>
      </c>
      <c r="AC34" s="85">
        <f>IF('Angioplasty Summary'!$R$55=3, Y34, IF('Angioplasty Summary'!$R$55=2, W34, IF('Angioplasty Summary'!$R$55=1, U34)))</f>
        <v>1.0000000000000009E-2</v>
      </c>
      <c r="AD34">
        <v>3</v>
      </c>
      <c r="AE34">
        <v>74</v>
      </c>
      <c r="AF34">
        <v>1</v>
      </c>
      <c r="AG34">
        <v>6</v>
      </c>
      <c r="AH34">
        <f t="shared" si="0"/>
        <v>2</v>
      </c>
      <c r="AI34">
        <f t="shared" si="1"/>
        <v>3</v>
      </c>
      <c r="AJ34">
        <v>64.999997615814209</v>
      </c>
      <c r="AK34">
        <v>81.999999284744263</v>
      </c>
      <c r="AL34">
        <f t="shared" si="2"/>
        <v>9.000002384185791</v>
      </c>
      <c r="AM34">
        <f t="shared" si="3"/>
        <v>7.9999992847442627</v>
      </c>
      <c r="AN34">
        <v>5</v>
      </c>
      <c r="AO34">
        <v>80</v>
      </c>
      <c r="AP34" s="91">
        <f>IF('Angioplasty Summary'!$R$4=2, AE34, IF('Angioplasty Summary'!$R$4=1, AD34))</f>
        <v>3</v>
      </c>
      <c r="AQ34" s="91">
        <f>IF('Angioplasty Summary'!$R$4=2, AL34, IF('Angioplasty Summary'!$R$4=1, AH34))</f>
        <v>2</v>
      </c>
      <c r="AR34" s="91">
        <f>IF('Angioplasty Summary'!$R$4=2, AM34, IF('Angioplasty Summary'!$R$4=1, AI34))</f>
        <v>3</v>
      </c>
      <c r="AS34" s="91">
        <f>IF('Angioplasty Summary'!$R$4=2, AO34, IF('Angioplasty Summary'!$R$4=1, AN34))</f>
        <v>5</v>
      </c>
      <c r="AT34" s="124">
        <v>0.74</v>
      </c>
    </row>
    <row r="35" spans="1:46" x14ac:dyDescent="0.25">
      <c r="A35" s="18" t="s">
        <v>158</v>
      </c>
      <c r="B35" s="18" t="s">
        <v>159</v>
      </c>
      <c r="C35" s="80">
        <v>343</v>
      </c>
      <c r="D35" s="83">
        <v>0.86</v>
      </c>
      <c r="E35" s="83">
        <v>0.72</v>
      </c>
      <c r="F35" s="83">
        <v>0.92</v>
      </c>
      <c r="G35" s="83" t="s">
        <v>305</v>
      </c>
      <c r="H35" s="81">
        <v>4.9029371142387387E-3</v>
      </c>
      <c r="I35" s="84">
        <v>339</v>
      </c>
      <c r="J35" s="81">
        <v>7.0000000298023224E-2</v>
      </c>
      <c r="K35" s="84">
        <v>86</v>
      </c>
      <c r="L35" s="84" t="s">
        <v>644</v>
      </c>
      <c r="M35" s="79" t="s">
        <v>158</v>
      </c>
      <c r="N35" s="83">
        <v>0.82</v>
      </c>
      <c r="O35" s="83">
        <v>0.89</v>
      </c>
      <c r="P35" s="83">
        <v>0.66</v>
      </c>
      <c r="Q35" s="83">
        <v>0.78</v>
      </c>
      <c r="R35" s="83">
        <v>0.88</v>
      </c>
      <c r="S35" s="83">
        <v>0.95</v>
      </c>
      <c r="T35" s="85">
        <v>4.0000000000000036E-2</v>
      </c>
      <c r="U35" s="85">
        <v>3.0000000000000027E-2</v>
      </c>
      <c r="V35" s="85">
        <v>5.9999999999999942E-2</v>
      </c>
      <c r="W35" s="85">
        <v>6.0000000000000053E-2</v>
      </c>
      <c r="X35" s="85">
        <v>4.0000000000000036E-2</v>
      </c>
      <c r="Y35" s="85">
        <v>2.9999999999999916E-2</v>
      </c>
      <c r="Z35" s="86">
        <f>IF('Angioplasty Summary'!$R$55=3, RANK(F35,F$2:F$102,1)+COUNTIF($F$2:F35,F35)-1, IF('Angioplasty Summary'!$R$55=2, RANK(E35,E$2:E$102,1)+COUNTIF($E$2:E35,E35)-1, IF('Angioplasty Summary'!$R$55=1, RANK(D35,D$2:D$102,1)+COUNTIF($D$2:D35,D35)-1)))</f>
        <v>1</v>
      </c>
      <c r="AA35" s="85">
        <f>IF('Angioplasty Summary'!$R$55=3, F35, IF('Angioplasty Summary'!$R$55=2, E35, IF('Angioplasty Summary'!$R$55=1, D35)))</f>
        <v>0.86</v>
      </c>
      <c r="AB35" s="85">
        <f>IF('Angioplasty Summary'!$R$55=3, X35, IF('Angioplasty Summary'!$R$55=2, V35, IF('Angioplasty Summary'!$R$55=1, T35)))</f>
        <v>4.0000000000000036E-2</v>
      </c>
      <c r="AC35" s="85">
        <f>IF('Angioplasty Summary'!$R$55=3, Y35, IF('Angioplasty Summary'!$R$55=2, W35, IF('Angioplasty Summary'!$R$55=1, U35)))</f>
        <v>3.0000000000000027E-2</v>
      </c>
      <c r="AD35">
        <v>4</v>
      </c>
      <c r="AE35">
        <v>59</v>
      </c>
      <c r="AF35">
        <v>0</v>
      </c>
      <c r="AG35">
        <v>8</v>
      </c>
      <c r="AH35">
        <f t="shared" si="0"/>
        <v>4</v>
      </c>
      <c r="AI35">
        <f t="shared" si="1"/>
        <v>4</v>
      </c>
      <c r="AJ35">
        <v>47.999998927116394</v>
      </c>
      <c r="AK35">
        <v>69.999998807907104</v>
      </c>
      <c r="AL35">
        <f t="shared" si="2"/>
        <v>11.000001072883606</v>
      </c>
      <c r="AM35">
        <f t="shared" si="3"/>
        <v>10.999998807907104</v>
      </c>
      <c r="AN35">
        <v>5</v>
      </c>
      <c r="AO35">
        <v>80</v>
      </c>
      <c r="AP35" s="91">
        <f>IF('Angioplasty Summary'!$R$4=2, AE35, IF('Angioplasty Summary'!$R$4=1, AD35))</f>
        <v>4</v>
      </c>
      <c r="AQ35" s="91">
        <f>IF('Angioplasty Summary'!$R$4=2, AL35, IF('Angioplasty Summary'!$R$4=1, AH35))</f>
        <v>4</v>
      </c>
      <c r="AR35" s="91">
        <f>IF('Angioplasty Summary'!$R$4=2, AM35, IF('Angioplasty Summary'!$R$4=1, AI35))</f>
        <v>4</v>
      </c>
      <c r="AS35" s="91">
        <f>IF('Angioplasty Summary'!$R$4=2, AO35, IF('Angioplasty Summary'!$R$4=1, AN35))</f>
        <v>5</v>
      </c>
      <c r="AT35" s="124">
        <v>0.59</v>
      </c>
    </row>
    <row r="36" spans="1:46" x14ac:dyDescent="0.25">
      <c r="A36" s="18" t="s">
        <v>74</v>
      </c>
      <c r="B36" s="18" t="s">
        <v>75</v>
      </c>
      <c r="C36" s="80">
        <v>203</v>
      </c>
      <c r="D36" s="83">
        <v>0.95</v>
      </c>
      <c r="E36" s="83">
        <v>0.49</v>
      </c>
      <c r="F36" s="83">
        <v>0.82</v>
      </c>
      <c r="G36" s="83" t="s">
        <v>645</v>
      </c>
      <c r="H36" s="81">
        <v>1.5543761253356934E-2</v>
      </c>
      <c r="I36" s="84">
        <v>177</v>
      </c>
      <c r="J36" s="81">
        <v>5.9999998658895493E-2</v>
      </c>
      <c r="K36" s="84">
        <v>32</v>
      </c>
      <c r="L36" s="84" t="s">
        <v>1140</v>
      </c>
      <c r="M36" s="79" t="s">
        <v>74</v>
      </c>
      <c r="N36" s="83">
        <v>0.91</v>
      </c>
      <c r="O36" s="83">
        <v>0.97</v>
      </c>
      <c r="P36" s="83">
        <v>0.41</v>
      </c>
      <c r="Q36" s="83">
        <v>0.56999999999999995</v>
      </c>
      <c r="R36" s="83">
        <v>0.76</v>
      </c>
      <c r="S36" s="83">
        <v>0.87</v>
      </c>
      <c r="T36" s="85">
        <v>3.9999999999999925E-2</v>
      </c>
      <c r="U36" s="85">
        <v>2.0000000000000018E-2</v>
      </c>
      <c r="V36" s="85">
        <v>8.0000000000000016E-2</v>
      </c>
      <c r="W36" s="85">
        <v>7.999999999999996E-2</v>
      </c>
      <c r="X36" s="85">
        <v>5.9999999999999942E-2</v>
      </c>
      <c r="Y36" s="85">
        <v>5.0000000000000044E-2</v>
      </c>
      <c r="Z36" s="86">
        <f>IF('Angioplasty Summary'!$R$55=3, RANK(F36,F$2:F$102,1)+COUNTIF($F$2:F36,F36)-1, IF('Angioplasty Summary'!$R$55=2, RANK(E36,E$2:E$102,1)+COUNTIF($E$2:E36,E36)-1, IF('Angioplasty Summary'!$R$55=1, RANK(D36,D$2:D$102,1)+COUNTIF($D$2:D36,D36)-1)))</f>
        <v>9</v>
      </c>
      <c r="AA36" s="85">
        <f>IF('Angioplasty Summary'!$R$55=3, F36, IF('Angioplasty Summary'!$R$55=2, E36, IF('Angioplasty Summary'!$R$55=1, D36)))</f>
        <v>0.95</v>
      </c>
      <c r="AB36" s="85">
        <f>IF('Angioplasty Summary'!$R$55=3, X36, IF('Angioplasty Summary'!$R$55=2, V36, IF('Angioplasty Summary'!$R$55=1, T36)))</f>
        <v>3.9999999999999925E-2</v>
      </c>
      <c r="AC36" s="85">
        <f>IF('Angioplasty Summary'!$R$55=3, Y36, IF('Angioplasty Summary'!$R$55=2, W36, IF('Angioplasty Summary'!$R$55=1, U36)))</f>
        <v>2.0000000000000018E-2</v>
      </c>
      <c r="AD36">
        <v>3</v>
      </c>
      <c r="AE36">
        <v>66</v>
      </c>
      <c r="AF36">
        <v>1</v>
      </c>
      <c r="AG36">
        <v>12</v>
      </c>
      <c r="AH36">
        <f t="shared" si="0"/>
        <v>2</v>
      </c>
      <c r="AI36">
        <f t="shared" si="1"/>
        <v>9</v>
      </c>
      <c r="AJ36">
        <v>46.99999988079071</v>
      </c>
      <c r="AK36">
        <v>81.000000238418579</v>
      </c>
      <c r="AL36">
        <f t="shared" si="2"/>
        <v>19.00000011920929</v>
      </c>
      <c r="AM36">
        <f t="shared" si="3"/>
        <v>15.000000238418579</v>
      </c>
      <c r="AN36">
        <v>5</v>
      </c>
      <c r="AO36">
        <v>80</v>
      </c>
      <c r="AP36" s="91">
        <f>IF('Angioplasty Summary'!$R$4=2, AE36, IF('Angioplasty Summary'!$R$4=1, AD36))</f>
        <v>3</v>
      </c>
      <c r="AQ36" s="91">
        <f>IF('Angioplasty Summary'!$R$4=2, AL36, IF('Angioplasty Summary'!$R$4=1, AH36))</f>
        <v>2</v>
      </c>
      <c r="AR36" s="91">
        <f>IF('Angioplasty Summary'!$R$4=2, AM36, IF('Angioplasty Summary'!$R$4=1, AI36))</f>
        <v>9</v>
      </c>
      <c r="AS36" s="91">
        <f>IF('Angioplasty Summary'!$R$4=2, AO36, IF('Angioplasty Summary'!$R$4=1, AN36))</f>
        <v>5</v>
      </c>
      <c r="AT36" s="124">
        <v>0.66</v>
      </c>
    </row>
    <row r="37" spans="1:46" s="24" customFormat="1" x14ac:dyDescent="0.25">
      <c r="A37" s="18" t="s">
        <v>150</v>
      </c>
      <c r="B37" s="18" t="s">
        <v>151</v>
      </c>
      <c r="C37" s="80">
        <v>1183</v>
      </c>
      <c r="D37" s="83">
        <v>1</v>
      </c>
      <c r="E37" s="83">
        <v>0.62</v>
      </c>
      <c r="F37" s="83">
        <v>0.9</v>
      </c>
      <c r="G37" s="83" t="s">
        <v>634</v>
      </c>
      <c r="H37" s="81">
        <v>1.5712970495224E-2</v>
      </c>
      <c r="I37" s="84">
        <v>1153</v>
      </c>
      <c r="J37" s="81">
        <v>7.0000000298023224E-2</v>
      </c>
      <c r="K37" s="84">
        <v>412</v>
      </c>
      <c r="L37" s="84" t="s">
        <v>227</v>
      </c>
      <c r="M37" s="79" t="s">
        <v>150</v>
      </c>
      <c r="N37" s="83">
        <v>0.99</v>
      </c>
      <c r="O37" s="83">
        <v>1</v>
      </c>
      <c r="P37" s="83">
        <v>0.57999999999999996</v>
      </c>
      <c r="Q37" s="83">
        <v>0.65</v>
      </c>
      <c r="R37" s="83">
        <v>0.88</v>
      </c>
      <c r="S37" s="83">
        <v>0.92</v>
      </c>
      <c r="T37" s="85">
        <v>1.0000000000000009E-2</v>
      </c>
      <c r="U37" s="85">
        <v>0</v>
      </c>
      <c r="V37" s="85">
        <v>4.0000000000000036E-2</v>
      </c>
      <c r="W37" s="85">
        <v>3.0000000000000027E-2</v>
      </c>
      <c r="X37" s="85">
        <v>2.0000000000000018E-2</v>
      </c>
      <c r="Y37" s="85">
        <v>2.0000000000000018E-2</v>
      </c>
      <c r="Z37" s="86">
        <f>IF('Angioplasty Summary'!$R$55=3, RANK(F37,F$2:F$102,1)+COUNTIF($F$2:F37,F37)-1, IF('Angioplasty Summary'!$R$55=2, RANK(E37,E$2:E$102,1)+COUNTIF($E$2:E37,E37)-1, IF('Angioplasty Summary'!$R$55=1, RANK(D37,D$2:D$102,1)+COUNTIF($D$2:D37,D37)-1)))</f>
        <v>54</v>
      </c>
      <c r="AA37" s="85">
        <f>IF('Angioplasty Summary'!$R$55=3, F37, IF('Angioplasty Summary'!$R$55=2, E37, IF('Angioplasty Summary'!$R$55=1, D37)))</f>
        <v>1</v>
      </c>
      <c r="AB37" s="85">
        <f>IF('Angioplasty Summary'!$R$55=3, X37, IF('Angioplasty Summary'!$R$55=2, V37, IF('Angioplasty Summary'!$R$55=1, T37)))</f>
        <v>1.0000000000000009E-2</v>
      </c>
      <c r="AC37" s="85">
        <f>IF('Angioplasty Summary'!$R$55=3, Y37, IF('Angioplasty Summary'!$R$55=2, W37, IF('Angioplasty Summary'!$R$55=1, U37)))</f>
        <v>0</v>
      </c>
      <c r="AD37">
        <v>5</v>
      </c>
      <c r="AE37">
        <v>55</v>
      </c>
      <c r="AF37">
        <v>3</v>
      </c>
      <c r="AG37">
        <v>8</v>
      </c>
      <c r="AH37">
        <f t="shared" si="0"/>
        <v>2</v>
      </c>
      <c r="AI37">
        <f t="shared" si="1"/>
        <v>3</v>
      </c>
      <c r="AJ37">
        <v>50</v>
      </c>
      <c r="AK37">
        <v>58.99999737739563</v>
      </c>
      <c r="AL37">
        <f t="shared" si="2"/>
        <v>5</v>
      </c>
      <c r="AM37">
        <f t="shared" si="3"/>
        <v>3.9999973773956299</v>
      </c>
      <c r="AN37">
        <v>5</v>
      </c>
      <c r="AO37">
        <v>80</v>
      </c>
      <c r="AP37" s="91">
        <f>IF('Angioplasty Summary'!$R$4=2, AE37, IF('Angioplasty Summary'!$R$4=1, AD37))</f>
        <v>5</v>
      </c>
      <c r="AQ37" s="91">
        <f>IF('Angioplasty Summary'!$R$4=2, AL37, IF('Angioplasty Summary'!$R$4=1, AH37))</f>
        <v>2</v>
      </c>
      <c r="AR37" s="91">
        <f>IF('Angioplasty Summary'!$R$4=2, AM37, IF('Angioplasty Summary'!$R$4=1, AI37))</f>
        <v>3</v>
      </c>
      <c r="AS37" s="91">
        <f>IF('Angioplasty Summary'!$R$4=2, AO37, IF('Angioplasty Summary'!$R$4=1, AN37))</f>
        <v>5</v>
      </c>
      <c r="AT37" s="124">
        <v>0.55000000000000004</v>
      </c>
    </row>
    <row r="38" spans="1:46" x14ac:dyDescent="0.25">
      <c r="A38" s="18" t="s">
        <v>105</v>
      </c>
      <c r="B38" s="18" t="s">
        <v>106</v>
      </c>
      <c r="C38" s="80">
        <v>140</v>
      </c>
      <c r="D38" s="83">
        <v>0.99</v>
      </c>
      <c r="E38" s="83">
        <v>0.62</v>
      </c>
      <c r="F38" s="83">
        <v>0.9</v>
      </c>
      <c r="G38" s="83" t="s">
        <v>634</v>
      </c>
      <c r="H38" s="81">
        <v>0</v>
      </c>
      <c r="I38" s="84">
        <v>107</v>
      </c>
      <c r="J38" s="81">
        <v>0.10000000149011612</v>
      </c>
      <c r="K38" s="84">
        <v>42</v>
      </c>
      <c r="L38" s="84" t="s">
        <v>1141</v>
      </c>
      <c r="M38" s="79" t="s">
        <v>105</v>
      </c>
      <c r="N38" s="83">
        <v>0.96</v>
      </c>
      <c r="O38" s="83">
        <v>1</v>
      </c>
      <c r="P38" s="83">
        <v>0.51</v>
      </c>
      <c r="Q38" s="83">
        <v>0.72</v>
      </c>
      <c r="R38" s="83">
        <v>0.84</v>
      </c>
      <c r="S38" s="83">
        <v>0.94</v>
      </c>
      <c r="T38" s="85">
        <v>3.0000000000000027E-2</v>
      </c>
      <c r="U38" s="85">
        <v>1.0000000000000009E-2</v>
      </c>
      <c r="V38" s="85">
        <v>0.10999999999999999</v>
      </c>
      <c r="W38" s="85">
        <v>9.9999999999999978E-2</v>
      </c>
      <c r="X38" s="85">
        <v>6.0000000000000053E-2</v>
      </c>
      <c r="Y38" s="85">
        <v>3.9999999999999925E-2</v>
      </c>
      <c r="Z38" s="86">
        <f>IF('Angioplasty Summary'!$R$55=3, RANK(F38,F$2:F$102,1)+COUNTIF($F$2:F38,F38)-1, IF('Angioplasty Summary'!$R$55=2, RANK(E38,E$2:E$102,1)+COUNTIF($E$2:E38,E38)-1, IF('Angioplasty Summary'!$R$55=1, RANK(D38,D$2:D$102,1)+COUNTIF($D$2:D38,D38)-1)))</f>
        <v>39</v>
      </c>
      <c r="AA38" s="85">
        <f>IF('Angioplasty Summary'!$R$55=3, F38, IF('Angioplasty Summary'!$R$55=2, E38, IF('Angioplasty Summary'!$R$55=1, D38)))</f>
        <v>0.99</v>
      </c>
      <c r="AB38" s="85">
        <f>IF('Angioplasty Summary'!$R$55=3, X38, IF('Angioplasty Summary'!$R$55=2, V38, IF('Angioplasty Summary'!$R$55=1, T38)))</f>
        <v>3.0000000000000027E-2</v>
      </c>
      <c r="AC38" s="85">
        <f>IF('Angioplasty Summary'!$R$55=3, Y38, IF('Angioplasty Summary'!$R$55=2, W38, IF('Angioplasty Summary'!$R$55=1, U38)))</f>
        <v>1.0000000000000009E-2</v>
      </c>
      <c r="AD38" s="25">
        <v>8</v>
      </c>
      <c r="AE38">
        <v>38</v>
      </c>
      <c r="AF38">
        <v>4</v>
      </c>
      <c r="AG38">
        <v>12</v>
      </c>
      <c r="AH38">
        <f t="shared" si="0"/>
        <v>4</v>
      </c>
      <c r="AI38">
        <f t="shared" si="1"/>
        <v>4</v>
      </c>
      <c r="AJ38">
        <v>23.999999463558197</v>
      </c>
      <c r="AK38">
        <v>54.000002145767212</v>
      </c>
      <c r="AL38">
        <f t="shared" si="2"/>
        <v>14.000000536441803</v>
      </c>
      <c r="AM38">
        <f t="shared" si="3"/>
        <v>16.000002145767212</v>
      </c>
      <c r="AN38">
        <v>5</v>
      </c>
      <c r="AO38">
        <v>80</v>
      </c>
      <c r="AP38" s="91">
        <f>IF('Angioplasty Summary'!$R$4=2, AE38, IF('Angioplasty Summary'!$R$4=1, AD38))</f>
        <v>8</v>
      </c>
      <c r="AQ38" s="91">
        <f>IF('Angioplasty Summary'!$R$4=2, AL38, IF('Angioplasty Summary'!$R$4=1, AH38))</f>
        <v>4</v>
      </c>
      <c r="AR38" s="91">
        <f>IF('Angioplasty Summary'!$R$4=2, AM38, IF('Angioplasty Summary'!$R$4=1, AI38))</f>
        <v>4</v>
      </c>
      <c r="AS38" s="91">
        <f>IF('Angioplasty Summary'!$R$4=2, AO38, IF('Angioplasty Summary'!$R$4=1, AN38))</f>
        <v>5</v>
      </c>
      <c r="AT38" s="124">
        <v>0.38</v>
      </c>
    </row>
    <row r="39" spans="1:46" x14ac:dyDescent="0.25">
      <c r="A39" s="18" t="s">
        <v>46</v>
      </c>
      <c r="B39" s="18" t="s">
        <v>619</v>
      </c>
      <c r="C39" s="80">
        <v>90</v>
      </c>
      <c r="D39" s="83">
        <v>0.97</v>
      </c>
      <c r="E39" s="83">
        <v>0.48</v>
      </c>
      <c r="F39" s="83">
        <v>0.79</v>
      </c>
      <c r="G39" s="83" t="s">
        <v>312</v>
      </c>
      <c r="H39" s="81">
        <v>1.7709968090057374E-2</v>
      </c>
      <c r="I39" s="84">
        <v>84</v>
      </c>
      <c r="J39" s="81">
        <v>0.10999999940395355</v>
      </c>
      <c r="K39" s="84">
        <v>23</v>
      </c>
      <c r="L39" s="84" t="s">
        <v>646</v>
      </c>
      <c r="M39" s="79" t="s">
        <v>46</v>
      </c>
      <c r="N39" s="83">
        <v>0.91</v>
      </c>
      <c r="O39" s="83">
        <v>0.99</v>
      </c>
      <c r="P39" s="83">
        <v>0.35</v>
      </c>
      <c r="Q39" s="83">
        <v>0.61</v>
      </c>
      <c r="R39" s="83">
        <v>0.69</v>
      </c>
      <c r="S39" s="83">
        <v>0.87</v>
      </c>
      <c r="T39" s="85">
        <v>5.9999999999999942E-2</v>
      </c>
      <c r="U39" s="85">
        <v>2.0000000000000018E-2</v>
      </c>
      <c r="V39" s="85">
        <v>0.13</v>
      </c>
      <c r="W39" s="85">
        <v>0.13</v>
      </c>
      <c r="X39" s="85">
        <v>0.10000000000000009</v>
      </c>
      <c r="Y39" s="85">
        <v>7.999999999999996E-2</v>
      </c>
      <c r="Z39" s="86">
        <f>IF('Angioplasty Summary'!$R$55=3, RANK(F39,F$2:F$102,1)+COUNTIF($F$2:F39,F39)-1, IF('Angioplasty Summary'!$R$55=2, RANK(E39,E$2:E$102,1)+COUNTIF($E$2:E39,E39)-1, IF('Angioplasty Summary'!$R$55=1, RANK(D39,D$2:D$102,1)+COUNTIF($D$2:D39,D39)-1)))</f>
        <v>24</v>
      </c>
      <c r="AA39" s="85">
        <f>IF('Angioplasty Summary'!$R$55=3, F39, IF('Angioplasty Summary'!$R$55=2, E39, IF('Angioplasty Summary'!$R$55=1, D39)))</f>
        <v>0.97</v>
      </c>
      <c r="AB39" s="85">
        <f>IF('Angioplasty Summary'!$R$55=3, X39, IF('Angioplasty Summary'!$R$55=2, V39, IF('Angioplasty Summary'!$R$55=1, T39)))</f>
        <v>5.9999999999999942E-2</v>
      </c>
      <c r="AC39" s="85">
        <f>IF('Angioplasty Summary'!$R$55=3, Y39, IF('Angioplasty Summary'!$R$55=2, W39, IF('Angioplasty Summary'!$R$55=1, U39)))</f>
        <v>2.0000000000000018E-2</v>
      </c>
      <c r="AD39">
        <v>12</v>
      </c>
      <c r="AE39">
        <v>5</v>
      </c>
      <c r="AF39">
        <v>8</v>
      </c>
      <c r="AG39">
        <v>20</v>
      </c>
      <c r="AH39">
        <f t="shared" si="0"/>
        <v>4</v>
      </c>
      <c r="AI39">
        <f t="shared" si="1"/>
        <v>8</v>
      </c>
      <c r="AJ39">
        <v>0</v>
      </c>
      <c r="AK39">
        <v>23.999999463558197</v>
      </c>
      <c r="AL39">
        <f t="shared" si="2"/>
        <v>5</v>
      </c>
      <c r="AM39">
        <f t="shared" si="3"/>
        <v>18.999999463558197</v>
      </c>
      <c r="AN39">
        <v>5</v>
      </c>
      <c r="AO39">
        <v>80</v>
      </c>
      <c r="AP39" s="91">
        <f>IF('Angioplasty Summary'!$R$4=2, AE39, IF('Angioplasty Summary'!$R$4=1, AD39))</f>
        <v>12</v>
      </c>
      <c r="AQ39" s="91">
        <f>IF('Angioplasty Summary'!$R$4=2, AL39, IF('Angioplasty Summary'!$R$4=1, AH39))</f>
        <v>4</v>
      </c>
      <c r="AR39" s="91">
        <f>IF('Angioplasty Summary'!$R$4=2, AM39, IF('Angioplasty Summary'!$R$4=1, AI39))</f>
        <v>8</v>
      </c>
      <c r="AS39" s="91">
        <f>IF('Angioplasty Summary'!$R$4=2, AO39, IF('Angioplasty Summary'!$R$4=1, AN39))</f>
        <v>5</v>
      </c>
      <c r="AT39" s="124">
        <v>0.05</v>
      </c>
    </row>
    <row r="40" spans="1:46" x14ac:dyDescent="0.25">
      <c r="A40" s="18" t="s">
        <v>15</v>
      </c>
      <c r="B40" s="18" t="s">
        <v>620</v>
      </c>
      <c r="C40" s="80">
        <v>561</v>
      </c>
      <c r="D40" s="83">
        <v>0.95</v>
      </c>
      <c r="E40" s="83">
        <v>0.49</v>
      </c>
      <c r="F40" s="83">
        <v>0.82</v>
      </c>
      <c r="G40" s="83" t="s">
        <v>307</v>
      </c>
      <c r="H40" s="81">
        <v>2.0273745059967041E-2</v>
      </c>
      <c r="I40" s="84">
        <v>496</v>
      </c>
      <c r="J40" s="81">
        <v>0.10000000149011612</v>
      </c>
      <c r="K40" s="84">
        <v>151</v>
      </c>
      <c r="L40" s="84" t="s">
        <v>337</v>
      </c>
      <c r="M40" s="79" t="s">
        <v>15</v>
      </c>
      <c r="N40" s="83">
        <v>0.93</v>
      </c>
      <c r="O40" s="83">
        <v>0.97</v>
      </c>
      <c r="P40" s="83">
        <v>0.44</v>
      </c>
      <c r="Q40" s="83">
        <v>0.54</v>
      </c>
      <c r="R40" s="83">
        <v>0.79</v>
      </c>
      <c r="S40" s="83">
        <v>0.85</v>
      </c>
      <c r="T40" s="85">
        <v>1.9999999999999907E-2</v>
      </c>
      <c r="U40" s="85">
        <v>2.0000000000000018E-2</v>
      </c>
      <c r="V40" s="85">
        <v>4.9999999999999989E-2</v>
      </c>
      <c r="W40" s="85">
        <v>5.0000000000000044E-2</v>
      </c>
      <c r="X40" s="85">
        <v>2.9999999999999916E-2</v>
      </c>
      <c r="Y40" s="85">
        <v>3.0000000000000027E-2</v>
      </c>
      <c r="Z40" s="86">
        <f>IF('Angioplasty Summary'!$R$55=3, RANK(F40,F$2:F$102,1)+COUNTIF($F$2:F40,F40)-1, IF('Angioplasty Summary'!$R$55=2, RANK(E40,E$2:E$102,1)+COUNTIF($E$2:E40,E40)-1, IF('Angioplasty Summary'!$R$55=1, RANK(D40,D$2:D$102,1)+COUNTIF($D$2:D40,D40)-1)))</f>
        <v>10</v>
      </c>
      <c r="AA40" s="85">
        <f>IF('Angioplasty Summary'!$R$55=3, F40, IF('Angioplasty Summary'!$R$55=2, E40, IF('Angioplasty Summary'!$R$55=1, D40)))</f>
        <v>0.95</v>
      </c>
      <c r="AB40" s="85">
        <f>IF('Angioplasty Summary'!$R$55=3, X40, IF('Angioplasty Summary'!$R$55=2, V40, IF('Angioplasty Summary'!$R$55=1, T40)))</f>
        <v>1.9999999999999907E-2</v>
      </c>
      <c r="AC40" s="85">
        <f>IF('Angioplasty Summary'!$R$55=3, Y40, IF('Angioplasty Summary'!$R$55=2, W40, IF('Angioplasty Summary'!$R$55=1, U40)))</f>
        <v>2.0000000000000018E-2</v>
      </c>
      <c r="AD40">
        <v>6</v>
      </c>
      <c r="AE40">
        <v>48</v>
      </c>
      <c r="AF40">
        <v>2</v>
      </c>
      <c r="AG40">
        <v>11</v>
      </c>
      <c r="AH40">
        <f t="shared" si="0"/>
        <v>4</v>
      </c>
      <c r="AI40">
        <f t="shared" si="1"/>
        <v>5</v>
      </c>
      <c r="AJ40">
        <v>38.999998569488525</v>
      </c>
      <c r="AK40">
        <v>56.000000238418579</v>
      </c>
      <c r="AL40">
        <f t="shared" si="2"/>
        <v>9.0000014305114746</v>
      </c>
      <c r="AM40">
        <f t="shared" si="3"/>
        <v>8.0000002384185791</v>
      </c>
      <c r="AN40">
        <v>5</v>
      </c>
      <c r="AO40">
        <v>80</v>
      </c>
      <c r="AP40" s="91">
        <f>IF('Angioplasty Summary'!$R$4=2, AE40, IF('Angioplasty Summary'!$R$4=1, AD40))</f>
        <v>6</v>
      </c>
      <c r="AQ40" s="91">
        <f>IF('Angioplasty Summary'!$R$4=2, AL40, IF('Angioplasty Summary'!$R$4=1, AH40))</f>
        <v>4</v>
      </c>
      <c r="AR40" s="91">
        <f>IF('Angioplasty Summary'!$R$4=2, AM40, IF('Angioplasty Summary'!$R$4=1, AI40))</f>
        <v>5</v>
      </c>
      <c r="AS40" s="91">
        <f>IF('Angioplasty Summary'!$R$4=2, AO40, IF('Angioplasty Summary'!$R$4=1, AN40))</f>
        <v>5</v>
      </c>
      <c r="AT40" s="124">
        <v>0.48</v>
      </c>
    </row>
    <row r="41" spans="1:46" x14ac:dyDescent="0.25">
      <c r="A41" s="18" t="s">
        <v>11</v>
      </c>
      <c r="B41" s="18" t="s">
        <v>12</v>
      </c>
      <c r="C41" s="80">
        <v>697</v>
      </c>
      <c r="D41" s="83">
        <v>0.98</v>
      </c>
      <c r="E41" s="83">
        <v>0.6</v>
      </c>
      <c r="F41" s="83">
        <v>0.91</v>
      </c>
      <c r="G41" s="83" t="s">
        <v>647</v>
      </c>
      <c r="H41" s="81">
        <v>1.9387855529785156E-2</v>
      </c>
      <c r="I41" s="84">
        <v>587</v>
      </c>
      <c r="J41" s="81">
        <v>7.9999998211860657E-2</v>
      </c>
      <c r="K41" s="84">
        <v>188</v>
      </c>
      <c r="L41" s="84" t="s">
        <v>227</v>
      </c>
      <c r="M41" s="79" t="s">
        <v>11</v>
      </c>
      <c r="N41" s="83">
        <v>0.97</v>
      </c>
      <c r="O41" s="83">
        <v>0.99</v>
      </c>
      <c r="P41" s="83">
        <v>0.56000000000000005</v>
      </c>
      <c r="Q41" s="83">
        <v>0.65</v>
      </c>
      <c r="R41" s="83">
        <v>0.88</v>
      </c>
      <c r="S41" s="83">
        <v>0.93</v>
      </c>
      <c r="T41" s="85">
        <v>1.0000000000000009E-2</v>
      </c>
      <c r="U41" s="85">
        <v>1.0000000000000009E-2</v>
      </c>
      <c r="V41" s="85">
        <v>3.9999999999999925E-2</v>
      </c>
      <c r="W41" s="85">
        <v>5.0000000000000044E-2</v>
      </c>
      <c r="X41" s="85">
        <v>3.0000000000000027E-2</v>
      </c>
      <c r="Y41" s="85">
        <v>2.0000000000000018E-2</v>
      </c>
      <c r="Z41" s="86">
        <f>IF('Angioplasty Summary'!$R$55=3, RANK(F41,F$2:F$102,1)+COUNTIF($F$2:F41,F41)-1, IF('Angioplasty Summary'!$R$55=2, RANK(E41,E$2:E$102,1)+COUNTIF($E$2:E41,E41)-1, IF('Angioplasty Summary'!$R$55=1, RANK(D41,D$2:D$102,1)+COUNTIF($D$2:D41,D41)-1)))</f>
        <v>31</v>
      </c>
      <c r="AA41" s="85">
        <f>IF('Angioplasty Summary'!$R$55=3, F41, IF('Angioplasty Summary'!$R$55=2, E41, IF('Angioplasty Summary'!$R$55=1, D41)))</f>
        <v>0.98</v>
      </c>
      <c r="AB41" s="85">
        <f>IF('Angioplasty Summary'!$R$55=3, X41, IF('Angioplasty Summary'!$R$55=2, V41, IF('Angioplasty Summary'!$R$55=1, T41)))</f>
        <v>1.0000000000000009E-2</v>
      </c>
      <c r="AC41" s="85">
        <f>IF('Angioplasty Summary'!$R$55=3, Y41, IF('Angioplasty Summary'!$R$55=2, W41, IF('Angioplasty Summary'!$R$55=1, U41)))</f>
        <v>1.0000000000000009E-2</v>
      </c>
      <c r="AD41">
        <v>5</v>
      </c>
      <c r="AE41">
        <v>56</v>
      </c>
      <c r="AF41">
        <v>3</v>
      </c>
      <c r="AG41">
        <v>8</v>
      </c>
      <c r="AH41">
        <f t="shared" si="0"/>
        <v>2</v>
      </c>
      <c r="AI41">
        <f t="shared" si="1"/>
        <v>3</v>
      </c>
      <c r="AJ41">
        <v>49.000000953674316</v>
      </c>
      <c r="AK41">
        <v>63.999998569488525</v>
      </c>
      <c r="AL41">
        <f t="shared" si="2"/>
        <v>6.9999990463256836</v>
      </c>
      <c r="AM41">
        <f t="shared" si="3"/>
        <v>7.9999985694885254</v>
      </c>
      <c r="AN41">
        <v>5</v>
      </c>
      <c r="AO41">
        <v>80</v>
      </c>
      <c r="AP41" s="91">
        <f>IF('Angioplasty Summary'!$R$4=2, AE41, IF('Angioplasty Summary'!$R$4=1, AD41))</f>
        <v>5</v>
      </c>
      <c r="AQ41" s="91">
        <f>IF('Angioplasty Summary'!$R$4=2, AL41, IF('Angioplasty Summary'!$R$4=1, AH41))</f>
        <v>2</v>
      </c>
      <c r="AR41" s="91">
        <f>IF('Angioplasty Summary'!$R$4=2, AM41, IF('Angioplasty Summary'!$R$4=1, AI41))</f>
        <v>3</v>
      </c>
      <c r="AS41" s="91">
        <f>IF('Angioplasty Summary'!$R$4=2, AO41, IF('Angioplasty Summary'!$R$4=1, AN41))</f>
        <v>5</v>
      </c>
      <c r="AT41" s="124">
        <v>0.56000000000000005</v>
      </c>
    </row>
    <row r="42" spans="1:46" x14ac:dyDescent="0.25">
      <c r="A42" s="18" t="s">
        <v>95</v>
      </c>
      <c r="B42" s="18" t="s">
        <v>96</v>
      </c>
      <c r="C42" s="80">
        <v>62</v>
      </c>
      <c r="D42" s="83">
        <v>0.97</v>
      </c>
      <c r="E42" s="83">
        <v>0.78</v>
      </c>
      <c r="F42" s="83">
        <v>0.82</v>
      </c>
      <c r="G42" s="83" t="s">
        <v>313</v>
      </c>
      <c r="H42" s="81">
        <v>1.7034987211227415E-2</v>
      </c>
      <c r="I42" s="84">
        <v>59</v>
      </c>
      <c r="J42" s="81">
        <v>5.000000074505806E-2</v>
      </c>
      <c r="K42" s="84">
        <v>14</v>
      </c>
      <c r="L42" s="84" t="s">
        <v>648</v>
      </c>
      <c r="M42" s="79" t="s">
        <v>95</v>
      </c>
      <c r="N42" s="83">
        <v>0.89</v>
      </c>
      <c r="O42" s="83">
        <v>1</v>
      </c>
      <c r="P42" s="83">
        <v>0.64</v>
      </c>
      <c r="Q42" s="83">
        <v>0.89</v>
      </c>
      <c r="R42" s="83">
        <v>0.7</v>
      </c>
      <c r="S42" s="83">
        <v>0.91</v>
      </c>
      <c r="T42" s="85">
        <v>7.999999999999996E-2</v>
      </c>
      <c r="U42" s="85">
        <v>3.0000000000000027E-2</v>
      </c>
      <c r="V42" s="85">
        <v>0.14000000000000001</v>
      </c>
      <c r="W42" s="85">
        <v>0.10999999999999999</v>
      </c>
      <c r="X42" s="85">
        <v>0.12</v>
      </c>
      <c r="Y42" s="85">
        <v>9.000000000000008E-2</v>
      </c>
      <c r="Z42" s="86">
        <f>IF('Angioplasty Summary'!$R$55=3, RANK(F42,F$2:F$102,1)+COUNTIF($F$2:F42,F42)-1, IF('Angioplasty Summary'!$R$55=2, RANK(E42,E$2:E$102,1)+COUNTIF($E$2:E42,E42)-1, IF('Angioplasty Summary'!$R$55=1, RANK(D42,D$2:D$102,1)+COUNTIF($D$2:D42,D42)-1)))</f>
        <v>25</v>
      </c>
      <c r="AA42" s="85">
        <f>IF('Angioplasty Summary'!$R$55=3, F42, IF('Angioplasty Summary'!$R$55=2, E42, IF('Angioplasty Summary'!$R$55=1, D42)))</f>
        <v>0.97</v>
      </c>
      <c r="AB42" s="85">
        <f>IF('Angioplasty Summary'!$R$55=3, X42, IF('Angioplasty Summary'!$R$55=2, V42, IF('Angioplasty Summary'!$R$55=1, T42)))</f>
        <v>7.999999999999996E-2</v>
      </c>
      <c r="AC42" s="85">
        <f>IF('Angioplasty Summary'!$R$55=3, Y42, IF('Angioplasty Summary'!$R$55=2, W42, IF('Angioplasty Summary'!$R$55=1, U42)))</f>
        <v>3.0000000000000027E-2</v>
      </c>
      <c r="AD42">
        <v>9</v>
      </c>
      <c r="AE42">
        <v>43</v>
      </c>
      <c r="AF42">
        <v>2</v>
      </c>
      <c r="AG42">
        <v>21</v>
      </c>
      <c r="AH42">
        <f t="shared" si="0"/>
        <v>7</v>
      </c>
      <c r="AI42">
        <f t="shared" si="1"/>
        <v>12</v>
      </c>
      <c r="AJ42">
        <v>18.000000715255737</v>
      </c>
      <c r="AK42">
        <v>70.999997854232788</v>
      </c>
      <c r="AL42">
        <f t="shared" si="2"/>
        <v>24.999999284744263</v>
      </c>
      <c r="AM42">
        <f t="shared" si="3"/>
        <v>27.999997854232788</v>
      </c>
      <c r="AN42">
        <v>5</v>
      </c>
      <c r="AO42">
        <v>80</v>
      </c>
      <c r="AP42" s="91">
        <f>IF('Angioplasty Summary'!$R$4=2, AE42, IF('Angioplasty Summary'!$R$4=1, AD42))</f>
        <v>9</v>
      </c>
      <c r="AQ42" s="91">
        <f>IF('Angioplasty Summary'!$R$4=2, AL42, IF('Angioplasty Summary'!$R$4=1, AH42))</f>
        <v>7</v>
      </c>
      <c r="AR42" s="91">
        <f>IF('Angioplasty Summary'!$R$4=2, AM42, IF('Angioplasty Summary'!$R$4=1, AI42))</f>
        <v>12</v>
      </c>
      <c r="AS42" s="91">
        <f>IF('Angioplasty Summary'!$R$4=2, AO42, IF('Angioplasty Summary'!$R$4=1, AN42))</f>
        <v>5</v>
      </c>
      <c r="AT42" s="124">
        <v>0.43</v>
      </c>
    </row>
    <row r="43" spans="1:46" x14ac:dyDescent="0.25">
      <c r="A43" s="18" t="s">
        <v>99</v>
      </c>
      <c r="B43" s="18" t="s">
        <v>100</v>
      </c>
      <c r="C43" s="80">
        <v>402</v>
      </c>
      <c r="D43" s="83">
        <v>1</v>
      </c>
      <c r="E43" s="83">
        <v>0.42</v>
      </c>
      <c r="F43" s="83">
        <v>0.93</v>
      </c>
      <c r="G43" s="83" t="s">
        <v>308</v>
      </c>
      <c r="H43" s="81">
        <v>7.441477179527283E-3</v>
      </c>
      <c r="I43" s="84">
        <v>380</v>
      </c>
      <c r="J43" s="81">
        <v>0.10999999940395355</v>
      </c>
      <c r="K43" s="84">
        <v>55</v>
      </c>
      <c r="L43" s="84" t="s">
        <v>402</v>
      </c>
      <c r="M43" s="79" t="s">
        <v>99</v>
      </c>
      <c r="N43" s="83">
        <v>0.99</v>
      </c>
      <c r="O43" s="83">
        <v>1</v>
      </c>
      <c r="P43" s="83">
        <v>0.37</v>
      </c>
      <c r="Q43" s="83">
        <v>0.48</v>
      </c>
      <c r="R43" s="83">
        <v>0.9</v>
      </c>
      <c r="S43" s="83">
        <v>0.96</v>
      </c>
      <c r="T43" s="85">
        <v>1.0000000000000009E-2</v>
      </c>
      <c r="U43" s="85">
        <v>0</v>
      </c>
      <c r="V43" s="85">
        <v>4.9999999999999989E-2</v>
      </c>
      <c r="W43" s="85">
        <v>0.06</v>
      </c>
      <c r="X43" s="85">
        <v>3.0000000000000027E-2</v>
      </c>
      <c r="Y43" s="85">
        <v>2.9999999999999916E-2</v>
      </c>
      <c r="Z43" s="86">
        <f>IF('Angioplasty Summary'!$R$55=3, RANK(F43,F$2:F$102,1)+COUNTIF($F$2:F43,F43)-1, IF('Angioplasty Summary'!$R$55=2, RANK(E43,E$2:E$102,1)+COUNTIF($E$2:E43,E43)-1, IF('Angioplasty Summary'!$R$55=1, RANK(D43,D$2:D$102,1)+COUNTIF($D$2:D43,D43)-1)))</f>
        <v>55</v>
      </c>
      <c r="AA43" s="85">
        <f>IF('Angioplasty Summary'!$R$55=3, F43, IF('Angioplasty Summary'!$R$55=2, E43, IF('Angioplasty Summary'!$R$55=1, D43)))</f>
        <v>1</v>
      </c>
      <c r="AB43" s="85">
        <f>IF('Angioplasty Summary'!$R$55=3, X43, IF('Angioplasty Summary'!$R$55=2, V43, IF('Angioplasty Summary'!$R$55=1, T43)))</f>
        <v>1.0000000000000009E-2</v>
      </c>
      <c r="AC43" s="85">
        <f>IF('Angioplasty Summary'!$R$55=3, Y43, IF('Angioplasty Summary'!$R$55=2, W43, IF('Angioplasty Summary'!$R$55=1, U43)))</f>
        <v>0</v>
      </c>
      <c r="AD43">
        <v>7</v>
      </c>
      <c r="AE43">
        <v>40</v>
      </c>
      <c r="AF43">
        <v>2</v>
      </c>
      <c r="AG43">
        <v>13</v>
      </c>
      <c r="AH43">
        <f t="shared" si="0"/>
        <v>5</v>
      </c>
      <c r="AI43">
        <f t="shared" si="1"/>
        <v>6</v>
      </c>
      <c r="AJ43">
        <v>27.000001072883606</v>
      </c>
      <c r="AK43">
        <v>54.000002145767212</v>
      </c>
      <c r="AL43">
        <f t="shared" si="2"/>
        <v>12.999998927116394</v>
      </c>
      <c r="AM43">
        <f t="shared" si="3"/>
        <v>14.000002145767212</v>
      </c>
      <c r="AN43">
        <v>5</v>
      </c>
      <c r="AO43">
        <v>80</v>
      </c>
      <c r="AP43" s="91">
        <f>IF('Angioplasty Summary'!$R$4=2, AE43, IF('Angioplasty Summary'!$R$4=1, AD43))</f>
        <v>7</v>
      </c>
      <c r="AQ43" s="91">
        <f>IF('Angioplasty Summary'!$R$4=2, AL43, IF('Angioplasty Summary'!$R$4=1, AH43))</f>
        <v>5</v>
      </c>
      <c r="AR43" s="91">
        <f>IF('Angioplasty Summary'!$R$4=2, AM43, IF('Angioplasty Summary'!$R$4=1, AI43))</f>
        <v>6</v>
      </c>
      <c r="AS43" s="91">
        <f>IF('Angioplasty Summary'!$R$4=2, AO43, IF('Angioplasty Summary'!$R$4=1, AN43))</f>
        <v>5</v>
      </c>
      <c r="AT43" s="124">
        <v>0.4</v>
      </c>
    </row>
    <row r="44" spans="1:46" x14ac:dyDescent="0.25">
      <c r="A44" s="18" t="s">
        <v>146</v>
      </c>
      <c r="B44" s="18" t="s">
        <v>147</v>
      </c>
      <c r="C44" s="80">
        <v>203</v>
      </c>
      <c r="D44" s="83">
        <v>0.99</v>
      </c>
      <c r="E44" s="83">
        <v>0.82</v>
      </c>
      <c r="F44" s="83">
        <v>0.89</v>
      </c>
      <c r="G44" s="83" t="s">
        <v>290</v>
      </c>
      <c r="H44" s="81">
        <v>0</v>
      </c>
      <c r="I44" s="84">
        <v>61</v>
      </c>
      <c r="J44" s="81">
        <v>2.9999999329447746E-2</v>
      </c>
      <c r="K44" s="84" t="s">
        <v>633</v>
      </c>
      <c r="L44" s="84" t="s">
        <v>399</v>
      </c>
      <c r="M44" s="79" t="s">
        <v>146</v>
      </c>
      <c r="N44" s="83">
        <v>0.96</v>
      </c>
      <c r="O44" s="83">
        <v>1</v>
      </c>
      <c r="P44" s="83">
        <v>0.76</v>
      </c>
      <c r="Q44" s="83">
        <v>0.87</v>
      </c>
      <c r="R44" s="83">
        <v>0.83</v>
      </c>
      <c r="S44" s="83">
        <v>0.93</v>
      </c>
      <c r="T44" s="85">
        <v>3.0000000000000027E-2</v>
      </c>
      <c r="U44" s="85">
        <v>1.0000000000000009E-2</v>
      </c>
      <c r="V44" s="85">
        <v>5.9999999999999942E-2</v>
      </c>
      <c r="W44" s="85">
        <v>5.0000000000000044E-2</v>
      </c>
      <c r="X44" s="85">
        <v>6.0000000000000053E-2</v>
      </c>
      <c r="Y44" s="85">
        <v>4.0000000000000036E-2</v>
      </c>
      <c r="Z44" s="86">
        <f>IF('Angioplasty Summary'!$R$55=3, RANK(F44,F$2:F$102,1)+COUNTIF($F$2:F44,F44)-1, IF('Angioplasty Summary'!$R$55=2, RANK(E44,E$2:E$102,1)+COUNTIF($E$2:E44,E44)-1, IF('Angioplasty Summary'!$R$55=1, RANK(D44,D$2:D$102,1)+COUNTIF($D$2:D44,D44)-1)))</f>
        <v>40</v>
      </c>
      <c r="AA44" s="85">
        <f>IF('Angioplasty Summary'!$R$55=3, F44, IF('Angioplasty Summary'!$R$55=2, E44, IF('Angioplasty Summary'!$R$55=1, D44)))</f>
        <v>0.99</v>
      </c>
      <c r="AB44" s="85">
        <f>IF('Angioplasty Summary'!$R$55=3, X44, IF('Angioplasty Summary'!$R$55=2, V44, IF('Angioplasty Summary'!$R$55=1, T44)))</f>
        <v>3.0000000000000027E-2</v>
      </c>
      <c r="AC44" s="85">
        <f>IF('Angioplasty Summary'!$R$55=3, Y44, IF('Angioplasty Summary'!$R$55=2, W44, IF('Angioplasty Summary'!$R$55=1, U44)))</f>
        <v>1.0000000000000009E-2</v>
      </c>
      <c r="AD44" t="s">
        <v>399</v>
      </c>
      <c r="AE44" t="e">
        <v>#VALUE!</v>
      </c>
      <c r="AF44" t="e">
        <v>#VALUE!</v>
      </c>
      <c r="AG44" t="e">
        <v>#VALUE!</v>
      </c>
      <c r="AH44" t="e">
        <f t="shared" si="0"/>
        <v>#VALUE!</v>
      </c>
      <c r="AI44" t="e">
        <f t="shared" si="1"/>
        <v>#VALUE!</v>
      </c>
      <c r="AJ44" t="e">
        <v>#VALUE!</v>
      </c>
      <c r="AK44" t="e">
        <v>#VALUE!</v>
      </c>
      <c r="AL44" t="e">
        <f t="shared" si="2"/>
        <v>#VALUE!</v>
      </c>
      <c r="AM44" t="e">
        <f t="shared" si="3"/>
        <v>#VALUE!</v>
      </c>
      <c r="AN44">
        <v>5</v>
      </c>
      <c r="AO44">
        <v>80</v>
      </c>
      <c r="AP44" s="91" t="str">
        <f>IF('Angioplasty Summary'!$R$4=2, AE44, IF('Angioplasty Summary'!$R$4=1, AD44))</f>
        <v>xx</v>
      </c>
      <c r="AQ44" s="91" t="e">
        <f>IF('Angioplasty Summary'!$R$4=2, AL44, IF('Angioplasty Summary'!$R$4=1, AH44))</f>
        <v>#VALUE!</v>
      </c>
      <c r="AR44" s="91" t="e">
        <f>IF('Angioplasty Summary'!$R$4=2, AM44, IF('Angioplasty Summary'!$R$4=1, AI44))</f>
        <v>#VALUE!</v>
      </c>
      <c r="AS44" s="91">
        <f>IF('Angioplasty Summary'!$R$4=2, AO44, IF('Angioplasty Summary'!$R$4=1, AN44))</f>
        <v>5</v>
      </c>
      <c r="AT44" t="s">
        <v>399</v>
      </c>
    </row>
    <row r="45" spans="1:46" x14ac:dyDescent="0.25">
      <c r="A45" s="18" t="s">
        <v>285</v>
      </c>
      <c r="B45" s="18" t="s">
        <v>621</v>
      </c>
      <c r="C45" s="80">
        <v>64</v>
      </c>
      <c r="D45" s="83">
        <v>1</v>
      </c>
      <c r="E45" s="83">
        <v>0.55000000000000004</v>
      </c>
      <c r="F45" s="83">
        <v>0.88</v>
      </c>
      <c r="G45" s="83" t="s">
        <v>293</v>
      </c>
      <c r="H45" s="81">
        <v>0</v>
      </c>
      <c r="I45" s="84">
        <v>63</v>
      </c>
      <c r="J45" s="81">
        <v>2.9999999329447746E-2</v>
      </c>
      <c r="K45" s="84" t="s">
        <v>633</v>
      </c>
      <c r="L45" s="84" t="s">
        <v>399</v>
      </c>
      <c r="M45" s="79" t="s">
        <v>285</v>
      </c>
      <c r="N45" s="83">
        <v>0.94</v>
      </c>
      <c r="O45" s="83">
        <v>1</v>
      </c>
      <c r="P45" s="83">
        <v>0.42</v>
      </c>
      <c r="Q45" s="83">
        <v>0.68</v>
      </c>
      <c r="R45" s="83">
        <v>0.77</v>
      </c>
      <c r="S45" s="83">
        <v>0.94</v>
      </c>
      <c r="T45" s="85">
        <v>6.0000000000000053E-2</v>
      </c>
      <c r="U45" s="85">
        <v>0</v>
      </c>
      <c r="V45" s="85">
        <v>0.13000000000000006</v>
      </c>
      <c r="W45" s="85">
        <v>0.13</v>
      </c>
      <c r="X45" s="85">
        <v>0.10999999999999999</v>
      </c>
      <c r="Y45" s="85">
        <v>5.9999999999999942E-2</v>
      </c>
      <c r="Z45" s="86">
        <f>IF('Angioplasty Summary'!$R$55=3, RANK(F45,F$2:F$102,1)+COUNTIF($F$2:F45,F45)-1, IF('Angioplasty Summary'!$R$55=2, RANK(E45,E$2:E$102,1)+COUNTIF($E$2:E45,E45)-1, IF('Angioplasty Summary'!$R$55=1, RANK(D45,D$2:D$102,1)+COUNTIF($D$2:D45,D45)-1)))</f>
        <v>56</v>
      </c>
      <c r="AA45" s="85">
        <f>IF('Angioplasty Summary'!$R$55=3, F45, IF('Angioplasty Summary'!$R$55=2, E45, IF('Angioplasty Summary'!$R$55=1, D45)))</f>
        <v>1</v>
      </c>
      <c r="AB45" s="85">
        <f>IF('Angioplasty Summary'!$R$55=3, X45, IF('Angioplasty Summary'!$R$55=2, V45, IF('Angioplasty Summary'!$R$55=1, T45)))</f>
        <v>6.0000000000000053E-2</v>
      </c>
      <c r="AC45" s="85">
        <f>IF('Angioplasty Summary'!$R$55=3, Y45, IF('Angioplasty Summary'!$R$55=2, W45, IF('Angioplasty Summary'!$R$55=1, U45)))</f>
        <v>0</v>
      </c>
      <c r="AD45" t="s">
        <v>399</v>
      </c>
      <c r="AE45" t="e">
        <v>#VALUE!</v>
      </c>
      <c r="AF45" t="e">
        <v>#VALUE!</v>
      </c>
      <c r="AG45" t="e">
        <v>#VALUE!</v>
      </c>
      <c r="AH45" t="e">
        <f t="shared" si="0"/>
        <v>#VALUE!</v>
      </c>
      <c r="AI45" t="e">
        <f t="shared" si="1"/>
        <v>#VALUE!</v>
      </c>
      <c r="AJ45" t="e">
        <v>#VALUE!</v>
      </c>
      <c r="AK45" t="e">
        <v>#VALUE!</v>
      </c>
      <c r="AL45" t="e">
        <f t="shared" si="2"/>
        <v>#VALUE!</v>
      </c>
      <c r="AM45" t="e">
        <f t="shared" si="3"/>
        <v>#VALUE!</v>
      </c>
      <c r="AN45">
        <v>5</v>
      </c>
      <c r="AO45">
        <v>80</v>
      </c>
      <c r="AP45" s="91" t="str">
        <f>IF('Angioplasty Summary'!$R$4=2, AE45, IF('Angioplasty Summary'!$R$4=1, AD45))</f>
        <v>xx</v>
      </c>
      <c r="AQ45" s="91" t="e">
        <f>IF('Angioplasty Summary'!$R$4=2, AL45, IF('Angioplasty Summary'!$R$4=1, AH45))</f>
        <v>#VALUE!</v>
      </c>
      <c r="AR45" s="91" t="e">
        <f>IF('Angioplasty Summary'!$R$4=2, AM45, IF('Angioplasty Summary'!$R$4=1, AI45))</f>
        <v>#VALUE!</v>
      </c>
      <c r="AS45" s="91">
        <f>IF('Angioplasty Summary'!$R$4=2, AO45, IF('Angioplasty Summary'!$R$4=1, AN45))</f>
        <v>5</v>
      </c>
      <c r="AT45" t="s">
        <v>399</v>
      </c>
    </row>
    <row r="46" spans="1:46" x14ac:dyDescent="0.25">
      <c r="A46" s="18" t="s">
        <v>113</v>
      </c>
      <c r="B46" s="18" t="s">
        <v>114</v>
      </c>
      <c r="C46" s="80">
        <v>533</v>
      </c>
      <c r="D46" s="83">
        <v>0.98</v>
      </c>
      <c r="E46" s="83">
        <v>0.76</v>
      </c>
      <c r="F46" s="83">
        <v>0.88</v>
      </c>
      <c r="G46" s="83" t="s">
        <v>291</v>
      </c>
      <c r="H46" s="81">
        <v>1.8198186159133913E-2</v>
      </c>
      <c r="I46" s="84">
        <v>184</v>
      </c>
      <c r="J46" s="81">
        <v>0.10999999940395355</v>
      </c>
      <c r="K46" s="84">
        <v>117</v>
      </c>
      <c r="L46" s="84" t="s">
        <v>339</v>
      </c>
      <c r="M46" s="79" t="s">
        <v>113</v>
      </c>
      <c r="N46" s="83">
        <v>0.96</v>
      </c>
      <c r="O46" s="83">
        <v>0.99</v>
      </c>
      <c r="P46" s="83">
        <v>0.72</v>
      </c>
      <c r="Q46" s="83">
        <v>0.8</v>
      </c>
      <c r="R46" s="83">
        <v>0.84</v>
      </c>
      <c r="S46" s="83">
        <v>0.9</v>
      </c>
      <c r="T46" s="85">
        <v>2.0000000000000018E-2</v>
      </c>
      <c r="U46" s="85">
        <v>1.0000000000000009E-2</v>
      </c>
      <c r="V46" s="85">
        <v>4.0000000000000036E-2</v>
      </c>
      <c r="W46" s="85">
        <v>4.0000000000000036E-2</v>
      </c>
      <c r="X46" s="85">
        <v>4.0000000000000036E-2</v>
      </c>
      <c r="Y46" s="85">
        <v>2.0000000000000018E-2</v>
      </c>
      <c r="Z46" s="86">
        <f>IF('Angioplasty Summary'!$R$55=3, RANK(F46,F$2:F$102,1)+COUNTIF($F$2:F46,F46)-1, IF('Angioplasty Summary'!$R$55=2, RANK(E46,E$2:E$102,1)+COUNTIF($E$2:E46,E46)-1, IF('Angioplasty Summary'!$R$55=1, RANK(D46,D$2:D$102,1)+COUNTIF($D$2:D46,D46)-1)))</f>
        <v>32</v>
      </c>
      <c r="AA46" s="85">
        <f>IF('Angioplasty Summary'!$R$55=3, F46, IF('Angioplasty Summary'!$R$55=2, E46, IF('Angioplasty Summary'!$R$55=1, D46)))</f>
        <v>0.98</v>
      </c>
      <c r="AB46" s="85">
        <f>IF('Angioplasty Summary'!$R$55=3, X46, IF('Angioplasty Summary'!$R$55=2, V46, IF('Angioplasty Summary'!$R$55=1, T46)))</f>
        <v>2.0000000000000018E-2</v>
      </c>
      <c r="AC46" s="85">
        <f>IF('Angioplasty Summary'!$R$55=3, Y46, IF('Angioplasty Summary'!$R$55=2, W46, IF('Angioplasty Summary'!$R$55=1, U46)))</f>
        <v>1.0000000000000009E-2</v>
      </c>
      <c r="AD46">
        <v>6</v>
      </c>
      <c r="AE46">
        <v>48</v>
      </c>
      <c r="AF46">
        <v>3</v>
      </c>
      <c r="AG46">
        <v>10</v>
      </c>
      <c r="AH46">
        <f t="shared" si="0"/>
        <v>3</v>
      </c>
      <c r="AI46">
        <f t="shared" si="1"/>
        <v>4</v>
      </c>
      <c r="AJ46">
        <v>38.999998569488525</v>
      </c>
      <c r="AK46">
        <v>57.999998331069946</v>
      </c>
      <c r="AL46">
        <f t="shared" si="2"/>
        <v>9.0000014305114746</v>
      </c>
      <c r="AM46">
        <f t="shared" si="3"/>
        <v>9.9999983310699463</v>
      </c>
      <c r="AN46">
        <v>5</v>
      </c>
      <c r="AO46">
        <v>80</v>
      </c>
      <c r="AP46" s="91">
        <f>IF('Angioplasty Summary'!$R$4=2, AE46, IF('Angioplasty Summary'!$R$4=1, AD46))</f>
        <v>6</v>
      </c>
      <c r="AQ46" s="91">
        <f>IF('Angioplasty Summary'!$R$4=2, AL46, IF('Angioplasty Summary'!$R$4=1, AH46))</f>
        <v>3</v>
      </c>
      <c r="AR46" s="91">
        <f>IF('Angioplasty Summary'!$R$4=2, AM46, IF('Angioplasty Summary'!$R$4=1, AI46))</f>
        <v>4</v>
      </c>
      <c r="AS46" s="91">
        <f>IF('Angioplasty Summary'!$R$4=2, AO46, IF('Angioplasty Summary'!$R$4=1, AN46))</f>
        <v>5</v>
      </c>
      <c r="AT46" s="124">
        <v>0.48</v>
      </c>
    </row>
    <row r="47" spans="1:46" x14ac:dyDescent="0.25">
      <c r="A47" s="18" t="s">
        <v>160</v>
      </c>
      <c r="B47" s="18" t="s">
        <v>161</v>
      </c>
      <c r="C47" s="80">
        <v>17</v>
      </c>
      <c r="D47" s="83">
        <v>1</v>
      </c>
      <c r="E47" s="83">
        <v>0</v>
      </c>
      <c r="F47" s="83">
        <v>0.88</v>
      </c>
      <c r="G47" s="83" t="s">
        <v>295</v>
      </c>
      <c r="H47" s="81">
        <v>0</v>
      </c>
      <c r="I47" s="84">
        <v>17</v>
      </c>
      <c r="J47" s="81">
        <v>0</v>
      </c>
      <c r="K47" s="84" t="s">
        <v>633</v>
      </c>
      <c r="L47" s="84" t="s">
        <v>399</v>
      </c>
      <c r="M47" s="79" t="s">
        <v>160</v>
      </c>
      <c r="N47" s="83">
        <v>0.8</v>
      </c>
      <c r="O47" s="83">
        <v>1</v>
      </c>
      <c r="P47" s="83">
        <v>0</v>
      </c>
      <c r="Q47" s="83">
        <v>0.25</v>
      </c>
      <c r="R47" s="83">
        <v>0.64</v>
      </c>
      <c r="S47" s="83">
        <v>0.99</v>
      </c>
      <c r="T47" s="85">
        <v>0.19999999999999996</v>
      </c>
      <c r="U47" s="85">
        <v>0</v>
      </c>
      <c r="V47" s="85">
        <v>0</v>
      </c>
      <c r="W47" s="85">
        <v>0.25</v>
      </c>
      <c r="X47" s="85">
        <v>0.24</v>
      </c>
      <c r="Y47" s="85">
        <v>0.10999999999999999</v>
      </c>
      <c r="Z47" s="86">
        <f>IF('Angioplasty Summary'!$R$55=3, RANK(F47,F$2:F$102,1)+COUNTIF($F$2:F47,F47)-1, IF('Angioplasty Summary'!$R$55=2, RANK(E47,E$2:E$102,1)+COUNTIF($E$2:E47,E47)-1, IF('Angioplasty Summary'!$R$55=1, RANK(D47,D$2:D$102,1)+COUNTIF($D$2:D47,D47)-1)))</f>
        <v>57</v>
      </c>
      <c r="AA47" s="85">
        <f>IF('Angioplasty Summary'!$R$55=3, F47, IF('Angioplasty Summary'!$R$55=2, E47, IF('Angioplasty Summary'!$R$55=1, D47)))</f>
        <v>1</v>
      </c>
      <c r="AB47" s="85">
        <f>IF('Angioplasty Summary'!$R$55=3, X47, IF('Angioplasty Summary'!$R$55=2, V47, IF('Angioplasty Summary'!$R$55=1, T47)))</f>
        <v>0.19999999999999996</v>
      </c>
      <c r="AC47" s="85">
        <f>IF('Angioplasty Summary'!$R$55=3, Y47, IF('Angioplasty Summary'!$R$55=2, W47, IF('Angioplasty Summary'!$R$55=1, U47)))</f>
        <v>0</v>
      </c>
      <c r="AD47" t="s">
        <v>399</v>
      </c>
      <c r="AE47" t="e">
        <v>#VALUE!</v>
      </c>
      <c r="AF47" t="e">
        <v>#VALUE!</v>
      </c>
      <c r="AG47" t="e">
        <v>#VALUE!</v>
      </c>
      <c r="AH47" t="e">
        <f t="shared" si="0"/>
        <v>#VALUE!</v>
      </c>
      <c r="AI47" t="e">
        <f t="shared" si="1"/>
        <v>#VALUE!</v>
      </c>
      <c r="AJ47" t="e">
        <v>#VALUE!</v>
      </c>
      <c r="AK47" t="e">
        <v>#VALUE!</v>
      </c>
      <c r="AL47" t="e">
        <f t="shared" si="2"/>
        <v>#VALUE!</v>
      </c>
      <c r="AM47" t="e">
        <f t="shared" si="3"/>
        <v>#VALUE!</v>
      </c>
      <c r="AN47">
        <v>5</v>
      </c>
      <c r="AO47">
        <v>80</v>
      </c>
      <c r="AP47" s="91" t="str">
        <f>IF('Angioplasty Summary'!$R$4=2, AE47, IF('Angioplasty Summary'!$R$4=1, AD47))</f>
        <v>xx</v>
      </c>
      <c r="AQ47" s="91" t="e">
        <f>IF('Angioplasty Summary'!$R$4=2, AL47, IF('Angioplasty Summary'!$R$4=1, AH47))</f>
        <v>#VALUE!</v>
      </c>
      <c r="AR47" s="91" t="e">
        <f>IF('Angioplasty Summary'!$R$4=2, AM47, IF('Angioplasty Summary'!$R$4=1, AI47))</f>
        <v>#VALUE!</v>
      </c>
      <c r="AS47" s="91">
        <f>IF('Angioplasty Summary'!$R$4=2, AO47, IF('Angioplasty Summary'!$R$4=1, AN47))</f>
        <v>5</v>
      </c>
      <c r="AT47" t="s">
        <v>399</v>
      </c>
    </row>
    <row r="48" spans="1:46" x14ac:dyDescent="0.25">
      <c r="A48" s="18" t="s">
        <v>162</v>
      </c>
      <c r="B48" s="18" t="s">
        <v>163</v>
      </c>
      <c r="C48" s="80">
        <v>0</v>
      </c>
      <c r="D48" s="83" t="s">
        <v>384</v>
      </c>
      <c r="E48" s="83" t="s">
        <v>384</v>
      </c>
      <c r="F48" s="83" t="s">
        <v>384</v>
      </c>
      <c r="G48" s="83" t="s">
        <v>384</v>
      </c>
      <c r="H48" s="81" t="s">
        <v>384</v>
      </c>
      <c r="I48" s="84" t="s">
        <v>384</v>
      </c>
      <c r="J48" s="81" t="s">
        <v>384</v>
      </c>
      <c r="K48" s="84" t="s">
        <v>384</v>
      </c>
      <c r="L48" s="84" t="s">
        <v>384</v>
      </c>
      <c r="M48" s="79" t="s">
        <v>162</v>
      </c>
      <c r="N48" s="83" t="e">
        <v>#VALUE!</v>
      </c>
      <c r="O48" s="83" t="e">
        <v>#VALUE!</v>
      </c>
      <c r="P48" s="83" t="e">
        <v>#VALUE!</v>
      </c>
      <c r="Q48" s="83" t="e">
        <v>#VALUE!</v>
      </c>
      <c r="R48" s="83" t="e">
        <v>#VALUE!</v>
      </c>
      <c r="S48" s="83" t="e">
        <v>#VALUE!</v>
      </c>
      <c r="T48" s="85" t="e">
        <v>#VALUE!</v>
      </c>
      <c r="U48" s="85" t="e">
        <v>#VALUE!</v>
      </c>
      <c r="V48" s="85" t="e">
        <v>#VALUE!</v>
      </c>
      <c r="W48" s="85" t="e">
        <v>#VALUE!</v>
      </c>
      <c r="X48" s="85" t="e">
        <v>#VALUE!</v>
      </c>
      <c r="Y48" s="85" t="e">
        <v>#VALUE!</v>
      </c>
      <c r="Z48" s="86" t="e">
        <f>IF('Angioplasty Summary'!$R$55=3, RANK(F48,F$2:F$102,1)+COUNTIF($F$2:F48,F48)-1, IF('Angioplasty Summary'!$R$55=2, RANK(E48,E$2:E$102,1)+COUNTIF($E$2:E48,E48)-1, IF('Angioplasty Summary'!$R$55=1, RANK(D48,D$2:D$102,1)+COUNTIF($D$2:D48,D48)-1)))</f>
        <v>#VALUE!</v>
      </c>
      <c r="AA48" s="85" t="str">
        <f>IF('Angioplasty Summary'!$R$55=3, F48, IF('Angioplasty Summary'!$R$55=2, E48, IF('Angioplasty Summary'!$R$55=1, D48)))</f>
        <v>N/A</v>
      </c>
      <c r="AB48" s="85" t="e">
        <f>IF('Angioplasty Summary'!$R$55=3, X48, IF('Angioplasty Summary'!$R$55=2, V48, IF('Angioplasty Summary'!$R$55=1, T48)))</f>
        <v>#VALUE!</v>
      </c>
      <c r="AC48" s="85" t="e">
        <f>IF('Angioplasty Summary'!$R$55=3, Y48, IF('Angioplasty Summary'!$R$55=2, W48, IF('Angioplasty Summary'!$R$55=1, U48)))</f>
        <v>#VALUE!</v>
      </c>
      <c r="AD48" t="s">
        <v>384</v>
      </c>
      <c r="AE48" t="e">
        <v>#VALUE!</v>
      </c>
      <c r="AF48" t="e">
        <v>#VALUE!</v>
      </c>
      <c r="AG48" t="e">
        <v>#VALUE!</v>
      </c>
      <c r="AH48" t="e">
        <f t="shared" si="0"/>
        <v>#VALUE!</v>
      </c>
      <c r="AI48" t="e">
        <f t="shared" si="1"/>
        <v>#VALUE!</v>
      </c>
      <c r="AJ48" t="e">
        <v>#VALUE!</v>
      </c>
      <c r="AK48" t="e">
        <v>#VALUE!</v>
      </c>
      <c r="AL48" t="e">
        <f t="shared" si="2"/>
        <v>#VALUE!</v>
      </c>
      <c r="AM48" t="e">
        <f t="shared" si="3"/>
        <v>#VALUE!</v>
      </c>
      <c r="AN48">
        <v>5</v>
      </c>
      <c r="AO48">
        <v>80</v>
      </c>
      <c r="AP48" s="91" t="str">
        <f>IF('Angioplasty Summary'!$R$4=2, AE48, IF('Angioplasty Summary'!$R$4=1, AD48))</f>
        <v>N/A</v>
      </c>
      <c r="AQ48" s="91" t="e">
        <f>IF('Angioplasty Summary'!$R$4=2, AL48, IF('Angioplasty Summary'!$R$4=1, AH48))</f>
        <v>#VALUE!</v>
      </c>
      <c r="AR48" s="91" t="e">
        <f>IF('Angioplasty Summary'!$R$4=2, AM48, IF('Angioplasty Summary'!$R$4=1, AI48))</f>
        <v>#VALUE!</v>
      </c>
      <c r="AS48" s="91">
        <f>IF('Angioplasty Summary'!$R$4=2, AO48, IF('Angioplasty Summary'!$R$4=1, AN48))</f>
        <v>5</v>
      </c>
      <c r="AT48" t="s">
        <v>399</v>
      </c>
    </row>
    <row r="49" spans="1:46" x14ac:dyDescent="0.25">
      <c r="A49" s="18" t="s">
        <v>176</v>
      </c>
      <c r="B49" s="18" t="s">
        <v>177</v>
      </c>
      <c r="C49" s="80">
        <v>135</v>
      </c>
      <c r="D49" s="83">
        <v>1</v>
      </c>
      <c r="E49" s="83">
        <v>0.81</v>
      </c>
      <c r="F49" s="83">
        <v>0.9</v>
      </c>
      <c r="G49" s="83" t="s">
        <v>293</v>
      </c>
      <c r="H49" s="81">
        <v>2.817901611328125E-2</v>
      </c>
      <c r="I49" s="84">
        <v>124</v>
      </c>
      <c r="J49" s="81">
        <v>7.9999998211860657E-2</v>
      </c>
      <c r="K49" s="84">
        <v>21</v>
      </c>
      <c r="L49" s="84" t="s">
        <v>324</v>
      </c>
      <c r="M49" s="79" t="s">
        <v>176</v>
      </c>
      <c r="N49" s="83">
        <v>0.97</v>
      </c>
      <c r="O49" s="83">
        <v>1</v>
      </c>
      <c r="P49" s="83">
        <v>0.73</v>
      </c>
      <c r="Q49" s="83">
        <v>0.88</v>
      </c>
      <c r="R49" s="83">
        <v>0.84</v>
      </c>
      <c r="S49" s="83">
        <v>0.95</v>
      </c>
      <c r="T49" s="85">
        <v>3.0000000000000027E-2</v>
      </c>
      <c r="U49" s="85">
        <v>0</v>
      </c>
      <c r="V49" s="85">
        <v>8.0000000000000071E-2</v>
      </c>
      <c r="W49" s="85">
        <v>6.9999999999999951E-2</v>
      </c>
      <c r="X49" s="85">
        <v>6.0000000000000053E-2</v>
      </c>
      <c r="Y49" s="85">
        <v>4.9999999999999933E-2</v>
      </c>
      <c r="Z49" s="86">
        <f>IF('Angioplasty Summary'!$R$55=3, RANK(F49,F$2:F$102,1)+COUNTIF($F$2:F49,F49)-1, IF('Angioplasty Summary'!$R$55=2, RANK(E49,E$2:E$102,1)+COUNTIF($E$2:E49,E49)-1, IF('Angioplasty Summary'!$R$55=1, RANK(D49,D$2:D$102,1)+COUNTIF($D$2:D49,D49)-1)))</f>
        <v>58</v>
      </c>
      <c r="AA49" s="85">
        <f>IF('Angioplasty Summary'!$R$55=3, F49, IF('Angioplasty Summary'!$R$55=2, E49, IF('Angioplasty Summary'!$R$55=1, D49)))</f>
        <v>1</v>
      </c>
      <c r="AB49" s="85">
        <f>IF('Angioplasty Summary'!$R$55=3, X49, IF('Angioplasty Summary'!$R$55=2, V49, IF('Angioplasty Summary'!$R$55=1, T49)))</f>
        <v>3.0000000000000027E-2</v>
      </c>
      <c r="AC49" s="85">
        <f>IF('Angioplasty Summary'!$R$55=3, Y49, IF('Angioplasty Summary'!$R$55=2, W49, IF('Angioplasty Summary'!$R$55=1, U49)))</f>
        <v>0</v>
      </c>
      <c r="AD49">
        <v>6</v>
      </c>
      <c r="AE49">
        <v>38</v>
      </c>
      <c r="AF49">
        <v>3</v>
      </c>
      <c r="AG49">
        <v>8</v>
      </c>
      <c r="AH49">
        <f t="shared" si="0"/>
        <v>3</v>
      </c>
      <c r="AI49">
        <f t="shared" si="1"/>
        <v>2</v>
      </c>
      <c r="AJ49">
        <v>18.000000715255737</v>
      </c>
      <c r="AK49">
        <v>62.000000476837158</v>
      </c>
      <c r="AL49">
        <f t="shared" si="2"/>
        <v>19.999999284744263</v>
      </c>
      <c r="AM49">
        <f t="shared" si="3"/>
        <v>24.000000476837158</v>
      </c>
      <c r="AN49">
        <v>5</v>
      </c>
      <c r="AO49">
        <v>80</v>
      </c>
      <c r="AP49" s="91">
        <f>IF('Angioplasty Summary'!$R$4=2, AE49, IF('Angioplasty Summary'!$R$4=1, AD49))</f>
        <v>6</v>
      </c>
      <c r="AQ49" s="91">
        <f>IF('Angioplasty Summary'!$R$4=2, AL49, IF('Angioplasty Summary'!$R$4=1, AH49))</f>
        <v>3</v>
      </c>
      <c r="AR49" s="91">
        <f>IF('Angioplasty Summary'!$R$4=2, AM49, IF('Angioplasty Summary'!$R$4=1, AI49))</f>
        <v>2</v>
      </c>
      <c r="AS49" s="91">
        <f>IF('Angioplasty Summary'!$R$4=2, AO49, IF('Angioplasty Summary'!$R$4=1, AN49))</f>
        <v>5</v>
      </c>
      <c r="AT49" s="124">
        <v>0.38</v>
      </c>
    </row>
    <row r="50" spans="1:46" x14ac:dyDescent="0.25">
      <c r="A50" s="18" t="s">
        <v>170</v>
      </c>
      <c r="B50" s="18" t="s">
        <v>171</v>
      </c>
      <c r="C50" s="80">
        <v>92</v>
      </c>
      <c r="D50" s="83">
        <v>0.99</v>
      </c>
      <c r="E50" s="83">
        <v>0.56999999999999995</v>
      </c>
      <c r="F50" s="83">
        <v>0.96</v>
      </c>
      <c r="G50" s="83" t="s">
        <v>374</v>
      </c>
      <c r="H50" s="81">
        <v>4.8793926239013671E-2</v>
      </c>
      <c r="I50" s="84">
        <v>82</v>
      </c>
      <c r="J50" s="81">
        <v>9.9999997764825821E-3</v>
      </c>
      <c r="K50" s="84">
        <v>21</v>
      </c>
      <c r="L50" s="84" t="s">
        <v>305</v>
      </c>
      <c r="M50" s="79" t="s">
        <v>170</v>
      </c>
      <c r="N50" s="83">
        <v>0.94</v>
      </c>
      <c r="O50" s="83">
        <v>1</v>
      </c>
      <c r="P50" s="83">
        <v>0.45</v>
      </c>
      <c r="Q50" s="83">
        <v>0.69</v>
      </c>
      <c r="R50" s="83">
        <v>0.89</v>
      </c>
      <c r="S50" s="83">
        <v>0.99</v>
      </c>
      <c r="T50" s="85">
        <v>5.0000000000000044E-2</v>
      </c>
      <c r="U50" s="85">
        <v>1.0000000000000009E-2</v>
      </c>
      <c r="V50" s="85">
        <v>0.11999999999999994</v>
      </c>
      <c r="W50" s="85">
        <v>0.12</v>
      </c>
      <c r="X50" s="85">
        <v>6.9999999999999951E-2</v>
      </c>
      <c r="Y50" s="85">
        <v>3.0000000000000027E-2</v>
      </c>
      <c r="Z50" s="86">
        <f>IF('Angioplasty Summary'!$R$55=3, RANK(F50,F$2:F$102,1)+COUNTIF($F$2:F50,F50)-1, IF('Angioplasty Summary'!$R$55=2, RANK(E50,E$2:E$102,1)+COUNTIF($E$2:E50,E50)-1, IF('Angioplasty Summary'!$R$55=1, RANK(D50,D$2:D$102,1)+COUNTIF($D$2:D50,D50)-1)))</f>
        <v>41</v>
      </c>
      <c r="AA50" s="85">
        <f>IF('Angioplasty Summary'!$R$55=3, F50, IF('Angioplasty Summary'!$R$55=2, E50, IF('Angioplasty Summary'!$R$55=1, D50)))</f>
        <v>0.99</v>
      </c>
      <c r="AB50" s="85">
        <f>IF('Angioplasty Summary'!$R$55=3, X50, IF('Angioplasty Summary'!$R$55=2, V50, IF('Angioplasty Summary'!$R$55=1, T50)))</f>
        <v>5.0000000000000044E-2</v>
      </c>
      <c r="AC50" s="85">
        <f>IF('Angioplasty Summary'!$R$55=3, Y50, IF('Angioplasty Summary'!$R$55=2, W50, IF('Angioplasty Summary'!$R$55=1, U50)))</f>
        <v>1.0000000000000009E-2</v>
      </c>
      <c r="AD50">
        <v>0</v>
      </c>
      <c r="AE50">
        <v>76</v>
      </c>
      <c r="AF50">
        <v>0</v>
      </c>
      <c r="AG50">
        <v>5</v>
      </c>
      <c r="AH50">
        <f t="shared" si="0"/>
        <v>0</v>
      </c>
      <c r="AI50">
        <f t="shared" si="1"/>
        <v>5</v>
      </c>
      <c r="AJ50">
        <v>52.999997138977051</v>
      </c>
      <c r="AK50">
        <v>92.000001668930054</v>
      </c>
      <c r="AL50">
        <f t="shared" si="2"/>
        <v>23.000002861022949</v>
      </c>
      <c r="AM50">
        <f t="shared" si="3"/>
        <v>16.000001668930054</v>
      </c>
      <c r="AN50">
        <v>5</v>
      </c>
      <c r="AO50">
        <v>80</v>
      </c>
      <c r="AP50" s="91">
        <f>IF('Angioplasty Summary'!$R$4=2, AE50, IF('Angioplasty Summary'!$R$4=1, AD50))</f>
        <v>0</v>
      </c>
      <c r="AQ50" s="91">
        <f>IF('Angioplasty Summary'!$R$4=2, AL50, IF('Angioplasty Summary'!$R$4=1, AH50))</f>
        <v>0</v>
      </c>
      <c r="AR50" s="91">
        <f>IF('Angioplasty Summary'!$R$4=2, AM50, IF('Angioplasty Summary'!$R$4=1, AI50))</f>
        <v>5</v>
      </c>
      <c r="AS50" s="91">
        <f>IF('Angioplasty Summary'!$R$4=2, AO50, IF('Angioplasty Summary'!$R$4=1, AN50))</f>
        <v>5</v>
      </c>
      <c r="AT50" s="124">
        <v>0.76</v>
      </c>
    </row>
    <row r="51" spans="1:46" x14ac:dyDescent="0.25">
      <c r="A51" s="18" t="s">
        <v>164</v>
      </c>
      <c r="B51" s="18" t="s">
        <v>165</v>
      </c>
      <c r="C51" s="80">
        <v>111</v>
      </c>
      <c r="D51" s="83">
        <v>1</v>
      </c>
      <c r="E51" s="83">
        <v>0.23</v>
      </c>
      <c r="F51" s="83">
        <v>0.88</v>
      </c>
      <c r="G51" s="83" t="s">
        <v>314</v>
      </c>
      <c r="H51" s="81">
        <v>6.5556633472442626E-3</v>
      </c>
      <c r="I51" s="84">
        <v>109</v>
      </c>
      <c r="J51" s="81">
        <v>0.20000000298023224</v>
      </c>
      <c r="K51" s="84">
        <v>47</v>
      </c>
      <c r="L51" s="84" t="s">
        <v>225</v>
      </c>
      <c r="M51" s="79" t="s">
        <v>164</v>
      </c>
      <c r="N51" s="83">
        <v>0.97</v>
      </c>
      <c r="O51" s="83">
        <v>1</v>
      </c>
      <c r="P51" s="83">
        <v>0.13</v>
      </c>
      <c r="Q51" s="83">
        <v>0.36</v>
      </c>
      <c r="R51" s="83">
        <v>0.81</v>
      </c>
      <c r="S51" s="83">
        <v>0.94</v>
      </c>
      <c r="T51" s="85">
        <v>3.0000000000000027E-2</v>
      </c>
      <c r="U51" s="85">
        <v>0</v>
      </c>
      <c r="V51" s="85">
        <v>0.1</v>
      </c>
      <c r="W51" s="85">
        <v>0.12999999999999998</v>
      </c>
      <c r="X51" s="85">
        <v>6.9999999999999951E-2</v>
      </c>
      <c r="Y51" s="85">
        <v>5.9999999999999942E-2</v>
      </c>
      <c r="Z51" s="86">
        <f>IF('Angioplasty Summary'!$R$55=3, RANK(F51,F$2:F$102,1)+COUNTIF($F$2:F51,F51)-1, IF('Angioplasty Summary'!$R$55=2, RANK(E51,E$2:E$102,1)+COUNTIF($E$2:E51,E51)-1, IF('Angioplasty Summary'!$R$55=1, RANK(D51,D$2:D$102,1)+COUNTIF($D$2:D51,D51)-1)))</f>
        <v>59</v>
      </c>
      <c r="AA51" s="85">
        <f>IF('Angioplasty Summary'!$R$55=3, F51, IF('Angioplasty Summary'!$R$55=2, E51, IF('Angioplasty Summary'!$R$55=1, D51)))</f>
        <v>1</v>
      </c>
      <c r="AB51" s="85">
        <f>IF('Angioplasty Summary'!$R$55=3, X51, IF('Angioplasty Summary'!$R$55=2, V51, IF('Angioplasty Summary'!$R$55=1, T51)))</f>
        <v>3.0000000000000027E-2</v>
      </c>
      <c r="AC51" s="85">
        <f>IF('Angioplasty Summary'!$R$55=3, Y51, IF('Angioplasty Summary'!$R$55=2, W51, IF('Angioplasty Summary'!$R$55=1, U51)))</f>
        <v>0</v>
      </c>
      <c r="AD51">
        <v>4</v>
      </c>
      <c r="AE51">
        <v>66</v>
      </c>
      <c r="AF51">
        <v>3</v>
      </c>
      <c r="AG51">
        <v>7</v>
      </c>
      <c r="AH51">
        <f t="shared" si="0"/>
        <v>1</v>
      </c>
      <c r="AI51">
        <f t="shared" si="1"/>
        <v>3</v>
      </c>
      <c r="AJ51">
        <v>50.999999046325684</v>
      </c>
      <c r="AK51">
        <v>79.000002145767212</v>
      </c>
      <c r="AL51">
        <f t="shared" si="2"/>
        <v>15.000000953674316</v>
      </c>
      <c r="AM51">
        <f t="shared" si="3"/>
        <v>13.000002145767212</v>
      </c>
      <c r="AN51">
        <v>5</v>
      </c>
      <c r="AO51">
        <v>80</v>
      </c>
      <c r="AP51" s="91">
        <f>IF('Angioplasty Summary'!$R$4=2, AE51, IF('Angioplasty Summary'!$R$4=1, AD51))</f>
        <v>4</v>
      </c>
      <c r="AQ51" s="91">
        <f>IF('Angioplasty Summary'!$R$4=2, AL51, IF('Angioplasty Summary'!$R$4=1, AH51))</f>
        <v>1</v>
      </c>
      <c r="AR51" s="91">
        <f>IF('Angioplasty Summary'!$R$4=2, AM51, IF('Angioplasty Summary'!$R$4=1, AI51))</f>
        <v>3</v>
      </c>
      <c r="AS51" s="91">
        <f>IF('Angioplasty Summary'!$R$4=2, AO51, IF('Angioplasty Summary'!$R$4=1, AN51))</f>
        <v>5</v>
      </c>
      <c r="AT51" s="124">
        <v>0.66</v>
      </c>
    </row>
    <row r="52" spans="1:46" x14ac:dyDescent="0.25">
      <c r="A52" s="18" t="s">
        <v>166</v>
      </c>
      <c r="B52" s="18" t="s">
        <v>167</v>
      </c>
      <c r="C52" s="80">
        <v>171</v>
      </c>
      <c r="D52" s="83">
        <v>0.92</v>
      </c>
      <c r="E52" s="83">
        <v>0.49</v>
      </c>
      <c r="F52" s="83">
        <v>0.83</v>
      </c>
      <c r="G52" s="83" t="s">
        <v>307</v>
      </c>
      <c r="H52" s="81">
        <v>1.5855867862701416E-2</v>
      </c>
      <c r="I52" s="84">
        <v>167</v>
      </c>
      <c r="J52" s="81">
        <v>7.0000000298023224E-2</v>
      </c>
      <c r="K52" s="84">
        <v>67</v>
      </c>
      <c r="L52" s="84" t="s">
        <v>301</v>
      </c>
      <c r="M52" s="79" t="s">
        <v>166</v>
      </c>
      <c r="N52" s="83">
        <v>0.87</v>
      </c>
      <c r="O52" s="83">
        <v>0.96</v>
      </c>
      <c r="P52" s="83">
        <v>0.39</v>
      </c>
      <c r="Q52" s="83">
        <v>0.6</v>
      </c>
      <c r="R52" s="83">
        <v>0.77</v>
      </c>
      <c r="S52" s="83">
        <v>0.88</v>
      </c>
      <c r="T52" s="85">
        <v>5.0000000000000044E-2</v>
      </c>
      <c r="U52" s="85">
        <v>3.9999999999999925E-2</v>
      </c>
      <c r="V52" s="85">
        <v>9.9999999999999978E-2</v>
      </c>
      <c r="W52" s="85">
        <v>0.10999999999999999</v>
      </c>
      <c r="X52" s="85">
        <v>5.9999999999999942E-2</v>
      </c>
      <c r="Y52" s="85">
        <v>5.0000000000000044E-2</v>
      </c>
      <c r="Z52" s="86">
        <f>IF('Angioplasty Summary'!$R$55=3, RANK(F52,F$2:F$102,1)+COUNTIF($F$2:F52,F52)-1, IF('Angioplasty Summary'!$R$55=2, RANK(E52,E$2:E$102,1)+COUNTIF($E$2:E52,E52)-1, IF('Angioplasty Summary'!$R$55=1, RANK(D52,D$2:D$102,1)+COUNTIF($D$2:D52,D52)-1)))</f>
        <v>6</v>
      </c>
      <c r="AA52" s="85">
        <f>IF('Angioplasty Summary'!$R$55=3, F52, IF('Angioplasty Summary'!$R$55=2, E52, IF('Angioplasty Summary'!$R$55=1, D52)))</f>
        <v>0.92</v>
      </c>
      <c r="AB52" s="85">
        <f>IF('Angioplasty Summary'!$R$55=3, X52, IF('Angioplasty Summary'!$R$55=2, V52, IF('Angioplasty Summary'!$R$55=1, T52)))</f>
        <v>5.0000000000000044E-2</v>
      </c>
      <c r="AC52" s="85">
        <f>IF('Angioplasty Summary'!$R$55=3, Y52, IF('Angioplasty Summary'!$R$55=2, W52, IF('Angioplasty Summary'!$R$55=1, U52)))</f>
        <v>3.9999999999999925E-2</v>
      </c>
      <c r="AD52">
        <v>3</v>
      </c>
      <c r="AE52">
        <v>59</v>
      </c>
      <c r="AF52">
        <v>1</v>
      </c>
      <c r="AG52">
        <v>8</v>
      </c>
      <c r="AH52">
        <f t="shared" si="0"/>
        <v>2</v>
      </c>
      <c r="AI52">
        <f t="shared" si="1"/>
        <v>5</v>
      </c>
      <c r="AJ52">
        <v>46.000000834465027</v>
      </c>
      <c r="AK52">
        <v>70.999997854232788</v>
      </c>
      <c r="AL52">
        <f t="shared" si="2"/>
        <v>12.999999165534973</v>
      </c>
      <c r="AM52">
        <f t="shared" si="3"/>
        <v>11.999997854232788</v>
      </c>
      <c r="AN52">
        <v>5</v>
      </c>
      <c r="AO52">
        <v>80</v>
      </c>
      <c r="AP52" s="91">
        <f>IF('Angioplasty Summary'!$R$4=2, AE52, IF('Angioplasty Summary'!$R$4=1, AD52))</f>
        <v>3</v>
      </c>
      <c r="AQ52" s="91">
        <f>IF('Angioplasty Summary'!$R$4=2, AL52, IF('Angioplasty Summary'!$R$4=1, AH52))</f>
        <v>2</v>
      </c>
      <c r="AR52" s="91">
        <f>IF('Angioplasty Summary'!$R$4=2, AM52, IF('Angioplasty Summary'!$R$4=1, AI52))</f>
        <v>5</v>
      </c>
      <c r="AS52" s="91">
        <f>IF('Angioplasty Summary'!$R$4=2, AO52, IF('Angioplasty Summary'!$R$4=1, AN52))</f>
        <v>5</v>
      </c>
      <c r="AT52" s="124">
        <v>0.59</v>
      </c>
    </row>
    <row r="53" spans="1:46" x14ac:dyDescent="0.25">
      <c r="A53" s="18" t="s">
        <v>168</v>
      </c>
      <c r="B53" s="18" t="s">
        <v>169</v>
      </c>
      <c r="C53" s="80">
        <v>1</v>
      </c>
      <c r="D53" s="83" t="s">
        <v>399</v>
      </c>
      <c r="E53" s="83" t="s">
        <v>399</v>
      </c>
      <c r="F53" s="83" t="s">
        <v>399</v>
      </c>
      <c r="G53" s="83" t="s">
        <v>399</v>
      </c>
      <c r="H53" s="81" t="s">
        <v>399</v>
      </c>
      <c r="I53" s="84" t="s">
        <v>399</v>
      </c>
      <c r="J53" s="81" t="s">
        <v>399</v>
      </c>
      <c r="K53" s="84" t="s">
        <v>399</v>
      </c>
      <c r="L53" s="84" t="s">
        <v>399</v>
      </c>
      <c r="M53" s="79" t="s">
        <v>168</v>
      </c>
      <c r="N53" s="83" t="e">
        <v>#VALUE!</v>
      </c>
      <c r="O53" s="83" t="e">
        <v>#VALUE!</v>
      </c>
      <c r="P53" s="83" t="e">
        <v>#VALUE!</v>
      </c>
      <c r="Q53" s="83" t="e">
        <v>#VALUE!</v>
      </c>
      <c r="R53" s="83" t="e">
        <v>#VALUE!</v>
      </c>
      <c r="S53" s="83" t="e">
        <v>#VALUE!</v>
      </c>
      <c r="T53" s="85" t="e">
        <v>#VALUE!</v>
      </c>
      <c r="U53" s="85" t="e">
        <v>#VALUE!</v>
      </c>
      <c r="V53" s="85" t="e">
        <v>#VALUE!</v>
      </c>
      <c r="W53" s="85" t="e">
        <v>#VALUE!</v>
      </c>
      <c r="X53" s="85" t="e">
        <v>#VALUE!</v>
      </c>
      <c r="Y53" s="85" t="e">
        <v>#VALUE!</v>
      </c>
      <c r="Z53" s="86" t="e">
        <f>IF('Angioplasty Summary'!$R$55=3, RANK(F53,F$2:F$102,1)+COUNTIF($F$2:F53,F53)-1, IF('Angioplasty Summary'!$R$55=2, RANK(E53,E$2:E$102,1)+COUNTIF($E$2:E53,E53)-1, IF('Angioplasty Summary'!$R$55=1, RANK(D53,D$2:D$102,1)+COUNTIF($D$2:D53,D53)-1)))</f>
        <v>#VALUE!</v>
      </c>
      <c r="AA53" s="85" t="str">
        <f>IF('Angioplasty Summary'!$R$55=3, F53, IF('Angioplasty Summary'!$R$55=2, E53, IF('Angioplasty Summary'!$R$55=1, D53)))</f>
        <v>xx</v>
      </c>
      <c r="AB53" s="85" t="e">
        <f>IF('Angioplasty Summary'!$R$55=3, X53, IF('Angioplasty Summary'!$R$55=2, V53, IF('Angioplasty Summary'!$R$55=1, T53)))</f>
        <v>#VALUE!</v>
      </c>
      <c r="AC53" s="85" t="e">
        <f>IF('Angioplasty Summary'!$R$55=3, Y53, IF('Angioplasty Summary'!$R$55=2, W53, IF('Angioplasty Summary'!$R$55=1, U53)))</f>
        <v>#VALUE!</v>
      </c>
      <c r="AD53" t="s">
        <v>399</v>
      </c>
      <c r="AE53" t="e">
        <v>#VALUE!</v>
      </c>
      <c r="AF53" t="e">
        <v>#VALUE!</v>
      </c>
      <c r="AG53" t="e">
        <v>#VALUE!</v>
      </c>
      <c r="AH53" t="e">
        <f t="shared" si="0"/>
        <v>#VALUE!</v>
      </c>
      <c r="AI53" t="e">
        <f t="shared" si="1"/>
        <v>#VALUE!</v>
      </c>
      <c r="AJ53" t="e">
        <v>#VALUE!</v>
      </c>
      <c r="AK53" t="e">
        <v>#VALUE!</v>
      </c>
      <c r="AL53" t="e">
        <f t="shared" si="2"/>
        <v>#VALUE!</v>
      </c>
      <c r="AM53" t="e">
        <f t="shared" si="3"/>
        <v>#VALUE!</v>
      </c>
      <c r="AN53">
        <v>5</v>
      </c>
      <c r="AO53">
        <v>80</v>
      </c>
      <c r="AP53" s="91" t="str">
        <f>IF('Angioplasty Summary'!$R$4=2, AE53, IF('Angioplasty Summary'!$R$4=1, AD53))</f>
        <v>xx</v>
      </c>
      <c r="AQ53" s="91" t="e">
        <f>IF('Angioplasty Summary'!$R$4=2, AL53, IF('Angioplasty Summary'!$R$4=1, AH53))</f>
        <v>#VALUE!</v>
      </c>
      <c r="AR53" s="91" t="e">
        <f>IF('Angioplasty Summary'!$R$4=2, AM53, IF('Angioplasty Summary'!$R$4=1, AI53))</f>
        <v>#VALUE!</v>
      </c>
      <c r="AS53" s="91">
        <f>IF('Angioplasty Summary'!$R$4=2, AO53, IF('Angioplasty Summary'!$R$4=1, AN53))</f>
        <v>5</v>
      </c>
      <c r="AT53" t="s">
        <v>399</v>
      </c>
    </row>
    <row r="54" spans="1:46" x14ac:dyDescent="0.25">
      <c r="A54" s="18" t="s">
        <v>172</v>
      </c>
      <c r="B54" s="18" t="s">
        <v>173</v>
      </c>
      <c r="C54" s="80">
        <v>0</v>
      </c>
      <c r="D54" s="83" t="s">
        <v>384</v>
      </c>
      <c r="E54" s="83" t="s">
        <v>384</v>
      </c>
      <c r="F54" s="83" t="s">
        <v>384</v>
      </c>
      <c r="G54" s="83" t="s">
        <v>384</v>
      </c>
      <c r="H54" s="81" t="s">
        <v>384</v>
      </c>
      <c r="I54" s="84" t="s">
        <v>384</v>
      </c>
      <c r="J54" s="81" t="s">
        <v>384</v>
      </c>
      <c r="K54" s="84" t="s">
        <v>384</v>
      </c>
      <c r="L54" s="84" t="s">
        <v>384</v>
      </c>
      <c r="M54" s="79" t="s">
        <v>172</v>
      </c>
      <c r="N54" s="83" t="e">
        <v>#VALUE!</v>
      </c>
      <c r="O54" s="83" t="e">
        <v>#VALUE!</v>
      </c>
      <c r="P54" s="83" t="e">
        <v>#VALUE!</v>
      </c>
      <c r="Q54" s="83" t="e">
        <v>#VALUE!</v>
      </c>
      <c r="R54" s="83" t="e">
        <v>#VALUE!</v>
      </c>
      <c r="S54" s="83" t="e">
        <v>#VALUE!</v>
      </c>
      <c r="T54" s="85" t="e">
        <v>#VALUE!</v>
      </c>
      <c r="U54" s="85" t="e">
        <v>#VALUE!</v>
      </c>
      <c r="V54" s="85" t="e">
        <v>#VALUE!</v>
      </c>
      <c r="W54" s="85" t="e">
        <v>#VALUE!</v>
      </c>
      <c r="X54" s="85" t="e">
        <v>#VALUE!</v>
      </c>
      <c r="Y54" s="85" t="e">
        <v>#VALUE!</v>
      </c>
      <c r="Z54" s="86" t="e">
        <f>IF('Angioplasty Summary'!$R$55=3, RANK(F54,F$2:F$102,1)+COUNTIF($F$2:F54,F54)-1, IF('Angioplasty Summary'!$R$55=2, RANK(E54,E$2:E$102,1)+COUNTIF($E$2:E54,E54)-1, IF('Angioplasty Summary'!$R$55=1, RANK(D54,D$2:D$102,1)+COUNTIF($D$2:D54,D54)-1)))</f>
        <v>#VALUE!</v>
      </c>
      <c r="AA54" s="85" t="str">
        <f>IF('Angioplasty Summary'!$R$55=3, F54, IF('Angioplasty Summary'!$R$55=2, E54, IF('Angioplasty Summary'!$R$55=1, D54)))</f>
        <v>N/A</v>
      </c>
      <c r="AB54" s="85" t="e">
        <f>IF('Angioplasty Summary'!$R$55=3, X54, IF('Angioplasty Summary'!$R$55=2, V54, IF('Angioplasty Summary'!$R$55=1, T54)))</f>
        <v>#VALUE!</v>
      </c>
      <c r="AC54" s="85" t="e">
        <f>IF('Angioplasty Summary'!$R$55=3, Y54, IF('Angioplasty Summary'!$R$55=2, W54, IF('Angioplasty Summary'!$R$55=1, U54)))</f>
        <v>#VALUE!</v>
      </c>
      <c r="AD54" t="s">
        <v>384</v>
      </c>
      <c r="AE54" t="e">
        <v>#VALUE!</v>
      </c>
      <c r="AF54" t="e">
        <v>#VALUE!</v>
      </c>
      <c r="AG54" t="e">
        <v>#VALUE!</v>
      </c>
      <c r="AH54" t="e">
        <f t="shared" si="0"/>
        <v>#VALUE!</v>
      </c>
      <c r="AI54" t="e">
        <f t="shared" si="1"/>
        <v>#VALUE!</v>
      </c>
      <c r="AJ54" t="e">
        <v>#VALUE!</v>
      </c>
      <c r="AK54" t="e">
        <v>#VALUE!</v>
      </c>
      <c r="AL54" t="e">
        <f t="shared" si="2"/>
        <v>#VALUE!</v>
      </c>
      <c r="AM54" t="e">
        <f t="shared" si="3"/>
        <v>#VALUE!</v>
      </c>
      <c r="AN54">
        <v>5</v>
      </c>
      <c r="AO54">
        <v>80</v>
      </c>
      <c r="AP54" s="91" t="str">
        <f>IF('Angioplasty Summary'!$R$4=2, AE54, IF('Angioplasty Summary'!$R$4=1, AD54))</f>
        <v>N/A</v>
      </c>
      <c r="AQ54" s="91" t="e">
        <f>IF('Angioplasty Summary'!$R$4=2, AL54, IF('Angioplasty Summary'!$R$4=1, AH54))</f>
        <v>#VALUE!</v>
      </c>
      <c r="AR54" s="91" t="e">
        <f>IF('Angioplasty Summary'!$R$4=2, AM54, IF('Angioplasty Summary'!$R$4=1, AI54))</f>
        <v>#VALUE!</v>
      </c>
      <c r="AS54" s="91">
        <f>IF('Angioplasty Summary'!$R$4=2, AO54, IF('Angioplasty Summary'!$R$4=1, AN54))</f>
        <v>5</v>
      </c>
      <c r="AT54" t="s">
        <v>399</v>
      </c>
    </row>
    <row r="55" spans="1:46" x14ac:dyDescent="0.25">
      <c r="A55" s="18" t="s">
        <v>174</v>
      </c>
      <c r="B55" s="18" t="s">
        <v>175</v>
      </c>
      <c r="C55" s="80">
        <v>4</v>
      </c>
      <c r="D55" s="83" t="s">
        <v>399</v>
      </c>
      <c r="E55" s="83" t="s">
        <v>399</v>
      </c>
      <c r="F55" s="83" t="s">
        <v>399</v>
      </c>
      <c r="G55" s="83" t="s">
        <v>399</v>
      </c>
      <c r="H55" s="81" t="s">
        <v>399</v>
      </c>
      <c r="I55" s="84" t="s">
        <v>399</v>
      </c>
      <c r="J55" s="81" t="s">
        <v>399</v>
      </c>
      <c r="K55" s="84" t="s">
        <v>399</v>
      </c>
      <c r="L55" s="84" t="s">
        <v>399</v>
      </c>
      <c r="M55" s="79" t="s">
        <v>174</v>
      </c>
      <c r="N55" s="83" t="e">
        <v>#VALUE!</v>
      </c>
      <c r="O55" s="83" t="e">
        <v>#VALUE!</v>
      </c>
      <c r="P55" s="83" t="e">
        <v>#VALUE!</v>
      </c>
      <c r="Q55" s="83" t="e">
        <v>#VALUE!</v>
      </c>
      <c r="R55" s="83" t="e">
        <v>#VALUE!</v>
      </c>
      <c r="S55" s="83" t="e">
        <v>#VALUE!</v>
      </c>
      <c r="T55" s="85" t="e">
        <v>#VALUE!</v>
      </c>
      <c r="U55" s="85" t="e">
        <v>#VALUE!</v>
      </c>
      <c r="V55" s="85" t="e">
        <v>#VALUE!</v>
      </c>
      <c r="W55" s="85" t="e">
        <v>#VALUE!</v>
      </c>
      <c r="X55" s="85" t="e">
        <v>#VALUE!</v>
      </c>
      <c r="Y55" s="85" t="e">
        <v>#VALUE!</v>
      </c>
      <c r="Z55" s="86" t="e">
        <f>IF('Angioplasty Summary'!$R$55=3, RANK(F55,F$2:F$102,1)+COUNTIF($F$2:F55,F55)-1, IF('Angioplasty Summary'!$R$55=2, RANK(E55,E$2:E$102,1)+COUNTIF($E$2:E55,E55)-1, IF('Angioplasty Summary'!$R$55=1, RANK(D55,D$2:D$102,1)+COUNTIF($D$2:D55,D55)-1)))</f>
        <v>#VALUE!</v>
      </c>
      <c r="AA55" s="85" t="str">
        <f>IF('Angioplasty Summary'!$R$55=3, F55, IF('Angioplasty Summary'!$R$55=2, E55, IF('Angioplasty Summary'!$R$55=1, D55)))</f>
        <v>xx</v>
      </c>
      <c r="AB55" s="85" t="e">
        <f>IF('Angioplasty Summary'!$R$55=3, X55, IF('Angioplasty Summary'!$R$55=2, V55, IF('Angioplasty Summary'!$R$55=1, T55)))</f>
        <v>#VALUE!</v>
      </c>
      <c r="AC55" s="85" t="e">
        <f>IF('Angioplasty Summary'!$R$55=3, Y55, IF('Angioplasty Summary'!$R$55=2, W55, IF('Angioplasty Summary'!$R$55=1, U55)))</f>
        <v>#VALUE!</v>
      </c>
      <c r="AD55" t="s">
        <v>399</v>
      </c>
      <c r="AE55" t="e">
        <v>#VALUE!</v>
      </c>
      <c r="AF55" t="e">
        <v>#VALUE!</v>
      </c>
      <c r="AG55" t="e">
        <v>#VALUE!</v>
      </c>
      <c r="AH55" t="e">
        <f t="shared" si="0"/>
        <v>#VALUE!</v>
      </c>
      <c r="AI55" t="e">
        <f t="shared" si="1"/>
        <v>#VALUE!</v>
      </c>
      <c r="AJ55" t="e">
        <v>#VALUE!</v>
      </c>
      <c r="AK55" t="e">
        <v>#VALUE!</v>
      </c>
      <c r="AL55" t="e">
        <f t="shared" si="2"/>
        <v>#VALUE!</v>
      </c>
      <c r="AM55" t="e">
        <f t="shared" si="3"/>
        <v>#VALUE!</v>
      </c>
      <c r="AN55">
        <v>5</v>
      </c>
      <c r="AO55">
        <v>80</v>
      </c>
      <c r="AP55" s="91" t="str">
        <f>IF('Angioplasty Summary'!$R$4=2, AE55, IF('Angioplasty Summary'!$R$4=1, AD55))</f>
        <v>xx</v>
      </c>
      <c r="AQ55" s="91" t="e">
        <f>IF('Angioplasty Summary'!$R$4=2, AL55, IF('Angioplasty Summary'!$R$4=1, AH55))</f>
        <v>#VALUE!</v>
      </c>
      <c r="AR55" s="91" t="e">
        <f>IF('Angioplasty Summary'!$R$4=2, AM55, IF('Angioplasty Summary'!$R$4=1, AI55))</f>
        <v>#VALUE!</v>
      </c>
      <c r="AS55" s="91">
        <f>IF('Angioplasty Summary'!$R$4=2, AO55, IF('Angioplasty Summary'!$R$4=1, AN55))</f>
        <v>5</v>
      </c>
      <c r="AT55" t="s">
        <v>399</v>
      </c>
    </row>
    <row r="56" spans="1:46" x14ac:dyDescent="0.25">
      <c r="A56" s="18" t="s">
        <v>83</v>
      </c>
      <c r="B56" s="18" t="s">
        <v>84</v>
      </c>
      <c r="C56" s="80">
        <v>8</v>
      </c>
      <c r="D56" s="83" t="s">
        <v>399</v>
      </c>
      <c r="E56" s="83" t="s">
        <v>399</v>
      </c>
      <c r="F56" s="83" t="s">
        <v>399</v>
      </c>
      <c r="G56" s="83" t="s">
        <v>399</v>
      </c>
      <c r="H56" s="81" t="s">
        <v>399</v>
      </c>
      <c r="I56" s="84" t="s">
        <v>399</v>
      </c>
      <c r="J56" s="81" t="s">
        <v>399</v>
      </c>
      <c r="K56" s="84" t="s">
        <v>399</v>
      </c>
      <c r="L56" s="84" t="s">
        <v>399</v>
      </c>
      <c r="M56" s="79" t="s">
        <v>83</v>
      </c>
      <c r="N56" s="83" t="e">
        <v>#VALUE!</v>
      </c>
      <c r="O56" s="83" t="e">
        <v>#VALUE!</v>
      </c>
      <c r="P56" s="83" t="e">
        <v>#VALUE!</v>
      </c>
      <c r="Q56" s="83" t="e">
        <v>#VALUE!</v>
      </c>
      <c r="R56" s="83" t="e">
        <v>#VALUE!</v>
      </c>
      <c r="S56" s="83" t="e">
        <v>#VALUE!</v>
      </c>
      <c r="T56" s="85" t="e">
        <v>#VALUE!</v>
      </c>
      <c r="U56" s="85" t="e">
        <v>#VALUE!</v>
      </c>
      <c r="V56" s="85" t="e">
        <v>#VALUE!</v>
      </c>
      <c r="W56" s="85" t="e">
        <v>#VALUE!</v>
      </c>
      <c r="X56" s="85" t="e">
        <v>#VALUE!</v>
      </c>
      <c r="Y56" s="85" t="e">
        <v>#VALUE!</v>
      </c>
      <c r="Z56" s="86" t="e">
        <f>IF('Angioplasty Summary'!$R$55=3, RANK(F56,F$2:F$102,1)+COUNTIF($F$2:F56,F56)-1, IF('Angioplasty Summary'!$R$55=2, RANK(E56,E$2:E$102,1)+COUNTIF($E$2:E56,E56)-1, IF('Angioplasty Summary'!$R$55=1, RANK(D56,D$2:D$102,1)+COUNTIF($D$2:D56,D56)-1)))</f>
        <v>#VALUE!</v>
      </c>
      <c r="AA56" s="85" t="str">
        <f>IF('Angioplasty Summary'!$R$55=3, F56, IF('Angioplasty Summary'!$R$55=2, E56, IF('Angioplasty Summary'!$R$55=1, D56)))</f>
        <v>xx</v>
      </c>
      <c r="AB56" s="85" t="e">
        <f>IF('Angioplasty Summary'!$R$55=3, X56, IF('Angioplasty Summary'!$R$55=2, V56, IF('Angioplasty Summary'!$R$55=1, T56)))</f>
        <v>#VALUE!</v>
      </c>
      <c r="AC56" s="85" t="e">
        <f>IF('Angioplasty Summary'!$R$55=3, Y56, IF('Angioplasty Summary'!$R$55=2, W56, IF('Angioplasty Summary'!$R$55=1, U56)))</f>
        <v>#VALUE!</v>
      </c>
      <c r="AD56" t="s">
        <v>399</v>
      </c>
      <c r="AE56" t="e">
        <v>#VALUE!</v>
      </c>
      <c r="AF56" t="e">
        <v>#VALUE!</v>
      </c>
      <c r="AG56" t="e">
        <v>#VALUE!</v>
      </c>
      <c r="AH56" t="e">
        <f t="shared" si="0"/>
        <v>#VALUE!</v>
      </c>
      <c r="AI56" t="e">
        <f t="shared" si="1"/>
        <v>#VALUE!</v>
      </c>
      <c r="AJ56" t="e">
        <v>#VALUE!</v>
      </c>
      <c r="AK56" t="e">
        <v>#VALUE!</v>
      </c>
      <c r="AL56" t="e">
        <f t="shared" si="2"/>
        <v>#VALUE!</v>
      </c>
      <c r="AM56" t="e">
        <f t="shared" si="3"/>
        <v>#VALUE!</v>
      </c>
      <c r="AN56">
        <v>5</v>
      </c>
      <c r="AO56">
        <v>80</v>
      </c>
      <c r="AP56" s="91" t="str">
        <f>IF('Angioplasty Summary'!$R$4=2, AE56, IF('Angioplasty Summary'!$R$4=1, AD56))</f>
        <v>xx</v>
      </c>
      <c r="AQ56" s="91" t="e">
        <f>IF('Angioplasty Summary'!$R$4=2, AL56, IF('Angioplasty Summary'!$R$4=1, AH56))</f>
        <v>#VALUE!</v>
      </c>
      <c r="AR56" s="91" t="e">
        <f>IF('Angioplasty Summary'!$R$4=2, AM56, IF('Angioplasty Summary'!$R$4=1, AI56))</f>
        <v>#VALUE!</v>
      </c>
      <c r="AS56" s="91">
        <f>IF('Angioplasty Summary'!$R$4=2, AO56, IF('Angioplasty Summary'!$R$4=1, AN56))</f>
        <v>5</v>
      </c>
      <c r="AT56" t="s">
        <v>399</v>
      </c>
    </row>
    <row r="57" spans="1:46" x14ac:dyDescent="0.25">
      <c r="A57" s="18" t="s">
        <v>124</v>
      </c>
      <c r="B57" s="18" t="s">
        <v>125</v>
      </c>
      <c r="C57" s="80">
        <v>401</v>
      </c>
      <c r="D57" s="83">
        <v>0.94</v>
      </c>
      <c r="E57" s="83">
        <v>0.7</v>
      </c>
      <c r="F57" s="83">
        <v>0.89</v>
      </c>
      <c r="G57" s="83" t="s">
        <v>640</v>
      </c>
      <c r="H57" s="81">
        <v>9.4403725862503059E-3</v>
      </c>
      <c r="I57" s="84">
        <v>338</v>
      </c>
      <c r="J57" s="81">
        <v>7.9999998211860657E-2</v>
      </c>
      <c r="K57" s="84">
        <v>132</v>
      </c>
      <c r="L57" s="84" t="s">
        <v>234</v>
      </c>
      <c r="M57" s="79" t="s">
        <v>124</v>
      </c>
      <c r="N57" s="83">
        <v>0.91</v>
      </c>
      <c r="O57" s="83">
        <v>0.96</v>
      </c>
      <c r="P57" s="83">
        <v>0.64</v>
      </c>
      <c r="Q57" s="83">
        <v>0.76</v>
      </c>
      <c r="R57" s="83">
        <v>0.86</v>
      </c>
      <c r="S57" s="83">
        <v>0.92</v>
      </c>
      <c r="T57" s="85">
        <v>2.9999999999999916E-2</v>
      </c>
      <c r="U57" s="85">
        <v>2.0000000000000018E-2</v>
      </c>
      <c r="V57" s="85">
        <v>5.9999999999999942E-2</v>
      </c>
      <c r="W57" s="85">
        <v>6.0000000000000053E-2</v>
      </c>
      <c r="X57" s="85">
        <v>3.0000000000000027E-2</v>
      </c>
      <c r="Y57" s="85">
        <v>3.0000000000000027E-2</v>
      </c>
      <c r="Z57" s="86">
        <f>IF('Angioplasty Summary'!$R$55=3, RANK(F57,F$2:F$102,1)+COUNTIF($F$2:F57,F57)-1, IF('Angioplasty Summary'!$R$55=2, RANK(E57,E$2:E$102,1)+COUNTIF($E$2:E57,E57)-1, IF('Angioplasty Summary'!$R$55=1, RANK(D57,D$2:D$102,1)+COUNTIF($D$2:D57,D57)-1)))</f>
        <v>7</v>
      </c>
      <c r="AA57" s="85">
        <f>IF('Angioplasty Summary'!$R$55=3, F57, IF('Angioplasty Summary'!$R$55=2, E57, IF('Angioplasty Summary'!$R$55=1, D57)))</f>
        <v>0.94</v>
      </c>
      <c r="AB57" s="85">
        <f>IF('Angioplasty Summary'!$R$55=3, X57, IF('Angioplasty Summary'!$R$55=2, V57, IF('Angioplasty Summary'!$R$55=1, T57)))</f>
        <v>2.9999999999999916E-2</v>
      </c>
      <c r="AC57" s="85">
        <f>IF('Angioplasty Summary'!$R$55=3, Y57, IF('Angioplasty Summary'!$R$55=2, W57, IF('Angioplasty Summary'!$R$55=1, U57)))</f>
        <v>2.0000000000000018E-2</v>
      </c>
      <c r="AD57">
        <v>4</v>
      </c>
      <c r="AE57">
        <v>65</v>
      </c>
      <c r="AF57">
        <v>2</v>
      </c>
      <c r="AG57">
        <v>8</v>
      </c>
      <c r="AH57">
        <f t="shared" si="0"/>
        <v>2</v>
      </c>
      <c r="AI57">
        <f t="shared" si="1"/>
        <v>4</v>
      </c>
      <c r="AJ57">
        <v>56.000000238418579</v>
      </c>
      <c r="AK57">
        <v>73.000001907348633</v>
      </c>
      <c r="AL57">
        <f t="shared" si="2"/>
        <v>8.9999997615814209</v>
      </c>
      <c r="AM57">
        <f t="shared" si="3"/>
        <v>8.0000019073486328</v>
      </c>
      <c r="AN57">
        <v>5</v>
      </c>
      <c r="AO57">
        <v>80</v>
      </c>
      <c r="AP57" s="91">
        <f>IF('Angioplasty Summary'!$R$4=2, AE57, IF('Angioplasty Summary'!$R$4=1, AD57))</f>
        <v>4</v>
      </c>
      <c r="AQ57" s="91">
        <f>IF('Angioplasty Summary'!$R$4=2, AL57, IF('Angioplasty Summary'!$R$4=1, AH57))</f>
        <v>2</v>
      </c>
      <c r="AR57" s="91">
        <f>IF('Angioplasty Summary'!$R$4=2, AM57, IF('Angioplasty Summary'!$R$4=1, AI57))</f>
        <v>4</v>
      </c>
      <c r="AS57" s="91">
        <f>IF('Angioplasty Summary'!$R$4=2, AO57, IF('Angioplasty Summary'!$R$4=1, AN57))</f>
        <v>5</v>
      </c>
      <c r="AT57" s="124">
        <v>0.65</v>
      </c>
    </row>
    <row r="58" spans="1:46" x14ac:dyDescent="0.25">
      <c r="A58" s="18" t="s">
        <v>89</v>
      </c>
      <c r="B58" s="18" t="s">
        <v>90</v>
      </c>
      <c r="C58" s="80">
        <v>598</v>
      </c>
      <c r="D58" s="83">
        <v>0.98</v>
      </c>
      <c r="E58" s="83">
        <v>0.8</v>
      </c>
      <c r="F58" s="83">
        <v>0.85</v>
      </c>
      <c r="G58" s="83" t="s">
        <v>294</v>
      </c>
      <c r="H58" s="81">
        <v>1.4027178287506104E-2</v>
      </c>
      <c r="I58" s="84">
        <v>584</v>
      </c>
      <c r="J58" s="81">
        <v>0.15999999642372131</v>
      </c>
      <c r="K58" s="84">
        <v>94</v>
      </c>
      <c r="L58" s="84" t="s">
        <v>378</v>
      </c>
      <c r="M58" s="79" t="s">
        <v>89</v>
      </c>
      <c r="N58" s="83">
        <v>0.96</v>
      </c>
      <c r="O58" s="83">
        <v>0.99</v>
      </c>
      <c r="P58" s="83">
        <v>0.76</v>
      </c>
      <c r="Q58" s="83">
        <v>0.84</v>
      </c>
      <c r="R58" s="83">
        <v>0.82</v>
      </c>
      <c r="S58" s="83">
        <v>0.88</v>
      </c>
      <c r="T58" s="85">
        <v>2.0000000000000018E-2</v>
      </c>
      <c r="U58" s="85">
        <v>1.0000000000000009E-2</v>
      </c>
      <c r="V58" s="85">
        <v>4.0000000000000036E-2</v>
      </c>
      <c r="W58" s="85">
        <v>3.9999999999999925E-2</v>
      </c>
      <c r="X58" s="85">
        <v>3.0000000000000027E-2</v>
      </c>
      <c r="Y58" s="85">
        <v>3.0000000000000027E-2</v>
      </c>
      <c r="Z58" s="86">
        <f>IF('Angioplasty Summary'!$R$55=3, RANK(F58,F$2:F$102,1)+COUNTIF($F$2:F58,F58)-1, IF('Angioplasty Summary'!$R$55=2, RANK(E58,E$2:E$102,1)+COUNTIF($E$2:E58,E58)-1, IF('Angioplasty Summary'!$R$55=1, RANK(D58,D$2:D$102,1)+COUNTIF($D$2:D58,D58)-1)))</f>
        <v>33</v>
      </c>
      <c r="AA58" s="85">
        <f>IF('Angioplasty Summary'!$R$55=3, F58, IF('Angioplasty Summary'!$R$55=2, E58, IF('Angioplasty Summary'!$R$55=1, D58)))</f>
        <v>0.98</v>
      </c>
      <c r="AB58" s="85">
        <f>IF('Angioplasty Summary'!$R$55=3, X58, IF('Angioplasty Summary'!$R$55=2, V58, IF('Angioplasty Summary'!$R$55=1, T58)))</f>
        <v>2.0000000000000018E-2</v>
      </c>
      <c r="AC58" s="85">
        <f>IF('Angioplasty Summary'!$R$55=3, Y58, IF('Angioplasty Summary'!$R$55=2, W58, IF('Angioplasty Summary'!$R$55=1, U58)))</f>
        <v>1.0000000000000009E-2</v>
      </c>
      <c r="AD58">
        <v>5</v>
      </c>
      <c r="AE58">
        <v>52</v>
      </c>
      <c r="AF58">
        <v>2</v>
      </c>
      <c r="AG58">
        <v>9</v>
      </c>
      <c r="AH58">
        <f t="shared" si="0"/>
        <v>3</v>
      </c>
      <c r="AI58">
        <f t="shared" si="1"/>
        <v>4</v>
      </c>
      <c r="AJ58">
        <v>41.999998688697815</v>
      </c>
      <c r="AK58">
        <v>62.999999523162842</v>
      </c>
      <c r="AL58">
        <f t="shared" si="2"/>
        <v>10.000001311302185</v>
      </c>
      <c r="AM58">
        <f t="shared" si="3"/>
        <v>10.999999523162842</v>
      </c>
      <c r="AN58">
        <v>5</v>
      </c>
      <c r="AO58">
        <v>80</v>
      </c>
      <c r="AP58" s="91">
        <f>IF('Angioplasty Summary'!$R$4=2, AE58, IF('Angioplasty Summary'!$R$4=1, AD58))</f>
        <v>5</v>
      </c>
      <c r="AQ58" s="91">
        <f>IF('Angioplasty Summary'!$R$4=2, AL58, IF('Angioplasty Summary'!$R$4=1, AH58))</f>
        <v>3</v>
      </c>
      <c r="AR58" s="91">
        <f>IF('Angioplasty Summary'!$R$4=2, AM58, IF('Angioplasty Summary'!$R$4=1, AI58))</f>
        <v>4</v>
      </c>
      <c r="AS58" s="91">
        <f>IF('Angioplasty Summary'!$R$4=2, AO58, IF('Angioplasty Summary'!$R$4=1, AN58))</f>
        <v>5</v>
      </c>
      <c r="AT58" s="124">
        <v>0.52</v>
      </c>
    </row>
    <row r="59" spans="1:46" x14ac:dyDescent="0.25">
      <c r="A59" s="18" t="s">
        <v>50</v>
      </c>
      <c r="B59" s="18" t="s">
        <v>51</v>
      </c>
      <c r="C59" s="80">
        <v>5</v>
      </c>
      <c r="D59" s="83" t="s">
        <v>399</v>
      </c>
      <c r="E59" s="83" t="s">
        <v>399</v>
      </c>
      <c r="F59" s="83" t="s">
        <v>399</v>
      </c>
      <c r="G59" s="83" t="s">
        <v>399</v>
      </c>
      <c r="H59" s="81" t="s">
        <v>399</v>
      </c>
      <c r="I59" s="84" t="s">
        <v>399</v>
      </c>
      <c r="J59" s="81" t="s">
        <v>399</v>
      </c>
      <c r="K59" s="84" t="s">
        <v>399</v>
      </c>
      <c r="L59" s="84" t="s">
        <v>399</v>
      </c>
      <c r="M59" s="79" t="s">
        <v>50</v>
      </c>
      <c r="N59" s="83" t="e">
        <v>#VALUE!</v>
      </c>
      <c r="O59" s="83" t="e">
        <v>#VALUE!</v>
      </c>
      <c r="P59" s="83" t="e">
        <v>#VALUE!</v>
      </c>
      <c r="Q59" s="83" t="e">
        <v>#VALUE!</v>
      </c>
      <c r="R59" s="83" t="e">
        <v>#VALUE!</v>
      </c>
      <c r="S59" s="83" t="e">
        <v>#VALUE!</v>
      </c>
      <c r="T59" s="85" t="e">
        <v>#VALUE!</v>
      </c>
      <c r="U59" s="85" t="e">
        <v>#VALUE!</v>
      </c>
      <c r="V59" s="85" t="e">
        <v>#VALUE!</v>
      </c>
      <c r="W59" s="85" t="e">
        <v>#VALUE!</v>
      </c>
      <c r="X59" s="85" t="e">
        <v>#VALUE!</v>
      </c>
      <c r="Y59" s="85" t="e">
        <v>#VALUE!</v>
      </c>
      <c r="Z59" s="86" t="e">
        <f>IF('Angioplasty Summary'!$R$55=3, RANK(F59,F$2:F$102,1)+COUNTIF($F$2:F59,F59)-1, IF('Angioplasty Summary'!$R$55=2, RANK(E59,E$2:E$102,1)+COUNTIF($E$2:E59,E59)-1, IF('Angioplasty Summary'!$R$55=1, RANK(D59,D$2:D$102,1)+COUNTIF($D$2:D59,D59)-1)))</f>
        <v>#VALUE!</v>
      </c>
      <c r="AA59" s="85" t="str">
        <f>IF('Angioplasty Summary'!$R$55=3, F59, IF('Angioplasty Summary'!$R$55=2, E59, IF('Angioplasty Summary'!$R$55=1, D59)))</f>
        <v>xx</v>
      </c>
      <c r="AB59" s="85" t="e">
        <f>IF('Angioplasty Summary'!$R$55=3, X59, IF('Angioplasty Summary'!$R$55=2, V59, IF('Angioplasty Summary'!$R$55=1, T59)))</f>
        <v>#VALUE!</v>
      </c>
      <c r="AC59" s="85" t="e">
        <f>IF('Angioplasty Summary'!$R$55=3, Y59, IF('Angioplasty Summary'!$R$55=2, W59, IF('Angioplasty Summary'!$R$55=1, U59)))</f>
        <v>#VALUE!</v>
      </c>
      <c r="AD59" t="s">
        <v>399</v>
      </c>
      <c r="AE59" t="e">
        <v>#VALUE!</v>
      </c>
      <c r="AF59" t="e">
        <v>#VALUE!</v>
      </c>
      <c r="AG59" t="e">
        <v>#VALUE!</v>
      </c>
      <c r="AH59" t="e">
        <f t="shared" si="0"/>
        <v>#VALUE!</v>
      </c>
      <c r="AI59" t="e">
        <f t="shared" si="1"/>
        <v>#VALUE!</v>
      </c>
      <c r="AJ59" t="e">
        <v>#VALUE!</v>
      </c>
      <c r="AK59" t="e">
        <v>#VALUE!</v>
      </c>
      <c r="AL59" t="e">
        <f t="shared" si="2"/>
        <v>#VALUE!</v>
      </c>
      <c r="AM59" t="e">
        <f t="shared" si="3"/>
        <v>#VALUE!</v>
      </c>
      <c r="AN59">
        <v>5</v>
      </c>
      <c r="AO59">
        <v>80</v>
      </c>
      <c r="AP59" s="91" t="str">
        <f>IF('Angioplasty Summary'!$R$4=2, AE59, IF('Angioplasty Summary'!$R$4=1, AD59))</f>
        <v>xx</v>
      </c>
      <c r="AQ59" s="91" t="e">
        <f>IF('Angioplasty Summary'!$R$4=2, AL59, IF('Angioplasty Summary'!$R$4=1, AH59))</f>
        <v>#VALUE!</v>
      </c>
      <c r="AR59" s="91" t="e">
        <f>IF('Angioplasty Summary'!$R$4=2, AM59, IF('Angioplasty Summary'!$R$4=1, AI59))</f>
        <v>#VALUE!</v>
      </c>
      <c r="AS59" s="91">
        <f>IF('Angioplasty Summary'!$R$4=2, AO59, IF('Angioplasty Summary'!$R$4=1, AN59))</f>
        <v>5</v>
      </c>
      <c r="AT59" t="s">
        <v>399</v>
      </c>
    </row>
    <row r="60" spans="1:46" x14ac:dyDescent="0.25">
      <c r="A60" s="18" t="s">
        <v>91</v>
      </c>
      <c r="B60" s="18" t="s">
        <v>92</v>
      </c>
      <c r="C60" s="80">
        <v>1</v>
      </c>
      <c r="D60" s="83" t="s">
        <v>399</v>
      </c>
      <c r="E60" s="83" t="s">
        <v>399</v>
      </c>
      <c r="F60" s="83" t="s">
        <v>399</v>
      </c>
      <c r="G60" s="83" t="s">
        <v>399</v>
      </c>
      <c r="H60" s="81" t="s">
        <v>399</v>
      </c>
      <c r="I60" s="84" t="s">
        <v>399</v>
      </c>
      <c r="J60" s="81" t="s">
        <v>399</v>
      </c>
      <c r="K60" s="84" t="s">
        <v>399</v>
      </c>
      <c r="L60" s="84" t="s">
        <v>399</v>
      </c>
      <c r="M60" s="79" t="s">
        <v>91</v>
      </c>
      <c r="N60" s="83" t="e">
        <v>#VALUE!</v>
      </c>
      <c r="O60" s="83" t="e">
        <v>#VALUE!</v>
      </c>
      <c r="P60" s="83" t="e">
        <v>#VALUE!</v>
      </c>
      <c r="Q60" s="83" t="e">
        <v>#VALUE!</v>
      </c>
      <c r="R60" s="83" t="e">
        <v>#VALUE!</v>
      </c>
      <c r="S60" s="83" t="e">
        <v>#VALUE!</v>
      </c>
      <c r="T60" s="85" t="e">
        <v>#VALUE!</v>
      </c>
      <c r="U60" s="85" t="e">
        <v>#VALUE!</v>
      </c>
      <c r="V60" s="85" t="e">
        <v>#VALUE!</v>
      </c>
      <c r="W60" s="85" t="e">
        <v>#VALUE!</v>
      </c>
      <c r="X60" s="85" t="e">
        <v>#VALUE!</v>
      </c>
      <c r="Y60" s="85" t="e">
        <v>#VALUE!</v>
      </c>
      <c r="Z60" s="86" t="e">
        <f>IF('Angioplasty Summary'!$R$55=3, RANK(F60,F$2:F$102,1)+COUNTIF($F$2:F60,F60)-1, IF('Angioplasty Summary'!$R$55=2, RANK(E60,E$2:E$102,1)+COUNTIF($E$2:E60,E60)-1, IF('Angioplasty Summary'!$R$55=1, RANK(D60,D$2:D$102,1)+COUNTIF($D$2:D60,D60)-1)))</f>
        <v>#VALUE!</v>
      </c>
      <c r="AA60" s="85" t="str">
        <f>IF('Angioplasty Summary'!$R$55=3, F60, IF('Angioplasty Summary'!$R$55=2, E60, IF('Angioplasty Summary'!$R$55=1, D60)))</f>
        <v>xx</v>
      </c>
      <c r="AB60" s="85" t="e">
        <f>IF('Angioplasty Summary'!$R$55=3, X60, IF('Angioplasty Summary'!$R$55=2, V60, IF('Angioplasty Summary'!$R$55=1, T60)))</f>
        <v>#VALUE!</v>
      </c>
      <c r="AC60" s="85" t="e">
        <f>IF('Angioplasty Summary'!$R$55=3, Y60, IF('Angioplasty Summary'!$R$55=2, W60, IF('Angioplasty Summary'!$R$55=1, U60)))</f>
        <v>#VALUE!</v>
      </c>
      <c r="AD60" t="s">
        <v>399</v>
      </c>
      <c r="AE60" t="e">
        <v>#VALUE!</v>
      </c>
      <c r="AF60" t="e">
        <v>#VALUE!</v>
      </c>
      <c r="AG60" t="e">
        <v>#VALUE!</v>
      </c>
      <c r="AH60" t="e">
        <f t="shared" si="0"/>
        <v>#VALUE!</v>
      </c>
      <c r="AI60" t="e">
        <f t="shared" si="1"/>
        <v>#VALUE!</v>
      </c>
      <c r="AJ60" t="e">
        <v>#VALUE!</v>
      </c>
      <c r="AK60" t="e">
        <v>#VALUE!</v>
      </c>
      <c r="AL60" t="e">
        <f t="shared" si="2"/>
        <v>#VALUE!</v>
      </c>
      <c r="AM60" t="e">
        <f t="shared" si="3"/>
        <v>#VALUE!</v>
      </c>
      <c r="AN60">
        <v>5</v>
      </c>
      <c r="AO60">
        <v>80</v>
      </c>
      <c r="AP60" s="91" t="str">
        <f>IF('Angioplasty Summary'!$R$4=2, AE60, IF('Angioplasty Summary'!$R$4=1, AD60))</f>
        <v>xx</v>
      </c>
      <c r="AQ60" s="91" t="e">
        <f>IF('Angioplasty Summary'!$R$4=2, AL60, IF('Angioplasty Summary'!$R$4=1, AH60))</f>
        <v>#VALUE!</v>
      </c>
      <c r="AR60" s="91" t="e">
        <f>IF('Angioplasty Summary'!$R$4=2, AM60, IF('Angioplasty Summary'!$R$4=1, AI60))</f>
        <v>#VALUE!</v>
      </c>
      <c r="AS60" s="91">
        <f>IF('Angioplasty Summary'!$R$4=2, AO60, IF('Angioplasty Summary'!$R$4=1, AN60))</f>
        <v>5</v>
      </c>
      <c r="AT60" t="s">
        <v>399</v>
      </c>
    </row>
    <row r="61" spans="1:46" x14ac:dyDescent="0.25">
      <c r="A61" s="18" t="s">
        <v>31</v>
      </c>
      <c r="B61" s="18" t="s">
        <v>32</v>
      </c>
      <c r="C61" s="80">
        <v>0</v>
      </c>
      <c r="D61" s="83" t="s">
        <v>384</v>
      </c>
      <c r="E61" s="83" t="s">
        <v>384</v>
      </c>
      <c r="F61" s="83" t="s">
        <v>384</v>
      </c>
      <c r="G61" s="83" t="s">
        <v>384</v>
      </c>
      <c r="H61" s="81" t="s">
        <v>384</v>
      </c>
      <c r="I61" s="84" t="s">
        <v>384</v>
      </c>
      <c r="J61" s="81" t="s">
        <v>384</v>
      </c>
      <c r="K61" s="84" t="s">
        <v>384</v>
      </c>
      <c r="L61" s="84" t="s">
        <v>384</v>
      </c>
      <c r="M61" s="79" t="s">
        <v>31</v>
      </c>
      <c r="N61" s="83" t="e">
        <v>#VALUE!</v>
      </c>
      <c r="O61" s="83" t="e">
        <v>#VALUE!</v>
      </c>
      <c r="P61" s="83" t="e">
        <v>#VALUE!</v>
      </c>
      <c r="Q61" s="83" t="e">
        <v>#VALUE!</v>
      </c>
      <c r="R61" s="83" t="e">
        <v>#VALUE!</v>
      </c>
      <c r="S61" s="83" t="e">
        <v>#VALUE!</v>
      </c>
      <c r="T61" s="85" t="e">
        <v>#VALUE!</v>
      </c>
      <c r="U61" s="85" t="e">
        <v>#VALUE!</v>
      </c>
      <c r="V61" s="85" t="e">
        <v>#VALUE!</v>
      </c>
      <c r="W61" s="85" t="e">
        <v>#VALUE!</v>
      </c>
      <c r="X61" s="85" t="e">
        <v>#VALUE!</v>
      </c>
      <c r="Y61" s="85" t="e">
        <v>#VALUE!</v>
      </c>
      <c r="Z61" s="86" t="e">
        <f>IF('Angioplasty Summary'!$R$55=3, RANK(F61,F$2:F$102,1)+COUNTIF($F$2:F61,F61)-1, IF('Angioplasty Summary'!$R$55=2, RANK(E61,E$2:E$102,1)+COUNTIF($E$2:E61,E61)-1, IF('Angioplasty Summary'!$R$55=1, RANK(D61,D$2:D$102,1)+COUNTIF($D$2:D61,D61)-1)))</f>
        <v>#VALUE!</v>
      </c>
      <c r="AA61" s="85" t="str">
        <f>IF('Angioplasty Summary'!$R$55=3, F61, IF('Angioplasty Summary'!$R$55=2, E61, IF('Angioplasty Summary'!$R$55=1, D61)))</f>
        <v>N/A</v>
      </c>
      <c r="AB61" s="85" t="e">
        <f>IF('Angioplasty Summary'!$R$55=3, X61, IF('Angioplasty Summary'!$R$55=2, V61, IF('Angioplasty Summary'!$R$55=1, T61)))</f>
        <v>#VALUE!</v>
      </c>
      <c r="AC61" s="85" t="e">
        <f>IF('Angioplasty Summary'!$R$55=3, Y61, IF('Angioplasty Summary'!$R$55=2, W61, IF('Angioplasty Summary'!$R$55=1, U61)))</f>
        <v>#VALUE!</v>
      </c>
      <c r="AD61" t="s">
        <v>384</v>
      </c>
      <c r="AE61" t="e">
        <v>#VALUE!</v>
      </c>
      <c r="AF61" t="e">
        <v>#VALUE!</v>
      </c>
      <c r="AG61" t="e">
        <v>#VALUE!</v>
      </c>
      <c r="AH61" t="e">
        <f t="shared" si="0"/>
        <v>#VALUE!</v>
      </c>
      <c r="AI61" t="e">
        <f t="shared" si="1"/>
        <v>#VALUE!</v>
      </c>
      <c r="AJ61" t="e">
        <v>#VALUE!</v>
      </c>
      <c r="AK61" t="e">
        <v>#VALUE!</v>
      </c>
      <c r="AL61" t="e">
        <f t="shared" si="2"/>
        <v>#VALUE!</v>
      </c>
      <c r="AM61" t="e">
        <f t="shared" si="3"/>
        <v>#VALUE!</v>
      </c>
      <c r="AN61">
        <v>5</v>
      </c>
      <c r="AO61">
        <v>80</v>
      </c>
      <c r="AP61" s="91" t="str">
        <f>IF('Angioplasty Summary'!$R$4=2, AE61, IF('Angioplasty Summary'!$R$4=1, AD61))</f>
        <v>N/A</v>
      </c>
      <c r="AQ61" s="91" t="e">
        <f>IF('Angioplasty Summary'!$R$4=2, AL61, IF('Angioplasty Summary'!$R$4=1, AH61))</f>
        <v>#VALUE!</v>
      </c>
      <c r="AR61" s="91" t="e">
        <f>IF('Angioplasty Summary'!$R$4=2, AM61, IF('Angioplasty Summary'!$R$4=1, AI61))</f>
        <v>#VALUE!</v>
      </c>
      <c r="AS61" s="91">
        <f>IF('Angioplasty Summary'!$R$4=2, AO61, IF('Angioplasty Summary'!$R$4=1, AN61))</f>
        <v>5</v>
      </c>
      <c r="AT61" t="s">
        <v>399</v>
      </c>
    </row>
    <row r="62" spans="1:46" x14ac:dyDescent="0.25">
      <c r="A62" s="18" t="s">
        <v>144</v>
      </c>
      <c r="B62" s="18" t="s">
        <v>145</v>
      </c>
      <c r="C62" s="80">
        <v>18</v>
      </c>
      <c r="D62" s="83">
        <v>1</v>
      </c>
      <c r="E62" s="83">
        <v>0.8</v>
      </c>
      <c r="F62" s="83">
        <v>0.89</v>
      </c>
      <c r="G62" s="83" t="s">
        <v>293</v>
      </c>
      <c r="H62" s="81">
        <v>0</v>
      </c>
      <c r="I62" s="84">
        <v>16</v>
      </c>
      <c r="J62" s="81">
        <v>0.12999999523162842</v>
      </c>
      <c r="K62" s="84" t="s">
        <v>633</v>
      </c>
      <c r="L62" s="84" t="s">
        <v>399</v>
      </c>
      <c r="M62" s="79" t="s">
        <v>144</v>
      </c>
      <c r="N62" s="83">
        <v>0.81</v>
      </c>
      <c r="O62" s="83">
        <v>1</v>
      </c>
      <c r="P62" s="83">
        <v>0.52</v>
      </c>
      <c r="Q62" s="83">
        <v>0.96</v>
      </c>
      <c r="R62" s="83">
        <v>0.65</v>
      </c>
      <c r="S62" s="83">
        <v>0.99</v>
      </c>
      <c r="T62" s="85">
        <v>0.18999999999999995</v>
      </c>
      <c r="U62" s="85">
        <v>0</v>
      </c>
      <c r="V62" s="85">
        <v>0.28000000000000003</v>
      </c>
      <c r="W62" s="85">
        <v>0.15999999999999992</v>
      </c>
      <c r="X62" s="85">
        <v>0.24</v>
      </c>
      <c r="Y62" s="85">
        <v>9.9999999999999978E-2</v>
      </c>
      <c r="Z62" s="86">
        <f>IF('Angioplasty Summary'!$R$55=3, RANK(F62,F$2:F$102,1)+COUNTIF($F$2:F62,F62)-1, IF('Angioplasty Summary'!$R$55=2, RANK(E62,E$2:E$102,1)+COUNTIF($E$2:E62,E62)-1, IF('Angioplasty Summary'!$R$55=1, RANK(D62,D$2:D$102,1)+COUNTIF($D$2:D62,D62)-1)))</f>
        <v>60</v>
      </c>
      <c r="AA62" s="85">
        <f>IF('Angioplasty Summary'!$R$55=3, F62, IF('Angioplasty Summary'!$R$55=2, E62, IF('Angioplasty Summary'!$R$55=1, D62)))</f>
        <v>1</v>
      </c>
      <c r="AB62" s="85">
        <f>IF('Angioplasty Summary'!$R$55=3, X62, IF('Angioplasty Summary'!$R$55=2, V62, IF('Angioplasty Summary'!$R$55=1, T62)))</f>
        <v>0.18999999999999995</v>
      </c>
      <c r="AC62" s="85">
        <f>IF('Angioplasty Summary'!$R$55=3, Y62, IF('Angioplasty Summary'!$R$55=2, W62, IF('Angioplasty Summary'!$R$55=1, U62)))</f>
        <v>0</v>
      </c>
      <c r="AD62" t="s">
        <v>399</v>
      </c>
      <c r="AE62" t="e">
        <v>#VALUE!</v>
      </c>
      <c r="AF62" t="e">
        <v>#VALUE!</v>
      </c>
      <c r="AG62" t="e">
        <v>#VALUE!</v>
      </c>
      <c r="AH62" t="e">
        <f t="shared" si="0"/>
        <v>#VALUE!</v>
      </c>
      <c r="AI62" t="e">
        <f t="shared" si="1"/>
        <v>#VALUE!</v>
      </c>
      <c r="AJ62" t="e">
        <v>#VALUE!</v>
      </c>
      <c r="AK62" t="e">
        <v>#VALUE!</v>
      </c>
      <c r="AL62" t="e">
        <f t="shared" si="2"/>
        <v>#VALUE!</v>
      </c>
      <c r="AM62" t="e">
        <f t="shared" si="3"/>
        <v>#VALUE!</v>
      </c>
      <c r="AN62">
        <v>5</v>
      </c>
      <c r="AO62">
        <v>80</v>
      </c>
      <c r="AP62" s="91" t="str">
        <f>IF('Angioplasty Summary'!$R$4=2, AE62, IF('Angioplasty Summary'!$R$4=1, AD62))</f>
        <v>xx</v>
      </c>
      <c r="AQ62" s="91" t="e">
        <f>IF('Angioplasty Summary'!$R$4=2, AL62, IF('Angioplasty Summary'!$R$4=1, AH62))</f>
        <v>#VALUE!</v>
      </c>
      <c r="AR62" s="91" t="e">
        <f>IF('Angioplasty Summary'!$R$4=2, AM62, IF('Angioplasty Summary'!$R$4=1, AI62))</f>
        <v>#VALUE!</v>
      </c>
      <c r="AS62" s="91">
        <f>IF('Angioplasty Summary'!$R$4=2, AO62, IF('Angioplasty Summary'!$R$4=1, AN62))</f>
        <v>5</v>
      </c>
      <c r="AT62" t="s">
        <v>399</v>
      </c>
    </row>
    <row r="63" spans="1:46" x14ac:dyDescent="0.25">
      <c r="A63" s="18" t="s">
        <v>118</v>
      </c>
      <c r="B63" s="18" t="s">
        <v>622</v>
      </c>
      <c r="C63" s="80">
        <v>242</v>
      </c>
      <c r="D63" s="83">
        <v>1</v>
      </c>
      <c r="E63" s="83">
        <v>0.63</v>
      </c>
      <c r="F63" s="83">
        <v>0.95</v>
      </c>
      <c r="G63" s="83" t="s">
        <v>292</v>
      </c>
      <c r="H63" s="81">
        <v>1.2065458297729491E-2</v>
      </c>
      <c r="I63" s="84">
        <v>226</v>
      </c>
      <c r="J63" s="81">
        <v>0.10000000149011612</v>
      </c>
      <c r="K63" s="84">
        <v>30</v>
      </c>
      <c r="L63" s="84" t="s">
        <v>303</v>
      </c>
      <c r="M63" s="79" t="s">
        <v>118</v>
      </c>
      <c r="N63" s="83">
        <v>0.98</v>
      </c>
      <c r="O63" s="83">
        <v>1</v>
      </c>
      <c r="P63" s="83">
        <v>0.56000000000000005</v>
      </c>
      <c r="Q63" s="83">
        <v>0.7</v>
      </c>
      <c r="R63" s="83">
        <v>0.91</v>
      </c>
      <c r="S63" s="83">
        <v>0.97</v>
      </c>
      <c r="T63" s="85">
        <v>2.0000000000000018E-2</v>
      </c>
      <c r="U63" s="85">
        <v>0</v>
      </c>
      <c r="V63" s="85">
        <v>6.9999999999999951E-2</v>
      </c>
      <c r="W63" s="85">
        <v>6.9999999999999951E-2</v>
      </c>
      <c r="X63" s="85">
        <v>3.9999999999999925E-2</v>
      </c>
      <c r="Y63" s="85">
        <v>2.0000000000000018E-2</v>
      </c>
      <c r="Z63" s="86">
        <f>IF('Angioplasty Summary'!$R$55=3, RANK(F63,F$2:F$102,1)+COUNTIF($F$2:F63,F63)-1, IF('Angioplasty Summary'!$R$55=2, RANK(E63,E$2:E$102,1)+COUNTIF($E$2:E63,E63)-1, IF('Angioplasty Summary'!$R$55=1, RANK(D63,D$2:D$102,1)+COUNTIF($D$2:D63,D63)-1)))</f>
        <v>61</v>
      </c>
      <c r="AA63" s="85">
        <f>IF('Angioplasty Summary'!$R$55=3, F63, IF('Angioplasty Summary'!$R$55=2, E63, IF('Angioplasty Summary'!$R$55=1, D63)))</f>
        <v>1</v>
      </c>
      <c r="AB63" s="85">
        <f>IF('Angioplasty Summary'!$R$55=3, X63, IF('Angioplasty Summary'!$R$55=2, V63, IF('Angioplasty Summary'!$R$55=1, T63)))</f>
        <v>2.0000000000000018E-2</v>
      </c>
      <c r="AC63" s="85">
        <f>IF('Angioplasty Summary'!$R$55=3, Y63, IF('Angioplasty Summary'!$R$55=2, W63, IF('Angioplasty Summary'!$R$55=1, U63)))</f>
        <v>0</v>
      </c>
      <c r="AD63">
        <v>3</v>
      </c>
      <c r="AE63">
        <v>63</v>
      </c>
      <c r="AF63">
        <v>1</v>
      </c>
      <c r="AG63">
        <v>7</v>
      </c>
      <c r="AH63">
        <f t="shared" si="0"/>
        <v>2</v>
      </c>
      <c r="AI63">
        <f t="shared" si="1"/>
        <v>4</v>
      </c>
      <c r="AJ63">
        <v>41.999998688697815</v>
      </c>
      <c r="AK63">
        <v>81.000000238418579</v>
      </c>
      <c r="AL63">
        <f t="shared" si="2"/>
        <v>21.000001311302185</v>
      </c>
      <c r="AM63">
        <f t="shared" si="3"/>
        <v>18.000000238418579</v>
      </c>
      <c r="AN63">
        <v>5</v>
      </c>
      <c r="AO63">
        <v>80</v>
      </c>
      <c r="AP63" s="91">
        <f>IF('Angioplasty Summary'!$R$4=2, AE63, IF('Angioplasty Summary'!$R$4=1, AD63))</f>
        <v>3</v>
      </c>
      <c r="AQ63" s="91">
        <f>IF('Angioplasty Summary'!$R$4=2, AL63, IF('Angioplasty Summary'!$R$4=1, AH63))</f>
        <v>2</v>
      </c>
      <c r="AR63" s="91">
        <f>IF('Angioplasty Summary'!$R$4=2, AM63, IF('Angioplasty Summary'!$R$4=1, AI63))</f>
        <v>4</v>
      </c>
      <c r="AS63" s="91">
        <f>IF('Angioplasty Summary'!$R$4=2, AO63, IF('Angioplasty Summary'!$R$4=1, AN63))</f>
        <v>5</v>
      </c>
      <c r="AT63" s="124">
        <v>0.63</v>
      </c>
    </row>
    <row r="64" spans="1:46" x14ac:dyDescent="0.25">
      <c r="A64" s="18" t="s">
        <v>128</v>
      </c>
      <c r="B64" s="18" t="s">
        <v>129</v>
      </c>
      <c r="C64" s="80">
        <v>322</v>
      </c>
      <c r="D64" s="83">
        <v>1</v>
      </c>
      <c r="E64" s="83">
        <v>0.67</v>
      </c>
      <c r="F64" s="83">
        <v>0.9</v>
      </c>
      <c r="G64" s="83" t="s">
        <v>299</v>
      </c>
      <c r="H64" s="81">
        <v>2.9399271011352538E-2</v>
      </c>
      <c r="I64" s="84">
        <v>316</v>
      </c>
      <c r="J64" s="81">
        <v>2.9999999329447746E-2</v>
      </c>
      <c r="K64" s="84">
        <v>23</v>
      </c>
      <c r="L64" s="84" t="s">
        <v>231</v>
      </c>
      <c r="M64" s="79" t="s">
        <v>128</v>
      </c>
      <c r="N64" s="83">
        <v>0.99</v>
      </c>
      <c r="O64" s="83">
        <v>1</v>
      </c>
      <c r="P64" s="83">
        <v>0.61</v>
      </c>
      <c r="Q64" s="83">
        <v>0.73</v>
      </c>
      <c r="R64" s="83">
        <v>0.87</v>
      </c>
      <c r="S64" s="83">
        <v>0.93</v>
      </c>
      <c r="T64" s="85">
        <v>1.0000000000000009E-2</v>
      </c>
      <c r="U64" s="85">
        <v>0</v>
      </c>
      <c r="V64" s="85">
        <v>6.0000000000000053E-2</v>
      </c>
      <c r="W64" s="85">
        <v>5.9999999999999942E-2</v>
      </c>
      <c r="X64" s="85">
        <v>3.0000000000000027E-2</v>
      </c>
      <c r="Y64" s="85">
        <v>3.0000000000000027E-2</v>
      </c>
      <c r="Z64" s="86">
        <f>IF('Angioplasty Summary'!$R$55=3, RANK(F64,F$2:F$102,1)+COUNTIF($F$2:F64,F64)-1, IF('Angioplasty Summary'!$R$55=2, RANK(E64,E$2:E$102,1)+COUNTIF($E$2:E64,E64)-1, IF('Angioplasty Summary'!$R$55=1, RANK(D64,D$2:D$102,1)+COUNTIF($D$2:D64,D64)-1)))</f>
        <v>62</v>
      </c>
      <c r="AA64" s="85">
        <f>IF('Angioplasty Summary'!$R$55=3, F64, IF('Angioplasty Summary'!$R$55=2, E64, IF('Angioplasty Summary'!$R$55=1, D64)))</f>
        <v>1</v>
      </c>
      <c r="AB64" s="85">
        <f>IF('Angioplasty Summary'!$R$55=3, X64, IF('Angioplasty Summary'!$R$55=2, V64, IF('Angioplasty Summary'!$R$55=1, T64)))</f>
        <v>1.0000000000000009E-2</v>
      </c>
      <c r="AC64" s="85">
        <f>IF('Angioplasty Summary'!$R$55=3, Y64, IF('Angioplasty Summary'!$R$55=2, W64, IF('Angioplasty Summary'!$R$55=1, U64)))</f>
        <v>0</v>
      </c>
      <c r="AD64">
        <v>5</v>
      </c>
      <c r="AE64">
        <v>57</v>
      </c>
      <c r="AF64">
        <v>3</v>
      </c>
      <c r="AG64">
        <v>7</v>
      </c>
      <c r="AH64">
        <f t="shared" si="0"/>
        <v>2</v>
      </c>
      <c r="AI64">
        <f t="shared" si="1"/>
        <v>2</v>
      </c>
      <c r="AJ64">
        <v>34.000000357627869</v>
      </c>
      <c r="AK64">
        <v>76.999998092651367</v>
      </c>
      <c r="AL64">
        <f t="shared" si="2"/>
        <v>22.999999642372131</v>
      </c>
      <c r="AM64">
        <f t="shared" si="3"/>
        <v>19.999998092651367</v>
      </c>
      <c r="AN64">
        <v>5</v>
      </c>
      <c r="AO64">
        <v>80</v>
      </c>
      <c r="AP64" s="91">
        <f>IF('Angioplasty Summary'!$R$4=2, AE64, IF('Angioplasty Summary'!$R$4=1, AD64))</f>
        <v>5</v>
      </c>
      <c r="AQ64" s="91">
        <f>IF('Angioplasty Summary'!$R$4=2, AL64, IF('Angioplasty Summary'!$R$4=1, AH64))</f>
        <v>2</v>
      </c>
      <c r="AR64" s="91">
        <f>IF('Angioplasty Summary'!$R$4=2, AM64, IF('Angioplasty Summary'!$R$4=1, AI64))</f>
        <v>2</v>
      </c>
      <c r="AS64" s="91">
        <f>IF('Angioplasty Summary'!$R$4=2, AO64, IF('Angioplasty Summary'!$R$4=1, AN64))</f>
        <v>5</v>
      </c>
      <c r="AT64" s="124">
        <v>0.56999999999999995</v>
      </c>
    </row>
    <row r="65" spans="1:46" x14ac:dyDescent="0.25">
      <c r="A65" s="18" t="s">
        <v>62</v>
      </c>
      <c r="B65" s="18" t="s">
        <v>63</v>
      </c>
      <c r="C65" s="80">
        <v>0</v>
      </c>
      <c r="D65" s="83" t="s">
        <v>384</v>
      </c>
      <c r="E65" s="83" t="s">
        <v>384</v>
      </c>
      <c r="F65" s="83" t="s">
        <v>384</v>
      </c>
      <c r="G65" s="83" t="s">
        <v>384</v>
      </c>
      <c r="H65" s="81" t="s">
        <v>384</v>
      </c>
      <c r="I65" s="84" t="s">
        <v>384</v>
      </c>
      <c r="J65" s="81" t="s">
        <v>384</v>
      </c>
      <c r="K65" s="84" t="s">
        <v>384</v>
      </c>
      <c r="L65" s="84" t="s">
        <v>384</v>
      </c>
      <c r="M65" s="79" t="s">
        <v>62</v>
      </c>
      <c r="N65" s="83" t="e">
        <v>#VALUE!</v>
      </c>
      <c r="O65" s="83" t="e">
        <v>#VALUE!</v>
      </c>
      <c r="P65" s="83" t="e">
        <v>#VALUE!</v>
      </c>
      <c r="Q65" s="83" t="e">
        <v>#VALUE!</v>
      </c>
      <c r="R65" s="83" t="e">
        <v>#VALUE!</v>
      </c>
      <c r="S65" s="83" t="e">
        <v>#VALUE!</v>
      </c>
      <c r="T65" s="85" t="e">
        <v>#VALUE!</v>
      </c>
      <c r="U65" s="85" t="e">
        <v>#VALUE!</v>
      </c>
      <c r="V65" s="85" t="e">
        <v>#VALUE!</v>
      </c>
      <c r="W65" s="85" t="e">
        <v>#VALUE!</v>
      </c>
      <c r="X65" s="85" t="e">
        <v>#VALUE!</v>
      </c>
      <c r="Y65" s="85" t="e">
        <v>#VALUE!</v>
      </c>
      <c r="Z65" s="86" t="e">
        <f>IF('Angioplasty Summary'!$R$55=3, RANK(F65,F$2:F$102,1)+COUNTIF($F$2:F65,F65)-1, IF('Angioplasty Summary'!$R$55=2, RANK(E65,E$2:E$102,1)+COUNTIF($E$2:E65,E65)-1, IF('Angioplasty Summary'!$R$55=1, RANK(D65,D$2:D$102,1)+COUNTIF($D$2:D65,D65)-1)))</f>
        <v>#VALUE!</v>
      </c>
      <c r="AA65" s="85" t="str">
        <f>IF('Angioplasty Summary'!$R$55=3, F65, IF('Angioplasty Summary'!$R$55=2, E65, IF('Angioplasty Summary'!$R$55=1, D65)))</f>
        <v>N/A</v>
      </c>
      <c r="AB65" s="85" t="e">
        <f>IF('Angioplasty Summary'!$R$55=3, X65, IF('Angioplasty Summary'!$R$55=2, V65, IF('Angioplasty Summary'!$R$55=1, T65)))</f>
        <v>#VALUE!</v>
      </c>
      <c r="AC65" s="85" t="e">
        <f>IF('Angioplasty Summary'!$R$55=3, Y65, IF('Angioplasty Summary'!$R$55=2, W65, IF('Angioplasty Summary'!$R$55=1, U65)))</f>
        <v>#VALUE!</v>
      </c>
      <c r="AD65" t="s">
        <v>384</v>
      </c>
      <c r="AE65" t="e">
        <v>#VALUE!</v>
      </c>
      <c r="AF65" t="e">
        <v>#VALUE!</v>
      </c>
      <c r="AG65" t="e">
        <v>#VALUE!</v>
      </c>
      <c r="AH65" t="e">
        <f t="shared" si="0"/>
        <v>#VALUE!</v>
      </c>
      <c r="AI65" t="e">
        <f t="shared" si="1"/>
        <v>#VALUE!</v>
      </c>
      <c r="AJ65" t="e">
        <v>#VALUE!</v>
      </c>
      <c r="AK65" t="e">
        <v>#VALUE!</v>
      </c>
      <c r="AL65" t="e">
        <f t="shared" si="2"/>
        <v>#VALUE!</v>
      </c>
      <c r="AM65" t="e">
        <f t="shared" si="3"/>
        <v>#VALUE!</v>
      </c>
      <c r="AN65">
        <v>5</v>
      </c>
      <c r="AO65">
        <v>80</v>
      </c>
      <c r="AP65" s="91" t="str">
        <f>IF('Angioplasty Summary'!$R$4=2, AE65, IF('Angioplasty Summary'!$R$4=1, AD65))</f>
        <v>N/A</v>
      </c>
      <c r="AQ65" s="91" t="e">
        <f>IF('Angioplasty Summary'!$R$4=2, AL65, IF('Angioplasty Summary'!$R$4=1, AH65))</f>
        <v>#VALUE!</v>
      </c>
      <c r="AR65" s="91" t="e">
        <f>IF('Angioplasty Summary'!$R$4=2, AM65, IF('Angioplasty Summary'!$R$4=1, AI65))</f>
        <v>#VALUE!</v>
      </c>
      <c r="AS65" s="91">
        <f>IF('Angioplasty Summary'!$R$4=2, AO65, IF('Angioplasty Summary'!$R$4=1, AN65))</f>
        <v>5</v>
      </c>
      <c r="AT65" t="s">
        <v>399</v>
      </c>
    </row>
    <row r="66" spans="1:46" x14ac:dyDescent="0.25">
      <c r="A66" s="18" t="s">
        <v>101</v>
      </c>
      <c r="B66" s="18" t="s">
        <v>102</v>
      </c>
      <c r="C66" s="80">
        <v>8</v>
      </c>
      <c r="D66" s="83" t="s">
        <v>399</v>
      </c>
      <c r="E66" s="83" t="s">
        <v>399</v>
      </c>
      <c r="F66" s="83" t="s">
        <v>399</v>
      </c>
      <c r="G66" s="83" t="s">
        <v>399</v>
      </c>
      <c r="H66" s="81" t="s">
        <v>399</v>
      </c>
      <c r="I66" s="84" t="s">
        <v>399</v>
      </c>
      <c r="J66" s="81" t="s">
        <v>399</v>
      </c>
      <c r="K66" s="84" t="s">
        <v>399</v>
      </c>
      <c r="L66" s="84" t="s">
        <v>399</v>
      </c>
      <c r="M66" s="79" t="s">
        <v>101</v>
      </c>
      <c r="N66" s="83" t="e">
        <v>#VALUE!</v>
      </c>
      <c r="O66" s="83" t="e">
        <v>#VALUE!</v>
      </c>
      <c r="P66" s="83" t="e">
        <v>#VALUE!</v>
      </c>
      <c r="Q66" s="83" t="e">
        <v>#VALUE!</v>
      </c>
      <c r="R66" s="83" t="e">
        <v>#VALUE!</v>
      </c>
      <c r="S66" s="83" t="e">
        <v>#VALUE!</v>
      </c>
      <c r="T66" s="85" t="e">
        <v>#VALUE!</v>
      </c>
      <c r="U66" s="85" t="e">
        <v>#VALUE!</v>
      </c>
      <c r="V66" s="85" t="e">
        <v>#VALUE!</v>
      </c>
      <c r="W66" s="85" t="e">
        <v>#VALUE!</v>
      </c>
      <c r="X66" s="85" t="e">
        <v>#VALUE!</v>
      </c>
      <c r="Y66" s="85" t="e">
        <v>#VALUE!</v>
      </c>
      <c r="Z66" s="86" t="e">
        <f>IF('Angioplasty Summary'!$R$55=3, RANK(F66,F$2:F$102,1)+COUNTIF($F$2:F66,F66)-1, IF('Angioplasty Summary'!$R$55=2, RANK(E66,E$2:E$102,1)+COUNTIF($E$2:E66,E66)-1, IF('Angioplasty Summary'!$R$55=1, RANK(D66,D$2:D$102,1)+COUNTIF($D$2:D66,D66)-1)))</f>
        <v>#VALUE!</v>
      </c>
      <c r="AA66" s="85" t="str">
        <f>IF('Angioplasty Summary'!$R$55=3, F66, IF('Angioplasty Summary'!$R$55=2, E66, IF('Angioplasty Summary'!$R$55=1, D66)))</f>
        <v>xx</v>
      </c>
      <c r="AB66" s="85" t="e">
        <f>IF('Angioplasty Summary'!$R$55=3, X66, IF('Angioplasty Summary'!$R$55=2, V66, IF('Angioplasty Summary'!$R$55=1, T66)))</f>
        <v>#VALUE!</v>
      </c>
      <c r="AC66" s="85" t="e">
        <f>IF('Angioplasty Summary'!$R$55=3, Y66, IF('Angioplasty Summary'!$R$55=2, W66, IF('Angioplasty Summary'!$R$55=1, U66)))</f>
        <v>#VALUE!</v>
      </c>
      <c r="AD66" t="s">
        <v>399</v>
      </c>
      <c r="AE66" t="e">
        <v>#VALUE!</v>
      </c>
      <c r="AF66" t="e">
        <v>#VALUE!</v>
      </c>
      <c r="AG66" t="e">
        <v>#VALUE!</v>
      </c>
      <c r="AH66" t="e">
        <f t="shared" si="0"/>
        <v>#VALUE!</v>
      </c>
      <c r="AI66" t="e">
        <f t="shared" si="1"/>
        <v>#VALUE!</v>
      </c>
      <c r="AJ66" t="e">
        <v>#VALUE!</v>
      </c>
      <c r="AK66" t="e">
        <v>#VALUE!</v>
      </c>
      <c r="AL66" t="e">
        <f t="shared" si="2"/>
        <v>#VALUE!</v>
      </c>
      <c r="AM66" t="e">
        <f t="shared" si="3"/>
        <v>#VALUE!</v>
      </c>
      <c r="AN66">
        <v>5</v>
      </c>
      <c r="AO66">
        <v>80</v>
      </c>
      <c r="AP66" s="91" t="str">
        <f>IF('Angioplasty Summary'!$R$4=2, AE66, IF('Angioplasty Summary'!$R$4=1, AD66))</f>
        <v>xx</v>
      </c>
      <c r="AQ66" s="91" t="e">
        <f>IF('Angioplasty Summary'!$R$4=2, AL66, IF('Angioplasty Summary'!$R$4=1, AH66))</f>
        <v>#VALUE!</v>
      </c>
      <c r="AR66" s="91" t="e">
        <f>IF('Angioplasty Summary'!$R$4=2, AM66, IF('Angioplasty Summary'!$R$4=1, AI66))</f>
        <v>#VALUE!</v>
      </c>
      <c r="AS66" s="91">
        <f>IF('Angioplasty Summary'!$R$4=2, AO66, IF('Angioplasty Summary'!$R$4=1, AN66))</f>
        <v>5</v>
      </c>
      <c r="AT66" t="s">
        <v>399</v>
      </c>
    </row>
    <row r="67" spans="1:46" x14ac:dyDescent="0.25">
      <c r="A67" s="18" t="s">
        <v>64</v>
      </c>
      <c r="B67" s="18" t="s">
        <v>65</v>
      </c>
      <c r="C67" s="80">
        <v>497</v>
      </c>
      <c r="D67" s="83">
        <v>1</v>
      </c>
      <c r="E67" s="83">
        <v>0.77</v>
      </c>
      <c r="F67" s="83">
        <v>0.91</v>
      </c>
      <c r="G67" s="83" t="s">
        <v>290</v>
      </c>
      <c r="H67" s="81">
        <v>1.9538723230361939E-2</v>
      </c>
      <c r="I67" s="84">
        <v>486</v>
      </c>
      <c r="J67" s="81">
        <v>7.0000000298023224E-2</v>
      </c>
      <c r="K67" s="84">
        <v>11</v>
      </c>
      <c r="L67" s="84" t="s">
        <v>649</v>
      </c>
      <c r="M67" s="79" t="s">
        <v>64</v>
      </c>
      <c r="N67" s="83">
        <v>0.99</v>
      </c>
      <c r="O67" s="83">
        <v>1</v>
      </c>
      <c r="P67" s="83">
        <v>0.73</v>
      </c>
      <c r="Q67" s="83">
        <v>0.8</v>
      </c>
      <c r="R67" s="83">
        <v>0.88</v>
      </c>
      <c r="S67" s="83">
        <v>0.93</v>
      </c>
      <c r="T67" s="85">
        <v>1.0000000000000009E-2</v>
      </c>
      <c r="U67" s="85">
        <v>0</v>
      </c>
      <c r="V67" s="85">
        <v>4.0000000000000036E-2</v>
      </c>
      <c r="W67" s="85">
        <v>3.0000000000000027E-2</v>
      </c>
      <c r="X67" s="85">
        <v>3.0000000000000027E-2</v>
      </c>
      <c r="Y67" s="85">
        <v>2.0000000000000018E-2</v>
      </c>
      <c r="Z67" s="86">
        <f>IF('Angioplasty Summary'!$R$55=3, RANK(F67,F$2:F$102,1)+COUNTIF($F$2:F67,F67)-1, IF('Angioplasty Summary'!$R$55=2, RANK(E67,E$2:E$102,1)+COUNTIF($E$2:E67,E67)-1, IF('Angioplasty Summary'!$R$55=1, RANK(D67,D$2:D$102,1)+COUNTIF($D$2:D67,D67)-1)))</f>
        <v>63</v>
      </c>
      <c r="AA67" s="85">
        <f>IF('Angioplasty Summary'!$R$55=3, F67, IF('Angioplasty Summary'!$R$55=2, E67, IF('Angioplasty Summary'!$R$55=1, D67)))</f>
        <v>1</v>
      </c>
      <c r="AB67" s="85">
        <f>IF('Angioplasty Summary'!$R$55=3, X67, IF('Angioplasty Summary'!$R$55=2, V67, IF('Angioplasty Summary'!$R$55=1, T67)))</f>
        <v>1.0000000000000009E-2</v>
      </c>
      <c r="AC67" s="85">
        <f>IF('Angioplasty Summary'!$R$55=3, Y67, IF('Angioplasty Summary'!$R$55=2, W67, IF('Angioplasty Summary'!$R$55=1, U67)))</f>
        <v>0</v>
      </c>
      <c r="AD67">
        <v>4</v>
      </c>
      <c r="AE67">
        <v>50</v>
      </c>
      <c r="AF67">
        <v>0</v>
      </c>
      <c r="AG67">
        <v>11</v>
      </c>
      <c r="AH67">
        <f t="shared" ref="AH67:AH102" si="4">AD67-AF67</f>
        <v>4</v>
      </c>
      <c r="AI67">
        <f t="shared" ref="AI67:AI102" si="5">AG67-AD67</f>
        <v>7</v>
      </c>
      <c r="AJ67">
        <v>18.999999761581421</v>
      </c>
      <c r="AK67">
        <v>81.000000238418579</v>
      </c>
      <c r="AL67">
        <f t="shared" ref="AL67:AL102" si="6">AE67-AJ67</f>
        <v>31.000000238418579</v>
      </c>
      <c r="AM67">
        <f t="shared" ref="AM67:AM102" si="7">AK67-AE67</f>
        <v>31.000000238418579</v>
      </c>
      <c r="AN67">
        <v>5</v>
      </c>
      <c r="AO67">
        <v>80</v>
      </c>
      <c r="AP67" s="91">
        <f>IF('Angioplasty Summary'!$R$4=2, AE67, IF('Angioplasty Summary'!$R$4=1, AD67))</f>
        <v>4</v>
      </c>
      <c r="AQ67" s="91">
        <f>IF('Angioplasty Summary'!$R$4=2, AL67, IF('Angioplasty Summary'!$R$4=1, AH67))</f>
        <v>4</v>
      </c>
      <c r="AR67" s="91">
        <f>IF('Angioplasty Summary'!$R$4=2, AM67, IF('Angioplasty Summary'!$R$4=1, AI67))</f>
        <v>7</v>
      </c>
      <c r="AS67" s="91">
        <f>IF('Angioplasty Summary'!$R$4=2, AO67, IF('Angioplasty Summary'!$R$4=1, AN67))</f>
        <v>5</v>
      </c>
      <c r="AT67" s="124">
        <v>0.5</v>
      </c>
    </row>
    <row r="68" spans="1:46" x14ac:dyDescent="0.25">
      <c r="A68" s="18" t="s">
        <v>42</v>
      </c>
      <c r="B68" s="18" t="s">
        <v>43</v>
      </c>
      <c r="C68" s="80">
        <v>1</v>
      </c>
      <c r="D68" s="83" t="s">
        <v>399</v>
      </c>
      <c r="E68" s="83" t="s">
        <v>399</v>
      </c>
      <c r="F68" s="83" t="s">
        <v>399</v>
      </c>
      <c r="G68" s="83" t="s">
        <v>399</v>
      </c>
      <c r="H68" s="81" t="s">
        <v>399</v>
      </c>
      <c r="I68" s="84" t="s">
        <v>399</v>
      </c>
      <c r="J68" s="81" t="s">
        <v>399</v>
      </c>
      <c r="K68" s="84" t="s">
        <v>399</v>
      </c>
      <c r="L68" s="84" t="s">
        <v>399</v>
      </c>
      <c r="M68" s="79" t="s">
        <v>42</v>
      </c>
      <c r="N68" s="83" t="e">
        <v>#VALUE!</v>
      </c>
      <c r="O68" s="83" t="e">
        <v>#VALUE!</v>
      </c>
      <c r="P68" s="83" t="e">
        <v>#VALUE!</v>
      </c>
      <c r="Q68" s="83" t="e">
        <v>#VALUE!</v>
      </c>
      <c r="R68" s="83" t="e">
        <v>#VALUE!</v>
      </c>
      <c r="S68" s="83" t="e">
        <v>#VALUE!</v>
      </c>
      <c r="T68" s="85" t="e">
        <v>#VALUE!</v>
      </c>
      <c r="U68" s="85" t="e">
        <v>#VALUE!</v>
      </c>
      <c r="V68" s="85" t="e">
        <v>#VALUE!</v>
      </c>
      <c r="W68" s="85" t="e">
        <v>#VALUE!</v>
      </c>
      <c r="X68" s="85" t="e">
        <v>#VALUE!</v>
      </c>
      <c r="Y68" s="85" t="e">
        <v>#VALUE!</v>
      </c>
      <c r="Z68" s="86" t="e">
        <f>IF('Angioplasty Summary'!$R$55=3, RANK(F68,F$2:F$102,1)+COUNTIF($F$2:F68,F68)-1, IF('Angioplasty Summary'!$R$55=2, RANK(E68,E$2:E$102,1)+COUNTIF($E$2:E68,E68)-1, IF('Angioplasty Summary'!$R$55=1, RANK(D68,D$2:D$102,1)+COUNTIF($D$2:D68,D68)-1)))</f>
        <v>#VALUE!</v>
      </c>
      <c r="AA68" s="85" t="str">
        <f>IF('Angioplasty Summary'!$R$55=3, F68, IF('Angioplasty Summary'!$R$55=2, E68, IF('Angioplasty Summary'!$R$55=1, D68)))</f>
        <v>xx</v>
      </c>
      <c r="AB68" s="85" t="e">
        <f>IF('Angioplasty Summary'!$R$55=3, X68, IF('Angioplasty Summary'!$R$55=2, V68, IF('Angioplasty Summary'!$R$55=1, T68)))</f>
        <v>#VALUE!</v>
      </c>
      <c r="AC68" s="85" t="e">
        <f>IF('Angioplasty Summary'!$R$55=3, Y68, IF('Angioplasty Summary'!$R$55=2, W68, IF('Angioplasty Summary'!$R$55=1, U68)))</f>
        <v>#VALUE!</v>
      </c>
      <c r="AD68" t="s">
        <v>399</v>
      </c>
      <c r="AE68" t="e">
        <v>#VALUE!</v>
      </c>
      <c r="AF68" t="e">
        <v>#VALUE!</v>
      </c>
      <c r="AG68" t="e">
        <v>#VALUE!</v>
      </c>
      <c r="AH68" t="e">
        <f t="shared" si="4"/>
        <v>#VALUE!</v>
      </c>
      <c r="AI68" t="e">
        <f t="shared" si="5"/>
        <v>#VALUE!</v>
      </c>
      <c r="AJ68" t="e">
        <v>#VALUE!</v>
      </c>
      <c r="AK68" t="e">
        <v>#VALUE!</v>
      </c>
      <c r="AL68" t="e">
        <f t="shared" si="6"/>
        <v>#VALUE!</v>
      </c>
      <c r="AM68" t="e">
        <f t="shared" si="7"/>
        <v>#VALUE!</v>
      </c>
      <c r="AN68">
        <v>5</v>
      </c>
      <c r="AO68">
        <v>80</v>
      </c>
      <c r="AP68" s="91" t="str">
        <f>IF('Angioplasty Summary'!$R$4=2, AE68, IF('Angioplasty Summary'!$R$4=1, AD68))</f>
        <v>xx</v>
      </c>
      <c r="AQ68" s="91" t="e">
        <f>IF('Angioplasty Summary'!$R$4=2, AL68, IF('Angioplasty Summary'!$R$4=1, AH68))</f>
        <v>#VALUE!</v>
      </c>
      <c r="AR68" s="91" t="e">
        <f>IF('Angioplasty Summary'!$R$4=2, AM68, IF('Angioplasty Summary'!$R$4=1, AI68))</f>
        <v>#VALUE!</v>
      </c>
      <c r="AS68" s="91">
        <f>IF('Angioplasty Summary'!$R$4=2, AO68, IF('Angioplasty Summary'!$R$4=1, AN68))</f>
        <v>5</v>
      </c>
      <c r="AT68" t="s">
        <v>399</v>
      </c>
    </row>
    <row r="69" spans="1:46" x14ac:dyDescent="0.25">
      <c r="A69" s="18" t="s">
        <v>111</v>
      </c>
      <c r="B69" s="18" t="s">
        <v>112</v>
      </c>
      <c r="C69" s="80">
        <v>42</v>
      </c>
      <c r="D69" s="83">
        <v>0.95</v>
      </c>
      <c r="E69" s="83">
        <v>0.03</v>
      </c>
      <c r="F69" s="83">
        <v>0.95</v>
      </c>
      <c r="G69" s="83" t="s">
        <v>236</v>
      </c>
      <c r="H69" s="81">
        <v>0.10597196578979493</v>
      </c>
      <c r="I69" s="84" t="s">
        <v>398</v>
      </c>
      <c r="J69" s="81" t="s">
        <v>399</v>
      </c>
      <c r="K69" s="84" t="s">
        <v>633</v>
      </c>
      <c r="L69" s="84" t="s">
        <v>399</v>
      </c>
      <c r="M69" s="79" t="s">
        <v>111</v>
      </c>
      <c r="N69" s="83">
        <v>0.84</v>
      </c>
      <c r="O69" s="83">
        <v>0.99</v>
      </c>
      <c r="P69" s="83">
        <v>0</v>
      </c>
      <c r="Q69" s="83">
        <v>0.13</v>
      </c>
      <c r="R69" s="83">
        <v>0.83</v>
      </c>
      <c r="S69" s="83">
        <v>0.99</v>
      </c>
      <c r="T69" s="85">
        <v>0.10999999999999999</v>
      </c>
      <c r="U69" s="85">
        <v>4.0000000000000036E-2</v>
      </c>
      <c r="V69" s="85">
        <v>0.03</v>
      </c>
      <c r="W69" s="85">
        <v>0.1</v>
      </c>
      <c r="X69" s="85">
        <v>0.12</v>
      </c>
      <c r="Y69" s="85">
        <v>4.0000000000000036E-2</v>
      </c>
      <c r="Z69" s="86">
        <f>IF('Angioplasty Summary'!$R$55=3, RANK(F69,F$2:F$102,1)+COUNTIF($F$2:F69,F69)-1, IF('Angioplasty Summary'!$R$55=2, RANK(E69,E$2:E$102,1)+COUNTIF($E$2:E69,E69)-1, IF('Angioplasty Summary'!$R$55=1, RANK(D69,D$2:D$102,1)+COUNTIF($D$2:D69,D69)-1)))</f>
        <v>11</v>
      </c>
      <c r="AA69" s="85">
        <f>IF('Angioplasty Summary'!$R$55=3, F69, IF('Angioplasty Summary'!$R$55=2, E69, IF('Angioplasty Summary'!$R$55=1, D69)))</f>
        <v>0.95</v>
      </c>
      <c r="AB69" s="85">
        <f>IF('Angioplasty Summary'!$R$55=3, X69, IF('Angioplasty Summary'!$R$55=2, V69, IF('Angioplasty Summary'!$R$55=1, T69)))</f>
        <v>0.10999999999999999</v>
      </c>
      <c r="AC69" s="85">
        <f>IF('Angioplasty Summary'!$R$55=3, Y69, IF('Angioplasty Summary'!$R$55=2, W69, IF('Angioplasty Summary'!$R$55=1, U69)))</f>
        <v>4.0000000000000036E-2</v>
      </c>
      <c r="AD69" t="s">
        <v>399</v>
      </c>
      <c r="AE69" t="e">
        <v>#VALUE!</v>
      </c>
      <c r="AF69" t="e">
        <v>#VALUE!</v>
      </c>
      <c r="AG69" t="e">
        <v>#VALUE!</v>
      </c>
      <c r="AH69" t="e">
        <f t="shared" si="4"/>
        <v>#VALUE!</v>
      </c>
      <c r="AI69" t="e">
        <f t="shared" si="5"/>
        <v>#VALUE!</v>
      </c>
      <c r="AJ69" t="e">
        <v>#VALUE!</v>
      </c>
      <c r="AK69" t="e">
        <v>#VALUE!</v>
      </c>
      <c r="AL69" t="e">
        <f t="shared" si="6"/>
        <v>#VALUE!</v>
      </c>
      <c r="AM69" t="e">
        <f t="shared" si="7"/>
        <v>#VALUE!</v>
      </c>
      <c r="AN69">
        <v>5</v>
      </c>
      <c r="AO69">
        <v>80</v>
      </c>
      <c r="AP69" s="91" t="str">
        <f>IF('Angioplasty Summary'!$R$4=2, AE69, IF('Angioplasty Summary'!$R$4=1, AD69))</f>
        <v>xx</v>
      </c>
      <c r="AQ69" s="91" t="e">
        <f>IF('Angioplasty Summary'!$R$4=2, AL69, IF('Angioplasty Summary'!$R$4=1, AH69))</f>
        <v>#VALUE!</v>
      </c>
      <c r="AR69" s="91" t="e">
        <f>IF('Angioplasty Summary'!$R$4=2, AM69, IF('Angioplasty Summary'!$R$4=1, AI69))</f>
        <v>#VALUE!</v>
      </c>
      <c r="AS69" s="91">
        <f>IF('Angioplasty Summary'!$R$4=2, AO69, IF('Angioplasty Summary'!$R$4=1, AN69))</f>
        <v>5</v>
      </c>
      <c r="AT69" t="s">
        <v>399</v>
      </c>
    </row>
    <row r="70" spans="1:46" x14ac:dyDescent="0.25">
      <c r="A70" s="18" t="s">
        <v>44</v>
      </c>
      <c r="B70" s="18" t="s">
        <v>45</v>
      </c>
      <c r="C70" s="80">
        <v>4</v>
      </c>
      <c r="D70" s="83" t="s">
        <v>399</v>
      </c>
      <c r="E70" s="83" t="s">
        <v>399</v>
      </c>
      <c r="F70" s="83" t="s">
        <v>399</v>
      </c>
      <c r="G70" s="83" t="s">
        <v>399</v>
      </c>
      <c r="H70" s="81" t="s">
        <v>399</v>
      </c>
      <c r="I70" s="84" t="s">
        <v>399</v>
      </c>
      <c r="J70" s="81" t="s">
        <v>399</v>
      </c>
      <c r="K70" s="84" t="s">
        <v>399</v>
      </c>
      <c r="L70" s="84" t="s">
        <v>399</v>
      </c>
      <c r="M70" s="79" t="s">
        <v>44</v>
      </c>
      <c r="N70" s="83" t="e">
        <v>#VALUE!</v>
      </c>
      <c r="O70" s="83" t="e">
        <v>#VALUE!</v>
      </c>
      <c r="P70" s="83" t="e">
        <v>#VALUE!</v>
      </c>
      <c r="Q70" s="83" t="e">
        <v>#VALUE!</v>
      </c>
      <c r="R70" s="83" t="e">
        <v>#VALUE!</v>
      </c>
      <c r="S70" s="83" t="e">
        <v>#VALUE!</v>
      </c>
      <c r="T70" s="85" t="e">
        <v>#VALUE!</v>
      </c>
      <c r="U70" s="85" t="e">
        <v>#VALUE!</v>
      </c>
      <c r="V70" s="85" t="e">
        <v>#VALUE!</v>
      </c>
      <c r="W70" s="85" t="e">
        <v>#VALUE!</v>
      </c>
      <c r="X70" s="85" t="e">
        <v>#VALUE!</v>
      </c>
      <c r="Y70" s="85" t="e">
        <v>#VALUE!</v>
      </c>
      <c r="Z70" s="86" t="e">
        <f>IF('Angioplasty Summary'!$R$55=3, RANK(F70,F$2:F$102,1)+COUNTIF($F$2:F70,F70)-1, IF('Angioplasty Summary'!$R$55=2, RANK(E70,E$2:E$102,1)+COUNTIF($E$2:E70,E70)-1, IF('Angioplasty Summary'!$R$55=1, RANK(D70,D$2:D$102,1)+COUNTIF($D$2:D70,D70)-1)))</f>
        <v>#VALUE!</v>
      </c>
      <c r="AA70" s="85" t="str">
        <f>IF('Angioplasty Summary'!$R$55=3, F70, IF('Angioplasty Summary'!$R$55=2, E70, IF('Angioplasty Summary'!$R$55=1, D70)))</f>
        <v>xx</v>
      </c>
      <c r="AB70" s="85" t="e">
        <f>IF('Angioplasty Summary'!$R$55=3, X70, IF('Angioplasty Summary'!$R$55=2, V70, IF('Angioplasty Summary'!$R$55=1, T70)))</f>
        <v>#VALUE!</v>
      </c>
      <c r="AC70" s="85" t="e">
        <f>IF('Angioplasty Summary'!$R$55=3, Y70, IF('Angioplasty Summary'!$R$55=2, W70, IF('Angioplasty Summary'!$R$55=1, U70)))</f>
        <v>#VALUE!</v>
      </c>
      <c r="AD70" t="s">
        <v>399</v>
      </c>
      <c r="AE70" t="e">
        <v>#VALUE!</v>
      </c>
      <c r="AF70" t="e">
        <v>#VALUE!</v>
      </c>
      <c r="AG70" t="e">
        <v>#VALUE!</v>
      </c>
      <c r="AH70" t="e">
        <f t="shared" si="4"/>
        <v>#VALUE!</v>
      </c>
      <c r="AI70" t="e">
        <f t="shared" si="5"/>
        <v>#VALUE!</v>
      </c>
      <c r="AJ70" t="e">
        <v>#VALUE!</v>
      </c>
      <c r="AK70" t="e">
        <v>#VALUE!</v>
      </c>
      <c r="AL70" t="e">
        <f t="shared" si="6"/>
        <v>#VALUE!</v>
      </c>
      <c r="AM70" t="e">
        <f t="shared" si="7"/>
        <v>#VALUE!</v>
      </c>
      <c r="AN70">
        <v>5</v>
      </c>
      <c r="AO70">
        <v>80</v>
      </c>
      <c r="AP70" s="91" t="str">
        <f>IF('Angioplasty Summary'!$R$4=2, AE70, IF('Angioplasty Summary'!$R$4=1, AD70))</f>
        <v>xx</v>
      </c>
      <c r="AQ70" s="91" t="e">
        <f>IF('Angioplasty Summary'!$R$4=2, AL70, IF('Angioplasty Summary'!$R$4=1, AH70))</f>
        <v>#VALUE!</v>
      </c>
      <c r="AR70" s="91" t="e">
        <f>IF('Angioplasty Summary'!$R$4=2, AM70, IF('Angioplasty Summary'!$R$4=1, AI70))</f>
        <v>#VALUE!</v>
      </c>
      <c r="AS70" s="91">
        <f>IF('Angioplasty Summary'!$R$4=2, AO70, IF('Angioplasty Summary'!$R$4=1, AN70))</f>
        <v>5</v>
      </c>
      <c r="AT70" t="s">
        <v>399</v>
      </c>
    </row>
    <row r="71" spans="1:46" x14ac:dyDescent="0.25">
      <c r="A71" s="18" t="s">
        <v>56</v>
      </c>
      <c r="B71" s="18" t="s">
        <v>57</v>
      </c>
      <c r="C71" s="80">
        <v>177</v>
      </c>
      <c r="D71" s="83">
        <v>0.99</v>
      </c>
      <c r="E71" s="83">
        <v>0.55000000000000004</v>
      </c>
      <c r="F71" s="83">
        <v>0.94</v>
      </c>
      <c r="G71" s="83" t="s">
        <v>298</v>
      </c>
      <c r="H71" s="81">
        <v>1.1145167350769043E-2</v>
      </c>
      <c r="I71" s="84">
        <v>173</v>
      </c>
      <c r="J71" s="81">
        <v>0.12999999523162842</v>
      </c>
      <c r="K71" s="84">
        <v>17</v>
      </c>
      <c r="L71" s="84" t="s">
        <v>310</v>
      </c>
      <c r="M71" s="79" t="s">
        <v>56</v>
      </c>
      <c r="N71" s="83">
        <v>0.97</v>
      </c>
      <c r="O71" s="83">
        <v>1</v>
      </c>
      <c r="P71" s="83">
        <v>0.46</v>
      </c>
      <c r="Q71" s="83">
        <v>0.63</v>
      </c>
      <c r="R71" s="83">
        <v>0.9</v>
      </c>
      <c r="S71" s="83">
        <v>0.97</v>
      </c>
      <c r="T71" s="85">
        <v>2.0000000000000018E-2</v>
      </c>
      <c r="U71" s="85">
        <v>1.0000000000000009E-2</v>
      </c>
      <c r="V71" s="85">
        <v>9.0000000000000024E-2</v>
      </c>
      <c r="W71" s="85">
        <v>7.999999999999996E-2</v>
      </c>
      <c r="X71" s="85">
        <v>3.9999999999999925E-2</v>
      </c>
      <c r="Y71" s="85">
        <v>3.0000000000000027E-2</v>
      </c>
      <c r="Z71" s="86">
        <f>IF('Angioplasty Summary'!$R$55=3, RANK(F71,F$2:F$102,1)+COUNTIF($F$2:F71,F71)-1, IF('Angioplasty Summary'!$R$55=2, RANK(E71,E$2:E$102,1)+COUNTIF($E$2:E71,E71)-1, IF('Angioplasty Summary'!$R$55=1, RANK(D71,D$2:D$102,1)+COUNTIF($D$2:D71,D71)-1)))</f>
        <v>42</v>
      </c>
      <c r="AA71" s="85">
        <f>IF('Angioplasty Summary'!$R$55=3, F71, IF('Angioplasty Summary'!$R$55=2, E71, IF('Angioplasty Summary'!$R$55=1, D71)))</f>
        <v>0.99</v>
      </c>
      <c r="AB71" s="85">
        <f>IF('Angioplasty Summary'!$R$55=3, X71, IF('Angioplasty Summary'!$R$55=2, V71, IF('Angioplasty Summary'!$R$55=1, T71)))</f>
        <v>2.0000000000000018E-2</v>
      </c>
      <c r="AC71" s="85">
        <f>IF('Angioplasty Summary'!$R$55=3, Y71, IF('Angioplasty Summary'!$R$55=2, W71, IF('Angioplasty Summary'!$R$55=1, U71)))</f>
        <v>1.0000000000000009E-2</v>
      </c>
      <c r="AD71">
        <v>5</v>
      </c>
      <c r="AE71">
        <v>53</v>
      </c>
      <c r="AF71">
        <v>2</v>
      </c>
      <c r="AG71">
        <v>7</v>
      </c>
      <c r="AH71">
        <f t="shared" si="4"/>
        <v>3</v>
      </c>
      <c r="AI71">
        <f t="shared" si="5"/>
        <v>2</v>
      </c>
      <c r="AJ71">
        <v>28.00000011920929</v>
      </c>
      <c r="AK71">
        <v>76.999998092651367</v>
      </c>
      <c r="AL71">
        <f t="shared" si="6"/>
        <v>24.99999988079071</v>
      </c>
      <c r="AM71">
        <f t="shared" si="7"/>
        <v>23.999998092651367</v>
      </c>
      <c r="AN71">
        <v>5</v>
      </c>
      <c r="AO71">
        <v>80</v>
      </c>
      <c r="AP71" s="91">
        <f>IF('Angioplasty Summary'!$R$4=2, AE71, IF('Angioplasty Summary'!$R$4=1, AD71))</f>
        <v>5</v>
      </c>
      <c r="AQ71" s="91">
        <f>IF('Angioplasty Summary'!$R$4=2, AL71, IF('Angioplasty Summary'!$R$4=1, AH71))</f>
        <v>3</v>
      </c>
      <c r="AR71" s="91">
        <f>IF('Angioplasty Summary'!$R$4=2, AM71, IF('Angioplasty Summary'!$R$4=1, AI71))</f>
        <v>2</v>
      </c>
      <c r="AS71" s="91">
        <f>IF('Angioplasty Summary'!$R$4=2, AO71, IF('Angioplasty Summary'!$R$4=1, AN71))</f>
        <v>5</v>
      </c>
      <c r="AT71" s="124">
        <v>0.53</v>
      </c>
    </row>
    <row r="72" spans="1:46" x14ac:dyDescent="0.25">
      <c r="A72" s="18" t="s">
        <v>23</v>
      </c>
      <c r="B72" s="18" t="s">
        <v>24</v>
      </c>
      <c r="C72" s="80">
        <v>299</v>
      </c>
      <c r="D72" s="83">
        <v>0.97</v>
      </c>
      <c r="E72" s="83">
        <v>0.16</v>
      </c>
      <c r="F72" s="83">
        <v>0.8</v>
      </c>
      <c r="G72" s="83" t="s">
        <v>650</v>
      </c>
      <c r="H72" s="81">
        <v>1.8141597509384155E-2</v>
      </c>
      <c r="I72" s="84">
        <v>203</v>
      </c>
      <c r="J72" s="81">
        <v>7.0000000298023224E-2</v>
      </c>
      <c r="K72" s="84">
        <v>67</v>
      </c>
      <c r="L72" s="84" t="s">
        <v>1142</v>
      </c>
      <c r="M72" s="79" t="s">
        <v>23</v>
      </c>
      <c r="N72" s="83">
        <v>0.94</v>
      </c>
      <c r="O72" s="83">
        <v>0.98</v>
      </c>
      <c r="P72" s="83">
        <v>0.11</v>
      </c>
      <c r="Q72" s="83">
        <v>0.22</v>
      </c>
      <c r="R72" s="83">
        <v>0.75</v>
      </c>
      <c r="S72" s="83">
        <v>0.84</v>
      </c>
      <c r="T72" s="85">
        <v>3.0000000000000027E-2</v>
      </c>
      <c r="U72" s="85">
        <v>1.0000000000000009E-2</v>
      </c>
      <c r="V72" s="85">
        <v>0.05</v>
      </c>
      <c r="W72" s="85">
        <v>0.06</v>
      </c>
      <c r="X72" s="85">
        <v>5.0000000000000044E-2</v>
      </c>
      <c r="Y72" s="85">
        <v>3.9999999999999925E-2</v>
      </c>
      <c r="Z72" s="86">
        <f>IF('Angioplasty Summary'!$R$55=3, RANK(F72,F$2:F$102,1)+COUNTIF($F$2:F72,F72)-1, IF('Angioplasty Summary'!$R$55=2, RANK(E72,E$2:E$102,1)+COUNTIF($E$2:E72,E72)-1, IF('Angioplasty Summary'!$R$55=1, RANK(D72,D$2:D$102,1)+COUNTIF($D$2:D72,D72)-1)))</f>
        <v>26</v>
      </c>
      <c r="AA72" s="85">
        <f>IF('Angioplasty Summary'!$R$55=3, F72, IF('Angioplasty Summary'!$R$55=2, E72, IF('Angioplasty Summary'!$R$55=1, D72)))</f>
        <v>0.97</v>
      </c>
      <c r="AB72" s="85">
        <f>IF('Angioplasty Summary'!$R$55=3, X72, IF('Angioplasty Summary'!$R$55=2, V72, IF('Angioplasty Summary'!$R$55=1, T72)))</f>
        <v>3.0000000000000027E-2</v>
      </c>
      <c r="AC72" s="85">
        <f>IF('Angioplasty Summary'!$R$55=3, Y72, IF('Angioplasty Summary'!$R$55=2, W72, IF('Angioplasty Summary'!$R$55=1, U72)))</f>
        <v>1.0000000000000009E-2</v>
      </c>
      <c r="AD72" s="25">
        <v>7</v>
      </c>
      <c r="AE72">
        <v>41</v>
      </c>
      <c r="AF72">
        <v>2</v>
      </c>
      <c r="AG72">
        <v>12</v>
      </c>
      <c r="AH72">
        <f t="shared" si="4"/>
        <v>5</v>
      </c>
      <c r="AI72">
        <f t="shared" si="5"/>
        <v>5</v>
      </c>
      <c r="AJ72">
        <v>28.999999165534973</v>
      </c>
      <c r="AK72">
        <v>54.000002145767212</v>
      </c>
      <c r="AL72">
        <f t="shared" si="6"/>
        <v>12.000000834465027</v>
      </c>
      <c r="AM72">
        <f t="shared" si="7"/>
        <v>13.000002145767212</v>
      </c>
      <c r="AN72">
        <v>5</v>
      </c>
      <c r="AO72">
        <v>80</v>
      </c>
      <c r="AP72" s="91">
        <f>IF('Angioplasty Summary'!$R$4=2, AE72, IF('Angioplasty Summary'!$R$4=1, AD72))</f>
        <v>7</v>
      </c>
      <c r="AQ72" s="91">
        <f>IF('Angioplasty Summary'!$R$4=2, AL72, IF('Angioplasty Summary'!$R$4=1, AH72))</f>
        <v>5</v>
      </c>
      <c r="AR72" s="91">
        <f>IF('Angioplasty Summary'!$R$4=2, AM72, IF('Angioplasty Summary'!$R$4=1, AI72))</f>
        <v>5</v>
      </c>
      <c r="AS72" s="91">
        <f>IF('Angioplasty Summary'!$R$4=2, AO72, IF('Angioplasty Summary'!$R$4=1, AN72))</f>
        <v>5</v>
      </c>
      <c r="AT72" s="124">
        <v>0.41</v>
      </c>
    </row>
    <row r="73" spans="1:46" x14ac:dyDescent="0.25">
      <c r="A73" s="18" t="s">
        <v>623</v>
      </c>
      <c r="B73" s="18" t="s">
        <v>624</v>
      </c>
      <c r="C73" s="80">
        <v>7</v>
      </c>
      <c r="D73" s="83" t="s">
        <v>399</v>
      </c>
      <c r="E73" s="83" t="s">
        <v>399</v>
      </c>
      <c r="F73" s="83" t="s">
        <v>399</v>
      </c>
      <c r="G73" s="83" t="s">
        <v>399</v>
      </c>
      <c r="H73" s="81" t="s">
        <v>399</v>
      </c>
      <c r="I73" s="84" t="s">
        <v>399</v>
      </c>
      <c r="J73" s="81" t="s">
        <v>399</v>
      </c>
      <c r="K73" s="84" t="s">
        <v>399</v>
      </c>
      <c r="L73" s="84" t="s">
        <v>399</v>
      </c>
      <c r="M73" s="79" t="s">
        <v>623</v>
      </c>
      <c r="N73" s="83" t="e">
        <v>#VALUE!</v>
      </c>
      <c r="O73" s="83" t="e">
        <v>#VALUE!</v>
      </c>
      <c r="P73" s="83" t="e">
        <v>#VALUE!</v>
      </c>
      <c r="Q73" s="83" t="e">
        <v>#VALUE!</v>
      </c>
      <c r="R73" s="83" t="e">
        <v>#VALUE!</v>
      </c>
      <c r="S73" s="83" t="e">
        <v>#VALUE!</v>
      </c>
      <c r="T73" s="85" t="e">
        <v>#VALUE!</v>
      </c>
      <c r="U73" s="85" t="e">
        <v>#VALUE!</v>
      </c>
      <c r="V73" s="85" t="e">
        <v>#VALUE!</v>
      </c>
      <c r="W73" s="85" t="e">
        <v>#VALUE!</v>
      </c>
      <c r="X73" s="85" t="e">
        <v>#VALUE!</v>
      </c>
      <c r="Y73" s="85" t="e">
        <v>#VALUE!</v>
      </c>
      <c r="Z73" s="86" t="e">
        <f>IF('Angioplasty Summary'!$R$55=3, RANK(F73,F$2:F$102,1)+COUNTIF($F$2:F73,F73)-1, IF('Angioplasty Summary'!$R$55=2, RANK(E73,E$2:E$102,1)+COUNTIF($E$2:E73,E73)-1, IF('Angioplasty Summary'!$R$55=1, RANK(D73,D$2:D$102,1)+COUNTIF($D$2:D73,D73)-1)))</f>
        <v>#VALUE!</v>
      </c>
      <c r="AA73" s="85" t="str">
        <f>IF('Angioplasty Summary'!$R$55=3, F73, IF('Angioplasty Summary'!$R$55=2, E73, IF('Angioplasty Summary'!$R$55=1, D73)))</f>
        <v>xx</v>
      </c>
      <c r="AB73" s="85" t="e">
        <f>IF('Angioplasty Summary'!$R$55=3, X73, IF('Angioplasty Summary'!$R$55=2, V73, IF('Angioplasty Summary'!$R$55=1, T73)))</f>
        <v>#VALUE!</v>
      </c>
      <c r="AC73" s="85" t="e">
        <f>IF('Angioplasty Summary'!$R$55=3, Y73, IF('Angioplasty Summary'!$R$55=2, W73, IF('Angioplasty Summary'!$R$55=1, U73)))</f>
        <v>#VALUE!</v>
      </c>
      <c r="AD73" t="s">
        <v>399</v>
      </c>
      <c r="AE73" t="e">
        <v>#VALUE!</v>
      </c>
      <c r="AF73" t="e">
        <v>#VALUE!</v>
      </c>
      <c r="AG73" t="e">
        <v>#VALUE!</v>
      </c>
      <c r="AH73" t="e">
        <f t="shared" si="4"/>
        <v>#VALUE!</v>
      </c>
      <c r="AI73" t="e">
        <f t="shared" si="5"/>
        <v>#VALUE!</v>
      </c>
      <c r="AJ73" t="e">
        <v>#VALUE!</v>
      </c>
      <c r="AK73" t="e">
        <v>#VALUE!</v>
      </c>
      <c r="AL73" t="e">
        <f t="shared" si="6"/>
        <v>#VALUE!</v>
      </c>
      <c r="AM73" t="e">
        <f t="shared" si="7"/>
        <v>#VALUE!</v>
      </c>
      <c r="AN73">
        <v>5</v>
      </c>
      <c r="AO73">
        <v>80</v>
      </c>
      <c r="AP73" s="91" t="str">
        <f>IF('Angioplasty Summary'!$R$4=2, AE73, IF('Angioplasty Summary'!$R$4=1, AD73))</f>
        <v>xx</v>
      </c>
      <c r="AQ73" s="91" t="e">
        <f>IF('Angioplasty Summary'!$R$4=2, AL73, IF('Angioplasty Summary'!$R$4=1, AH73))</f>
        <v>#VALUE!</v>
      </c>
      <c r="AR73" s="91" t="e">
        <f>IF('Angioplasty Summary'!$R$4=2, AM73, IF('Angioplasty Summary'!$R$4=1, AI73))</f>
        <v>#VALUE!</v>
      </c>
      <c r="AS73" s="91">
        <f>IF('Angioplasty Summary'!$R$4=2, AO73, IF('Angioplasty Summary'!$R$4=1, AN73))</f>
        <v>5</v>
      </c>
      <c r="AT73" t="s">
        <v>399</v>
      </c>
    </row>
    <row r="74" spans="1:46" x14ac:dyDescent="0.25">
      <c r="A74" s="18" t="s">
        <v>79</v>
      </c>
      <c r="B74" s="18" t="s">
        <v>80</v>
      </c>
      <c r="C74" s="80">
        <v>168</v>
      </c>
      <c r="D74" s="83">
        <v>1</v>
      </c>
      <c r="E74" s="83">
        <v>0.99</v>
      </c>
      <c r="F74" s="83">
        <v>0.92</v>
      </c>
      <c r="G74" s="83" t="s">
        <v>290</v>
      </c>
      <c r="H74" s="81">
        <v>1.0416437387466431E-2</v>
      </c>
      <c r="I74" s="84">
        <v>109</v>
      </c>
      <c r="J74" s="81">
        <v>9.9999997764825821E-3</v>
      </c>
      <c r="K74" s="84">
        <v>19</v>
      </c>
      <c r="L74" s="84" t="s">
        <v>651</v>
      </c>
      <c r="M74" s="79" t="s">
        <v>79</v>
      </c>
      <c r="N74" s="83">
        <v>0.98</v>
      </c>
      <c r="O74" s="83">
        <v>1</v>
      </c>
      <c r="P74" s="83">
        <v>0.95</v>
      </c>
      <c r="Q74" s="83">
        <v>1</v>
      </c>
      <c r="R74" s="83">
        <v>0.86</v>
      </c>
      <c r="S74" s="83">
        <v>0.95</v>
      </c>
      <c r="T74" s="85">
        <v>2.0000000000000018E-2</v>
      </c>
      <c r="U74" s="85">
        <v>0</v>
      </c>
      <c r="V74" s="85">
        <v>4.0000000000000036E-2</v>
      </c>
      <c r="W74" s="85">
        <v>1.0000000000000009E-2</v>
      </c>
      <c r="X74" s="85">
        <v>6.0000000000000053E-2</v>
      </c>
      <c r="Y74" s="85">
        <v>2.9999999999999916E-2</v>
      </c>
      <c r="Z74" s="86">
        <f>IF('Angioplasty Summary'!$R$55=3, RANK(F74,F$2:F$102,1)+COUNTIF($F$2:F74,F74)-1, IF('Angioplasty Summary'!$R$55=2, RANK(E74,E$2:E$102,1)+COUNTIF($E$2:E74,E74)-1, IF('Angioplasty Summary'!$R$55=1, RANK(D74,D$2:D$102,1)+COUNTIF($D$2:D74,D74)-1)))</f>
        <v>64</v>
      </c>
      <c r="AA74" s="85">
        <f>IF('Angioplasty Summary'!$R$55=3, F74, IF('Angioplasty Summary'!$R$55=2, E74, IF('Angioplasty Summary'!$R$55=1, D74)))</f>
        <v>1</v>
      </c>
      <c r="AB74" s="85">
        <f>IF('Angioplasty Summary'!$R$55=3, X74, IF('Angioplasty Summary'!$R$55=2, V74, IF('Angioplasty Summary'!$R$55=1, T74)))</f>
        <v>2.0000000000000018E-2</v>
      </c>
      <c r="AC74" s="85">
        <f>IF('Angioplasty Summary'!$R$55=3, Y74, IF('Angioplasty Summary'!$R$55=2, W74, IF('Angioplasty Summary'!$R$55=1, U74)))</f>
        <v>0</v>
      </c>
      <c r="AD74">
        <v>10</v>
      </c>
      <c r="AE74">
        <v>37</v>
      </c>
      <c r="AF74">
        <v>1</v>
      </c>
      <c r="AG74">
        <v>15</v>
      </c>
      <c r="AH74">
        <f t="shared" si="4"/>
        <v>9</v>
      </c>
      <c r="AI74">
        <f t="shared" si="5"/>
        <v>5</v>
      </c>
      <c r="AJ74">
        <v>15.999999642372131</v>
      </c>
      <c r="AK74">
        <v>62.000000476837158</v>
      </c>
      <c r="AL74">
        <f t="shared" si="6"/>
        <v>21.000000357627869</v>
      </c>
      <c r="AM74">
        <f t="shared" si="7"/>
        <v>25.000000476837158</v>
      </c>
      <c r="AN74">
        <v>5</v>
      </c>
      <c r="AO74">
        <v>80</v>
      </c>
      <c r="AP74" s="91">
        <f>IF('Angioplasty Summary'!$R$4=2, AE74, IF('Angioplasty Summary'!$R$4=1, AD74))</f>
        <v>10</v>
      </c>
      <c r="AQ74" s="91">
        <f>IF('Angioplasty Summary'!$R$4=2, AL74, IF('Angioplasty Summary'!$R$4=1, AH74))</f>
        <v>9</v>
      </c>
      <c r="AR74" s="91">
        <f>IF('Angioplasty Summary'!$R$4=2, AM74, IF('Angioplasty Summary'!$R$4=1, AI74))</f>
        <v>5</v>
      </c>
      <c r="AS74" s="91">
        <f>IF('Angioplasty Summary'!$R$4=2, AO74, IF('Angioplasty Summary'!$R$4=1, AN74))</f>
        <v>5</v>
      </c>
      <c r="AT74" s="124">
        <v>0.37</v>
      </c>
    </row>
    <row r="75" spans="1:46" x14ac:dyDescent="0.25">
      <c r="A75" s="18" t="s">
        <v>625</v>
      </c>
      <c r="B75" s="18" t="s">
        <v>626</v>
      </c>
      <c r="C75" s="80">
        <v>0</v>
      </c>
      <c r="D75" s="83" t="s">
        <v>384</v>
      </c>
      <c r="E75" s="83" t="s">
        <v>384</v>
      </c>
      <c r="F75" s="83" t="s">
        <v>384</v>
      </c>
      <c r="G75" s="83" t="s">
        <v>384</v>
      </c>
      <c r="H75" s="81" t="s">
        <v>384</v>
      </c>
      <c r="I75" s="84" t="s">
        <v>384</v>
      </c>
      <c r="J75" s="81" t="s">
        <v>384</v>
      </c>
      <c r="K75" s="84" t="s">
        <v>384</v>
      </c>
      <c r="L75" s="84" t="s">
        <v>384</v>
      </c>
      <c r="M75" s="79" t="s">
        <v>625</v>
      </c>
      <c r="N75" s="83" t="e">
        <v>#VALUE!</v>
      </c>
      <c r="O75" s="83" t="e">
        <v>#VALUE!</v>
      </c>
      <c r="P75" s="83" t="e">
        <v>#VALUE!</v>
      </c>
      <c r="Q75" s="83" t="e">
        <v>#VALUE!</v>
      </c>
      <c r="R75" s="83" t="e">
        <v>#VALUE!</v>
      </c>
      <c r="S75" s="83" t="e">
        <v>#VALUE!</v>
      </c>
      <c r="T75" s="85" t="e">
        <v>#VALUE!</v>
      </c>
      <c r="U75" s="85" t="e">
        <v>#VALUE!</v>
      </c>
      <c r="V75" s="85" t="e">
        <v>#VALUE!</v>
      </c>
      <c r="W75" s="85" t="e">
        <v>#VALUE!</v>
      </c>
      <c r="X75" s="85" t="e">
        <v>#VALUE!</v>
      </c>
      <c r="Y75" s="85" t="e">
        <v>#VALUE!</v>
      </c>
      <c r="Z75" s="86" t="e">
        <f>IF('Angioplasty Summary'!$R$55=3, RANK(F75,F$2:F$102,1)+COUNTIF($F$2:F75,F75)-1, IF('Angioplasty Summary'!$R$55=2, RANK(E75,E$2:E$102,1)+COUNTIF($E$2:E75,E75)-1, IF('Angioplasty Summary'!$R$55=1, RANK(D75,D$2:D$102,1)+COUNTIF($D$2:D75,D75)-1)))</f>
        <v>#VALUE!</v>
      </c>
      <c r="AA75" s="85" t="str">
        <f>IF('Angioplasty Summary'!$R$55=3, F75, IF('Angioplasty Summary'!$R$55=2, E75, IF('Angioplasty Summary'!$R$55=1, D75)))</f>
        <v>N/A</v>
      </c>
      <c r="AB75" s="85" t="e">
        <f>IF('Angioplasty Summary'!$R$55=3, X75, IF('Angioplasty Summary'!$R$55=2, V75, IF('Angioplasty Summary'!$R$55=1, T75)))</f>
        <v>#VALUE!</v>
      </c>
      <c r="AC75" s="85" t="e">
        <f>IF('Angioplasty Summary'!$R$55=3, Y75, IF('Angioplasty Summary'!$R$55=2, W75, IF('Angioplasty Summary'!$R$55=1, U75)))</f>
        <v>#VALUE!</v>
      </c>
      <c r="AD75" t="s">
        <v>384</v>
      </c>
      <c r="AE75" t="e">
        <v>#VALUE!</v>
      </c>
      <c r="AF75" t="e">
        <v>#VALUE!</v>
      </c>
      <c r="AG75" t="e">
        <v>#VALUE!</v>
      </c>
      <c r="AH75" t="e">
        <f t="shared" si="4"/>
        <v>#VALUE!</v>
      </c>
      <c r="AI75" t="e">
        <f t="shared" si="5"/>
        <v>#VALUE!</v>
      </c>
      <c r="AJ75" t="e">
        <v>#VALUE!</v>
      </c>
      <c r="AK75" t="e">
        <v>#VALUE!</v>
      </c>
      <c r="AL75" t="e">
        <f t="shared" si="6"/>
        <v>#VALUE!</v>
      </c>
      <c r="AM75" t="e">
        <f t="shared" si="7"/>
        <v>#VALUE!</v>
      </c>
      <c r="AN75">
        <v>5</v>
      </c>
      <c r="AO75">
        <v>80</v>
      </c>
      <c r="AP75" s="91" t="str">
        <f>IF('Angioplasty Summary'!$R$4=2, AE75, IF('Angioplasty Summary'!$R$4=1, AD75))</f>
        <v>N/A</v>
      </c>
      <c r="AQ75" s="91" t="e">
        <f>IF('Angioplasty Summary'!$R$4=2, AL75, IF('Angioplasty Summary'!$R$4=1, AH75))</f>
        <v>#VALUE!</v>
      </c>
      <c r="AR75" s="91" t="e">
        <f>IF('Angioplasty Summary'!$R$4=2, AM75, IF('Angioplasty Summary'!$R$4=1, AI75))</f>
        <v>#VALUE!</v>
      </c>
      <c r="AS75" s="91">
        <f>IF('Angioplasty Summary'!$R$4=2, AO75, IF('Angioplasty Summary'!$R$4=1, AN75))</f>
        <v>5</v>
      </c>
      <c r="AT75" t="s">
        <v>399</v>
      </c>
    </row>
    <row r="76" spans="1:46" x14ac:dyDescent="0.25">
      <c r="A76" s="18" t="s">
        <v>60</v>
      </c>
      <c r="B76" s="18" t="s">
        <v>61</v>
      </c>
      <c r="C76" s="80">
        <v>71</v>
      </c>
      <c r="D76" s="83">
        <v>0.96</v>
      </c>
      <c r="E76" s="83">
        <v>0.71</v>
      </c>
      <c r="F76" s="83">
        <v>0.99</v>
      </c>
      <c r="G76" s="83" t="s">
        <v>291</v>
      </c>
      <c r="H76" s="81">
        <v>0</v>
      </c>
      <c r="I76" s="84">
        <v>49</v>
      </c>
      <c r="J76" s="81">
        <v>1.9999999552965164E-2</v>
      </c>
      <c r="K76" s="84">
        <v>20</v>
      </c>
      <c r="L76" s="84" t="s">
        <v>652</v>
      </c>
      <c r="M76" s="79" t="s">
        <v>60</v>
      </c>
      <c r="N76" s="83">
        <v>0.88</v>
      </c>
      <c r="O76" s="83">
        <v>0.99</v>
      </c>
      <c r="P76" s="83">
        <v>0.56999999999999995</v>
      </c>
      <c r="Q76" s="83">
        <v>0.83</v>
      </c>
      <c r="R76" s="83">
        <v>0.92</v>
      </c>
      <c r="S76" s="83">
        <v>1</v>
      </c>
      <c r="T76" s="85">
        <v>7.999999999999996E-2</v>
      </c>
      <c r="U76" s="85">
        <v>3.0000000000000027E-2</v>
      </c>
      <c r="V76" s="85">
        <v>0.14000000000000001</v>
      </c>
      <c r="W76" s="85">
        <v>0.12</v>
      </c>
      <c r="X76" s="85">
        <v>6.9999999999999951E-2</v>
      </c>
      <c r="Y76" s="85">
        <v>1.0000000000000009E-2</v>
      </c>
      <c r="Z76" s="86">
        <f>IF('Angioplasty Summary'!$R$55=3, RANK(F76,F$2:F$102,1)+COUNTIF($F$2:F76,F76)-1, IF('Angioplasty Summary'!$R$55=2, RANK(E76,E$2:E$102,1)+COUNTIF($E$2:E76,E76)-1, IF('Angioplasty Summary'!$R$55=1, RANK(D76,D$2:D$102,1)+COUNTIF($D$2:D76,D76)-1)))</f>
        <v>17</v>
      </c>
      <c r="AA76" s="85">
        <f>IF('Angioplasty Summary'!$R$55=3, F76, IF('Angioplasty Summary'!$R$55=2, E76, IF('Angioplasty Summary'!$R$55=1, D76)))</f>
        <v>0.96</v>
      </c>
      <c r="AB76" s="85">
        <f>IF('Angioplasty Summary'!$R$55=3, X76, IF('Angioplasty Summary'!$R$55=2, V76, IF('Angioplasty Summary'!$R$55=1, T76)))</f>
        <v>7.999999999999996E-2</v>
      </c>
      <c r="AC76" s="85">
        <f>IF('Angioplasty Summary'!$R$55=3, Y76, IF('Angioplasty Summary'!$R$55=2, W76, IF('Angioplasty Summary'!$R$55=1, U76)))</f>
        <v>3.0000000000000027E-2</v>
      </c>
      <c r="AD76">
        <v>4</v>
      </c>
      <c r="AE76">
        <v>70</v>
      </c>
      <c r="AF76">
        <v>0</v>
      </c>
      <c r="AG76">
        <v>7</v>
      </c>
      <c r="AH76">
        <f t="shared" si="4"/>
        <v>4</v>
      </c>
      <c r="AI76">
        <f t="shared" si="5"/>
        <v>3</v>
      </c>
      <c r="AJ76">
        <v>46.000000834465027</v>
      </c>
      <c r="AK76">
        <v>87.999999523162842</v>
      </c>
      <c r="AL76">
        <f t="shared" si="6"/>
        <v>23.999999165534973</v>
      </c>
      <c r="AM76">
        <f t="shared" si="7"/>
        <v>17.999999523162842</v>
      </c>
      <c r="AN76">
        <v>5</v>
      </c>
      <c r="AO76">
        <v>80</v>
      </c>
      <c r="AP76" s="91">
        <f>IF('Angioplasty Summary'!$R$4=2, AE76, IF('Angioplasty Summary'!$R$4=1, AD76))</f>
        <v>4</v>
      </c>
      <c r="AQ76" s="91">
        <f>IF('Angioplasty Summary'!$R$4=2, AL76, IF('Angioplasty Summary'!$R$4=1, AH76))</f>
        <v>4</v>
      </c>
      <c r="AR76" s="91">
        <f>IF('Angioplasty Summary'!$R$4=2, AM76, IF('Angioplasty Summary'!$R$4=1, AI76))</f>
        <v>3</v>
      </c>
      <c r="AS76" s="91">
        <f>IF('Angioplasty Summary'!$R$4=2, AO76, IF('Angioplasty Summary'!$R$4=1, AN76))</f>
        <v>5</v>
      </c>
      <c r="AT76" s="124">
        <v>0.7</v>
      </c>
    </row>
    <row r="77" spans="1:46" x14ac:dyDescent="0.25">
      <c r="A77" s="18" t="s">
        <v>156</v>
      </c>
      <c r="B77" s="18" t="s">
        <v>157</v>
      </c>
      <c r="C77" s="80">
        <v>402</v>
      </c>
      <c r="D77" s="83">
        <v>1</v>
      </c>
      <c r="E77" s="83">
        <v>0.75</v>
      </c>
      <c r="F77" s="83">
        <v>0.79</v>
      </c>
      <c r="G77" s="83" t="s">
        <v>293</v>
      </c>
      <c r="H77" s="81">
        <v>2.1895322799682617E-2</v>
      </c>
      <c r="I77" s="84">
        <v>168</v>
      </c>
      <c r="J77" s="81">
        <v>0.10999999940395355</v>
      </c>
      <c r="K77" s="84">
        <v>73</v>
      </c>
      <c r="L77" s="84" t="s">
        <v>248</v>
      </c>
      <c r="M77" s="79" t="s">
        <v>156</v>
      </c>
      <c r="N77" s="83">
        <v>0.99</v>
      </c>
      <c r="O77" s="83">
        <v>1</v>
      </c>
      <c r="P77" s="83">
        <v>0.69</v>
      </c>
      <c r="Q77" s="83">
        <v>0.79</v>
      </c>
      <c r="R77" s="83">
        <v>0.75</v>
      </c>
      <c r="S77" s="83">
        <v>0.83</v>
      </c>
      <c r="T77" s="85">
        <v>1.0000000000000009E-2</v>
      </c>
      <c r="U77" s="85">
        <v>0</v>
      </c>
      <c r="V77" s="85">
        <v>6.0000000000000053E-2</v>
      </c>
      <c r="W77" s="85">
        <v>4.0000000000000036E-2</v>
      </c>
      <c r="X77" s="85">
        <v>4.0000000000000036E-2</v>
      </c>
      <c r="Y77" s="85">
        <v>3.9999999999999925E-2</v>
      </c>
      <c r="Z77" s="86">
        <f>IF('Angioplasty Summary'!$R$55=3, RANK(F77,F$2:F$102,1)+COUNTIF($F$2:F77,F77)-1, IF('Angioplasty Summary'!$R$55=2, RANK(E77,E$2:E$102,1)+COUNTIF($E$2:E77,E77)-1, IF('Angioplasty Summary'!$R$55=1, RANK(D77,D$2:D$102,1)+COUNTIF($D$2:D77,D77)-1)))</f>
        <v>65</v>
      </c>
      <c r="AA77" s="85">
        <f>IF('Angioplasty Summary'!$R$55=3, F77, IF('Angioplasty Summary'!$R$55=2, E77, IF('Angioplasty Summary'!$R$55=1, D77)))</f>
        <v>1</v>
      </c>
      <c r="AB77" s="85">
        <f>IF('Angioplasty Summary'!$R$55=3, X77, IF('Angioplasty Summary'!$R$55=2, V77, IF('Angioplasty Summary'!$R$55=1, T77)))</f>
        <v>1.0000000000000009E-2</v>
      </c>
      <c r="AC77" s="85">
        <f>IF('Angioplasty Summary'!$R$55=3, Y77, IF('Angioplasty Summary'!$R$55=2, W77, IF('Angioplasty Summary'!$R$55=1, U77)))</f>
        <v>0</v>
      </c>
      <c r="AD77">
        <v>4</v>
      </c>
      <c r="AE77">
        <v>67</v>
      </c>
      <c r="AF77">
        <v>2</v>
      </c>
      <c r="AG77">
        <v>7</v>
      </c>
      <c r="AH77">
        <f t="shared" si="4"/>
        <v>2</v>
      </c>
      <c r="AI77">
        <f t="shared" si="5"/>
        <v>3</v>
      </c>
      <c r="AJ77">
        <v>55.000001192092896</v>
      </c>
      <c r="AK77">
        <v>77.999997138977051</v>
      </c>
      <c r="AL77">
        <f t="shared" si="6"/>
        <v>11.999998807907104</v>
      </c>
      <c r="AM77">
        <f t="shared" si="7"/>
        <v>10.999997138977051</v>
      </c>
      <c r="AN77">
        <v>5</v>
      </c>
      <c r="AO77">
        <v>80</v>
      </c>
      <c r="AP77" s="91">
        <f>IF('Angioplasty Summary'!$R$4=2, AE77, IF('Angioplasty Summary'!$R$4=1, AD77))</f>
        <v>4</v>
      </c>
      <c r="AQ77" s="91">
        <f>IF('Angioplasty Summary'!$R$4=2, AL77, IF('Angioplasty Summary'!$R$4=1, AH77))</f>
        <v>2</v>
      </c>
      <c r="AR77" s="91">
        <f>IF('Angioplasty Summary'!$R$4=2, AM77, IF('Angioplasty Summary'!$R$4=1, AI77))</f>
        <v>3</v>
      </c>
      <c r="AS77" s="91">
        <f>IF('Angioplasty Summary'!$R$4=2, AO77, IF('Angioplasty Summary'!$R$4=1, AN77))</f>
        <v>5</v>
      </c>
      <c r="AT77" s="124">
        <v>0.67</v>
      </c>
    </row>
    <row r="78" spans="1:46" x14ac:dyDescent="0.25">
      <c r="A78" s="18" t="s">
        <v>122</v>
      </c>
      <c r="B78" s="18" t="s">
        <v>123</v>
      </c>
      <c r="C78" s="80">
        <v>0</v>
      </c>
      <c r="D78" s="83" t="s">
        <v>384</v>
      </c>
      <c r="E78" s="83" t="s">
        <v>384</v>
      </c>
      <c r="F78" s="83" t="s">
        <v>384</v>
      </c>
      <c r="G78" s="83" t="s">
        <v>384</v>
      </c>
      <c r="H78" s="81" t="s">
        <v>384</v>
      </c>
      <c r="I78" s="84" t="s">
        <v>384</v>
      </c>
      <c r="J78" s="81" t="s">
        <v>384</v>
      </c>
      <c r="K78" s="84" t="s">
        <v>384</v>
      </c>
      <c r="L78" s="84" t="s">
        <v>384</v>
      </c>
      <c r="M78" s="79" t="s">
        <v>122</v>
      </c>
      <c r="N78" s="83" t="e">
        <v>#VALUE!</v>
      </c>
      <c r="O78" s="83" t="e">
        <v>#VALUE!</v>
      </c>
      <c r="P78" s="83" t="e">
        <v>#VALUE!</v>
      </c>
      <c r="Q78" s="83" t="e">
        <v>#VALUE!</v>
      </c>
      <c r="R78" s="83" t="e">
        <v>#VALUE!</v>
      </c>
      <c r="S78" s="83" t="e">
        <v>#VALUE!</v>
      </c>
      <c r="T78" s="85" t="e">
        <v>#VALUE!</v>
      </c>
      <c r="U78" s="85" t="e">
        <v>#VALUE!</v>
      </c>
      <c r="V78" s="85" t="e">
        <v>#VALUE!</v>
      </c>
      <c r="W78" s="85" t="e">
        <v>#VALUE!</v>
      </c>
      <c r="X78" s="85" t="e">
        <v>#VALUE!</v>
      </c>
      <c r="Y78" s="85" t="e">
        <v>#VALUE!</v>
      </c>
      <c r="Z78" s="86" t="e">
        <f>IF('Angioplasty Summary'!$R$55=3, RANK(F78,F$2:F$102,1)+COUNTIF($F$2:F78,F78)-1, IF('Angioplasty Summary'!$R$55=2, RANK(E78,E$2:E$102,1)+COUNTIF($E$2:E78,E78)-1, IF('Angioplasty Summary'!$R$55=1, RANK(D78,D$2:D$102,1)+COUNTIF($D$2:D78,D78)-1)))</f>
        <v>#VALUE!</v>
      </c>
      <c r="AA78" s="85" t="str">
        <f>IF('Angioplasty Summary'!$R$55=3, F78, IF('Angioplasty Summary'!$R$55=2, E78, IF('Angioplasty Summary'!$R$55=1, D78)))</f>
        <v>N/A</v>
      </c>
      <c r="AB78" s="85" t="e">
        <f>IF('Angioplasty Summary'!$R$55=3, X78, IF('Angioplasty Summary'!$R$55=2, V78, IF('Angioplasty Summary'!$R$55=1, T78)))</f>
        <v>#VALUE!</v>
      </c>
      <c r="AC78" s="85" t="e">
        <f>IF('Angioplasty Summary'!$R$55=3, Y78, IF('Angioplasty Summary'!$R$55=2, W78, IF('Angioplasty Summary'!$R$55=1, U78)))</f>
        <v>#VALUE!</v>
      </c>
      <c r="AD78" t="s">
        <v>384</v>
      </c>
      <c r="AE78" t="e">
        <v>#VALUE!</v>
      </c>
      <c r="AF78" t="e">
        <v>#VALUE!</v>
      </c>
      <c r="AG78" t="e">
        <v>#VALUE!</v>
      </c>
      <c r="AH78" t="e">
        <f t="shared" si="4"/>
        <v>#VALUE!</v>
      </c>
      <c r="AI78" t="e">
        <f t="shared" si="5"/>
        <v>#VALUE!</v>
      </c>
      <c r="AJ78" t="e">
        <v>#VALUE!</v>
      </c>
      <c r="AK78" t="e">
        <v>#VALUE!</v>
      </c>
      <c r="AL78" t="e">
        <f t="shared" si="6"/>
        <v>#VALUE!</v>
      </c>
      <c r="AM78" t="e">
        <f t="shared" si="7"/>
        <v>#VALUE!</v>
      </c>
      <c r="AN78">
        <v>5</v>
      </c>
      <c r="AO78">
        <v>80</v>
      </c>
      <c r="AP78" s="91" t="str">
        <f>IF('Angioplasty Summary'!$R$4=2, AE78, IF('Angioplasty Summary'!$R$4=1, AD78))</f>
        <v>N/A</v>
      </c>
      <c r="AQ78" s="91" t="e">
        <f>IF('Angioplasty Summary'!$R$4=2, AL78, IF('Angioplasty Summary'!$R$4=1, AH78))</f>
        <v>#VALUE!</v>
      </c>
      <c r="AR78" s="91" t="e">
        <f>IF('Angioplasty Summary'!$R$4=2, AM78, IF('Angioplasty Summary'!$R$4=1, AI78))</f>
        <v>#VALUE!</v>
      </c>
      <c r="AS78" s="91">
        <f>IF('Angioplasty Summary'!$R$4=2, AO78, IF('Angioplasty Summary'!$R$4=1, AN78))</f>
        <v>5</v>
      </c>
      <c r="AT78" t="s">
        <v>399</v>
      </c>
    </row>
    <row r="79" spans="1:46" x14ac:dyDescent="0.25">
      <c r="A79" s="18" t="s">
        <v>21</v>
      </c>
      <c r="B79" s="18" t="s">
        <v>22</v>
      </c>
      <c r="C79" s="80">
        <v>40</v>
      </c>
      <c r="D79" s="83">
        <v>1</v>
      </c>
      <c r="E79" s="83">
        <v>0.5</v>
      </c>
      <c r="F79" s="83">
        <v>1</v>
      </c>
      <c r="G79" s="83" t="s">
        <v>653</v>
      </c>
      <c r="H79" s="81">
        <v>0</v>
      </c>
      <c r="I79" s="84">
        <v>40</v>
      </c>
      <c r="J79" s="81">
        <v>7.9999998211860657E-2</v>
      </c>
      <c r="K79" s="84">
        <v>16</v>
      </c>
      <c r="L79" s="84" t="s">
        <v>657</v>
      </c>
      <c r="M79" s="79" t="s">
        <v>21</v>
      </c>
      <c r="N79" s="83">
        <v>0.91</v>
      </c>
      <c r="O79" s="83">
        <v>1</v>
      </c>
      <c r="P79" s="83">
        <v>0.28999999999999998</v>
      </c>
      <c r="Q79" s="83">
        <v>0.71</v>
      </c>
      <c r="R79" s="83">
        <v>0.91</v>
      </c>
      <c r="S79" s="83">
        <v>1</v>
      </c>
      <c r="T79" s="85">
        <v>8.9999999999999969E-2</v>
      </c>
      <c r="U79" s="85">
        <v>0</v>
      </c>
      <c r="V79" s="85">
        <v>0.21000000000000002</v>
      </c>
      <c r="W79" s="85">
        <v>0.20999999999999996</v>
      </c>
      <c r="X79" s="85">
        <v>8.9999999999999969E-2</v>
      </c>
      <c r="Y79" s="85">
        <v>0</v>
      </c>
      <c r="Z79" s="86">
        <f>IF('Angioplasty Summary'!$R$55=3, RANK(F79,F$2:F$102,1)+COUNTIF($F$2:F79,F79)-1, IF('Angioplasty Summary'!$R$55=2, RANK(E79,E$2:E$102,1)+COUNTIF($E$2:E79,E79)-1, IF('Angioplasty Summary'!$R$55=1, RANK(D79,D$2:D$102,1)+COUNTIF($D$2:D79,D79)-1)))</f>
        <v>66</v>
      </c>
      <c r="AA79" s="85">
        <f>IF('Angioplasty Summary'!$R$55=3, F79, IF('Angioplasty Summary'!$R$55=2, E79, IF('Angioplasty Summary'!$R$55=1, D79)))</f>
        <v>1</v>
      </c>
      <c r="AB79" s="85">
        <f>IF('Angioplasty Summary'!$R$55=3, X79, IF('Angioplasty Summary'!$R$55=2, V79, IF('Angioplasty Summary'!$R$55=1, T79)))</f>
        <v>8.9999999999999969E-2</v>
      </c>
      <c r="AC79" s="85">
        <f>IF('Angioplasty Summary'!$R$55=3, Y79, IF('Angioplasty Summary'!$R$55=2, W79, IF('Angioplasty Summary'!$R$55=1, U79)))</f>
        <v>0</v>
      </c>
      <c r="AD79" s="25">
        <v>10</v>
      </c>
      <c r="AE79">
        <v>38</v>
      </c>
      <c r="AF79">
        <v>2</v>
      </c>
      <c r="AG79">
        <v>16</v>
      </c>
      <c r="AH79">
        <f t="shared" si="4"/>
        <v>8</v>
      </c>
      <c r="AI79">
        <f t="shared" si="5"/>
        <v>6</v>
      </c>
      <c r="AJ79">
        <v>15.000000596046448</v>
      </c>
      <c r="AK79">
        <v>64.999997615814209</v>
      </c>
      <c r="AL79">
        <f t="shared" si="6"/>
        <v>22.999999403953552</v>
      </c>
      <c r="AM79">
        <f t="shared" si="7"/>
        <v>26.999997615814209</v>
      </c>
      <c r="AN79">
        <v>5</v>
      </c>
      <c r="AO79">
        <v>80</v>
      </c>
      <c r="AP79" s="91">
        <f>IF('Angioplasty Summary'!$R$4=2, AE79, IF('Angioplasty Summary'!$R$4=1, AD79))</f>
        <v>10</v>
      </c>
      <c r="AQ79" s="91">
        <f>IF('Angioplasty Summary'!$R$4=2, AL79, IF('Angioplasty Summary'!$R$4=1, AH79))</f>
        <v>8</v>
      </c>
      <c r="AR79" s="91">
        <f>IF('Angioplasty Summary'!$R$4=2, AM79, IF('Angioplasty Summary'!$R$4=1, AI79))</f>
        <v>6</v>
      </c>
      <c r="AS79" s="91">
        <f>IF('Angioplasty Summary'!$R$4=2, AO79, IF('Angioplasty Summary'!$R$4=1, AN79))</f>
        <v>5</v>
      </c>
      <c r="AT79" s="124">
        <v>0.38</v>
      </c>
    </row>
    <row r="80" spans="1:46" x14ac:dyDescent="0.25">
      <c r="A80" s="18" t="s">
        <v>627</v>
      </c>
      <c r="B80" s="18" t="s">
        <v>628</v>
      </c>
      <c r="C80" s="80">
        <v>13</v>
      </c>
      <c r="D80" s="83">
        <v>1</v>
      </c>
      <c r="E80" s="83">
        <v>0.42</v>
      </c>
      <c r="F80" s="83">
        <v>0.92</v>
      </c>
      <c r="G80" s="83" t="s">
        <v>374</v>
      </c>
      <c r="H80" s="81">
        <v>0</v>
      </c>
      <c r="I80" s="84">
        <v>13</v>
      </c>
      <c r="J80" s="81">
        <v>0</v>
      </c>
      <c r="K80" s="84" t="s">
        <v>633</v>
      </c>
      <c r="L80" s="84" t="s">
        <v>399</v>
      </c>
      <c r="M80" s="79" t="s">
        <v>627</v>
      </c>
      <c r="N80" s="83">
        <v>0.75</v>
      </c>
      <c r="O80" s="83">
        <v>1</v>
      </c>
      <c r="P80" s="83">
        <v>0.15</v>
      </c>
      <c r="Q80" s="83">
        <v>0.72</v>
      </c>
      <c r="R80" s="83">
        <v>0.64</v>
      </c>
      <c r="S80" s="83">
        <v>1</v>
      </c>
      <c r="T80" s="85">
        <v>0.25</v>
      </c>
      <c r="U80" s="85">
        <v>0</v>
      </c>
      <c r="V80" s="85">
        <v>0.27</v>
      </c>
      <c r="W80" s="85">
        <v>0.3</v>
      </c>
      <c r="X80" s="85">
        <v>0.28000000000000003</v>
      </c>
      <c r="Y80" s="85">
        <v>7.999999999999996E-2</v>
      </c>
      <c r="Z80" s="86">
        <f>IF('Angioplasty Summary'!$R$55=3, RANK(F80,F$2:F$102,1)+COUNTIF($F$2:F80,F80)-1, IF('Angioplasty Summary'!$R$55=2, RANK(E80,E$2:E$102,1)+COUNTIF($E$2:E80,E80)-1, IF('Angioplasty Summary'!$R$55=1, RANK(D80,D$2:D$102,1)+COUNTIF($D$2:D80,D80)-1)))</f>
        <v>67</v>
      </c>
      <c r="AA80" s="85">
        <f>IF('Angioplasty Summary'!$R$55=3, F80, IF('Angioplasty Summary'!$R$55=2, E80, IF('Angioplasty Summary'!$R$55=1, D80)))</f>
        <v>1</v>
      </c>
      <c r="AB80" s="85">
        <f>IF('Angioplasty Summary'!$R$55=3, X80, IF('Angioplasty Summary'!$R$55=2, V80, IF('Angioplasty Summary'!$R$55=1, T80)))</f>
        <v>0.25</v>
      </c>
      <c r="AC80" s="85">
        <f>IF('Angioplasty Summary'!$R$55=3, Y80, IF('Angioplasty Summary'!$R$55=2, W80, IF('Angioplasty Summary'!$R$55=1, U80)))</f>
        <v>0</v>
      </c>
      <c r="AD80" t="s">
        <v>399</v>
      </c>
      <c r="AE80" t="e">
        <v>#VALUE!</v>
      </c>
      <c r="AF80" t="e">
        <v>#VALUE!</v>
      </c>
      <c r="AG80" t="e">
        <v>#VALUE!</v>
      </c>
      <c r="AH80" t="e">
        <f t="shared" si="4"/>
        <v>#VALUE!</v>
      </c>
      <c r="AI80" t="e">
        <f t="shared" si="5"/>
        <v>#VALUE!</v>
      </c>
      <c r="AJ80" t="e">
        <v>#VALUE!</v>
      </c>
      <c r="AK80" t="e">
        <v>#VALUE!</v>
      </c>
      <c r="AL80" t="e">
        <f t="shared" si="6"/>
        <v>#VALUE!</v>
      </c>
      <c r="AM80" t="e">
        <f t="shared" si="7"/>
        <v>#VALUE!</v>
      </c>
      <c r="AN80">
        <v>5</v>
      </c>
      <c r="AO80">
        <v>80</v>
      </c>
      <c r="AP80" s="91" t="str">
        <f>IF('Angioplasty Summary'!$R$4=2, AE80, IF('Angioplasty Summary'!$R$4=1, AD80))</f>
        <v>xx</v>
      </c>
      <c r="AQ80" s="91" t="e">
        <f>IF('Angioplasty Summary'!$R$4=2, AL80, IF('Angioplasty Summary'!$R$4=1, AH80))</f>
        <v>#VALUE!</v>
      </c>
      <c r="AR80" s="91" t="e">
        <f>IF('Angioplasty Summary'!$R$4=2, AM80, IF('Angioplasty Summary'!$R$4=1, AI80))</f>
        <v>#VALUE!</v>
      </c>
      <c r="AS80" s="91">
        <f>IF('Angioplasty Summary'!$R$4=2, AO80, IF('Angioplasty Summary'!$R$4=1, AN80))</f>
        <v>5</v>
      </c>
      <c r="AT80" t="s">
        <v>399</v>
      </c>
    </row>
    <row r="81" spans="1:46" x14ac:dyDescent="0.25">
      <c r="A81" s="18" t="s">
        <v>68</v>
      </c>
      <c r="B81" s="18" t="s">
        <v>69</v>
      </c>
      <c r="C81" s="80">
        <v>609</v>
      </c>
      <c r="D81" s="83">
        <v>0.87</v>
      </c>
      <c r="E81" s="83">
        <v>0.11</v>
      </c>
      <c r="F81" s="83">
        <v>0.87</v>
      </c>
      <c r="G81" s="83" t="s">
        <v>300</v>
      </c>
      <c r="H81" s="81">
        <v>9.4350856542587281E-3</v>
      </c>
      <c r="I81" s="84">
        <v>591</v>
      </c>
      <c r="J81" s="81">
        <v>9.0000003576278687E-2</v>
      </c>
      <c r="K81" s="84">
        <v>135</v>
      </c>
      <c r="L81" s="84" t="s">
        <v>303</v>
      </c>
      <c r="M81" s="79" t="s">
        <v>68</v>
      </c>
      <c r="N81" s="83">
        <v>0.84</v>
      </c>
      <c r="O81" s="83">
        <v>0.89</v>
      </c>
      <c r="P81" s="83">
        <v>0.08</v>
      </c>
      <c r="Q81" s="83">
        <v>0.15</v>
      </c>
      <c r="R81" s="83">
        <v>0.84</v>
      </c>
      <c r="S81" s="83">
        <v>0.9</v>
      </c>
      <c r="T81" s="85">
        <v>3.0000000000000027E-2</v>
      </c>
      <c r="U81" s="85">
        <v>2.0000000000000018E-2</v>
      </c>
      <c r="V81" s="85">
        <v>0.03</v>
      </c>
      <c r="W81" s="85">
        <v>3.9999999999999994E-2</v>
      </c>
      <c r="X81" s="85">
        <v>3.0000000000000027E-2</v>
      </c>
      <c r="Y81" s="85">
        <v>3.0000000000000027E-2</v>
      </c>
      <c r="Z81" s="86">
        <f>IF('Angioplasty Summary'!$R$55=3, RANK(F81,F$2:F$102,1)+COUNTIF($F$2:F81,F81)-1, IF('Angioplasty Summary'!$R$55=2, RANK(E81,E$2:E$102,1)+COUNTIF($E$2:E81,E81)-1, IF('Angioplasty Summary'!$R$55=1, RANK(D81,D$2:D$102,1)+COUNTIF($D$2:D81,D81)-1)))</f>
        <v>3</v>
      </c>
      <c r="AA81" s="85">
        <f>IF('Angioplasty Summary'!$R$55=3, F81, IF('Angioplasty Summary'!$R$55=2, E81, IF('Angioplasty Summary'!$R$55=1, D81)))</f>
        <v>0.87</v>
      </c>
      <c r="AB81" s="85">
        <f>IF('Angioplasty Summary'!$R$55=3, X81, IF('Angioplasty Summary'!$R$55=2, V81, IF('Angioplasty Summary'!$R$55=1, T81)))</f>
        <v>3.0000000000000027E-2</v>
      </c>
      <c r="AC81" s="85">
        <f>IF('Angioplasty Summary'!$R$55=3, Y81, IF('Angioplasty Summary'!$R$55=2, W81, IF('Angioplasty Summary'!$R$55=1, U81)))</f>
        <v>2.0000000000000018E-2</v>
      </c>
      <c r="AD81">
        <v>3</v>
      </c>
      <c r="AE81">
        <v>65</v>
      </c>
      <c r="AF81">
        <v>1</v>
      </c>
      <c r="AG81">
        <v>7</v>
      </c>
      <c r="AH81">
        <f t="shared" si="4"/>
        <v>2</v>
      </c>
      <c r="AI81">
        <f t="shared" si="5"/>
        <v>4</v>
      </c>
      <c r="AJ81">
        <v>56.999999284744263</v>
      </c>
      <c r="AK81">
        <v>73.000001907348633</v>
      </c>
      <c r="AL81">
        <f t="shared" si="6"/>
        <v>8.0000007152557373</v>
      </c>
      <c r="AM81">
        <f t="shared" si="7"/>
        <v>8.0000019073486328</v>
      </c>
      <c r="AN81">
        <v>5</v>
      </c>
      <c r="AO81">
        <v>80</v>
      </c>
      <c r="AP81" s="91">
        <f>IF('Angioplasty Summary'!$R$4=2, AE81, IF('Angioplasty Summary'!$R$4=1, AD81))</f>
        <v>3</v>
      </c>
      <c r="AQ81" s="91">
        <f>IF('Angioplasty Summary'!$R$4=2, AL81, IF('Angioplasty Summary'!$R$4=1, AH81))</f>
        <v>2</v>
      </c>
      <c r="AR81" s="91">
        <f>IF('Angioplasty Summary'!$R$4=2, AM81, IF('Angioplasty Summary'!$R$4=1, AI81))</f>
        <v>4</v>
      </c>
      <c r="AS81" s="91">
        <f>IF('Angioplasty Summary'!$R$4=2, AO81, IF('Angioplasty Summary'!$R$4=1, AN81))</f>
        <v>5</v>
      </c>
      <c r="AT81" s="124">
        <v>0.65</v>
      </c>
    </row>
    <row r="82" spans="1:46" x14ac:dyDescent="0.25">
      <c r="A82" s="18" t="s">
        <v>29</v>
      </c>
      <c r="B82" s="18" t="s">
        <v>30</v>
      </c>
      <c r="C82" s="80">
        <v>15</v>
      </c>
      <c r="D82" s="83">
        <v>1</v>
      </c>
      <c r="E82" s="83">
        <v>1</v>
      </c>
      <c r="F82" s="83">
        <v>0.87</v>
      </c>
      <c r="G82" s="83" t="s">
        <v>290</v>
      </c>
      <c r="H82" s="81">
        <v>0</v>
      </c>
      <c r="I82" s="84" t="s">
        <v>398</v>
      </c>
      <c r="J82" s="81" t="s">
        <v>399</v>
      </c>
      <c r="K82" s="84" t="s">
        <v>633</v>
      </c>
      <c r="L82" s="84" t="s">
        <v>399</v>
      </c>
      <c r="M82" s="79" t="s">
        <v>29</v>
      </c>
      <c r="N82" s="83">
        <v>0.78</v>
      </c>
      <c r="O82" s="83">
        <v>1</v>
      </c>
      <c r="P82" s="83">
        <v>0.78</v>
      </c>
      <c r="Q82" s="83">
        <v>1</v>
      </c>
      <c r="R82" s="83">
        <v>0.6</v>
      </c>
      <c r="S82" s="83">
        <v>0.98</v>
      </c>
      <c r="T82" s="85">
        <v>0.21999999999999997</v>
      </c>
      <c r="U82" s="85">
        <v>0</v>
      </c>
      <c r="V82" s="85">
        <v>0.21999999999999997</v>
      </c>
      <c r="W82" s="85">
        <v>0</v>
      </c>
      <c r="X82" s="85">
        <v>0.27</v>
      </c>
      <c r="Y82" s="85">
        <v>0.10999999999999999</v>
      </c>
      <c r="Z82" s="86">
        <f>IF('Angioplasty Summary'!$R$55=3, RANK(F82,F$2:F$102,1)+COUNTIF($F$2:F82,F82)-1, IF('Angioplasty Summary'!$R$55=2, RANK(E82,E$2:E$102,1)+COUNTIF($E$2:E82,E82)-1, IF('Angioplasty Summary'!$R$55=1, RANK(D82,D$2:D$102,1)+COUNTIF($D$2:D82,D82)-1)))</f>
        <v>68</v>
      </c>
      <c r="AA82" s="85">
        <f>IF('Angioplasty Summary'!$R$55=3, F82, IF('Angioplasty Summary'!$R$55=2, E82, IF('Angioplasty Summary'!$R$55=1, D82)))</f>
        <v>1</v>
      </c>
      <c r="AB82" s="85">
        <f>IF('Angioplasty Summary'!$R$55=3, X82, IF('Angioplasty Summary'!$R$55=2, V82, IF('Angioplasty Summary'!$R$55=1, T82)))</f>
        <v>0.21999999999999997</v>
      </c>
      <c r="AC82" s="85">
        <f>IF('Angioplasty Summary'!$R$55=3, Y82, IF('Angioplasty Summary'!$R$55=2, W82, IF('Angioplasty Summary'!$R$55=1, U82)))</f>
        <v>0</v>
      </c>
      <c r="AD82" t="s">
        <v>399</v>
      </c>
      <c r="AE82" t="e">
        <v>#VALUE!</v>
      </c>
      <c r="AF82" t="e">
        <v>#VALUE!</v>
      </c>
      <c r="AG82" t="e">
        <v>#VALUE!</v>
      </c>
      <c r="AH82" t="e">
        <f t="shared" si="4"/>
        <v>#VALUE!</v>
      </c>
      <c r="AI82" t="e">
        <f t="shared" si="5"/>
        <v>#VALUE!</v>
      </c>
      <c r="AJ82" t="e">
        <v>#VALUE!</v>
      </c>
      <c r="AK82" t="e">
        <v>#VALUE!</v>
      </c>
      <c r="AL82" t="e">
        <f t="shared" si="6"/>
        <v>#VALUE!</v>
      </c>
      <c r="AM82" t="e">
        <f t="shared" si="7"/>
        <v>#VALUE!</v>
      </c>
      <c r="AN82">
        <v>5</v>
      </c>
      <c r="AO82">
        <v>80</v>
      </c>
      <c r="AP82" s="91" t="str">
        <f>IF('Angioplasty Summary'!$R$4=2, AE82, IF('Angioplasty Summary'!$R$4=1, AD82))</f>
        <v>xx</v>
      </c>
      <c r="AQ82" s="91" t="e">
        <f>IF('Angioplasty Summary'!$R$4=2, AL82, IF('Angioplasty Summary'!$R$4=1, AH82))</f>
        <v>#VALUE!</v>
      </c>
      <c r="AR82" s="91" t="e">
        <f>IF('Angioplasty Summary'!$R$4=2, AM82, IF('Angioplasty Summary'!$R$4=1, AI82))</f>
        <v>#VALUE!</v>
      </c>
      <c r="AS82" s="91">
        <f>IF('Angioplasty Summary'!$R$4=2, AO82, IF('Angioplasty Summary'!$R$4=1, AN82))</f>
        <v>5</v>
      </c>
      <c r="AT82" t="s">
        <v>399</v>
      </c>
    </row>
    <row r="83" spans="1:46" x14ac:dyDescent="0.25">
      <c r="A83" s="18" t="s">
        <v>629</v>
      </c>
      <c r="B83" s="18" t="s">
        <v>630</v>
      </c>
      <c r="C83" s="80">
        <v>52</v>
      </c>
      <c r="D83" s="83">
        <v>1</v>
      </c>
      <c r="E83" s="83">
        <v>0.75</v>
      </c>
      <c r="F83" s="83">
        <v>0.9</v>
      </c>
      <c r="G83" s="83" t="s">
        <v>294</v>
      </c>
      <c r="H83" s="81">
        <v>1.7174402475357054E-2</v>
      </c>
      <c r="I83" s="84">
        <v>51</v>
      </c>
      <c r="J83" s="81">
        <v>0.10000000149011612</v>
      </c>
      <c r="K83" s="84">
        <v>12</v>
      </c>
      <c r="L83" s="84" t="s">
        <v>269</v>
      </c>
      <c r="M83" s="79" t="s">
        <v>629</v>
      </c>
      <c r="N83" s="83">
        <v>0.93</v>
      </c>
      <c r="O83" s="83">
        <v>1</v>
      </c>
      <c r="P83" s="83">
        <v>0.59</v>
      </c>
      <c r="Q83" s="83">
        <v>0.87</v>
      </c>
      <c r="R83" s="83">
        <v>0.79</v>
      </c>
      <c r="S83" s="83">
        <v>0.97</v>
      </c>
      <c r="T83" s="85">
        <v>6.9999999999999951E-2</v>
      </c>
      <c r="U83" s="85">
        <v>0</v>
      </c>
      <c r="V83" s="85">
        <v>0.16000000000000003</v>
      </c>
      <c r="W83" s="85">
        <v>0.12</v>
      </c>
      <c r="X83" s="85">
        <v>0.10999999999999999</v>
      </c>
      <c r="Y83" s="85">
        <v>6.9999999999999951E-2</v>
      </c>
      <c r="Z83" s="86">
        <f>IF('Angioplasty Summary'!$R$55=3, RANK(F83,F$2:F$102,1)+COUNTIF($F$2:F83,F83)-1, IF('Angioplasty Summary'!$R$55=2, RANK(E83,E$2:E$102,1)+COUNTIF($E$2:E83,E83)-1, IF('Angioplasty Summary'!$R$55=1, RANK(D83,D$2:D$102,1)+COUNTIF($D$2:D83,D83)-1)))</f>
        <v>69</v>
      </c>
      <c r="AA83" s="85">
        <f>IF('Angioplasty Summary'!$R$55=3, F83, IF('Angioplasty Summary'!$R$55=2, E83, IF('Angioplasty Summary'!$R$55=1, D83)))</f>
        <v>1</v>
      </c>
      <c r="AB83" s="85">
        <f>IF('Angioplasty Summary'!$R$55=3, X83, IF('Angioplasty Summary'!$R$55=2, V83, IF('Angioplasty Summary'!$R$55=1, T83)))</f>
        <v>6.9999999999999951E-2</v>
      </c>
      <c r="AC83" s="85">
        <f>IF('Angioplasty Summary'!$R$55=3, Y83, IF('Angioplasty Summary'!$R$55=2, W83, IF('Angioplasty Summary'!$R$55=1, U83)))</f>
        <v>0</v>
      </c>
      <c r="AD83">
        <v>7</v>
      </c>
      <c r="AE83">
        <v>42</v>
      </c>
      <c r="AF83">
        <v>4</v>
      </c>
      <c r="AG83">
        <v>16</v>
      </c>
      <c r="AH83">
        <f t="shared" si="4"/>
        <v>3</v>
      </c>
      <c r="AI83">
        <f t="shared" si="5"/>
        <v>9</v>
      </c>
      <c r="AJ83">
        <v>15.000000596046448</v>
      </c>
      <c r="AK83">
        <v>72.000002861022949</v>
      </c>
      <c r="AL83">
        <f t="shared" si="6"/>
        <v>26.999999403953552</v>
      </c>
      <c r="AM83">
        <f t="shared" si="7"/>
        <v>30.000002861022949</v>
      </c>
      <c r="AN83">
        <v>5</v>
      </c>
      <c r="AO83">
        <v>80</v>
      </c>
      <c r="AP83" s="91">
        <f>IF('Angioplasty Summary'!$R$4=2, AE83, IF('Angioplasty Summary'!$R$4=1, AD83))</f>
        <v>7</v>
      </c>
      <c r="AQ83" s="91">
        <f>IF('Angioplasty Summary'!$R$4=2, AL83, IF('Angioplasty Summary'!$R$4=1, AH83))</f>
        <v>3</v>
      </c>
      <c r="AR83" s="91">
        <f>IF('Angioplasty Summary'!$R$4=2, AM83, IF('Angioplasty Summary'!$R$4=1, AI83))</f>
        <v>9</v>
      </c>
      <c r="AS83" s="91">
        <f>IF('Angioplasty Summary'!$R$4=2, AO83, IF('Angioplasty Summary'!$R$4=1, AN83))</f>
        <v>5</v>
      </c>
      <c r="AT83" s="124">
        <v>0.42</v>
      </c>
    </row>
    <row r="84" spans="1:46" x14ac:dyDescent="0.25">
      <c r="A84" s="18" t="s">
        <v>4</v>
      </c>
      <c r="B84" s="18" t="s">
        <v>213</v>
      </c>
      <c r="C84" s="80">
        <v>461</v>
      </c>
      <c r="D84" s="83">
        <v>1</v>
      </c>
      <c r="E84" s="83">
        <v>0.44</v>
      </c>
      <c r="F84" s="83">
        <v>0.89</v>
      </c>
      <c r="G84" s="83" t="s">
        <v>654</v>
      </c>
      <c r="H84" s="81">
        <v>1.497865915298462E-2</v>
      </c>
      <c r="I84" s="84">
        <v>447</v>
      </c>
      <c r="J84" s="81">
        <v>0.15000000596046448</v>
      </c>
      <c r="K84" s="84">
        <v>240</v>
      </c>
      <c r="L84" s="84" t="s">
        <v>217</v>
      </c>
      <c r="M84" s="79" t="s">
        <v>4</v>
      </c>
      <c r="N84" s="83">
        <v>0.99</v>
      </c>
      <c r="O84" s="83">
        <v>1</v>
      </c>
      <c r="P84" s="83">
        <v>0.37</v>
      </c>
      <c r="Q84" s="83">
        <v>0.51</v>
      </c>
      <c r="R84" s="83">
        <v>0.86</v>
      </c>
      <c r="S84" s="83">
        <v>0.92</v>
      </c>
      <c r="T84" s="85">
        <v>1.0000000000000009E-2</v>
      </c>
      <c r="U84" s="85">
        <v>0</v>
      </c>
      <c r="V84" s="85">
        <v>7.0000000000000007E-2</v>
      </c>
      <c r="W84" s="85">
        <v>7.0000000000000007E-2</v>
      </c>
      <c r="X84" s="85">
        <v>3.0000000000000027E-2</v>
      </c>
      <c r="Y84" s="85">
        <v>3.0000000000000027E-2</v>
      </c>
      <c r="Z84" s="86">
        <f>IF('Angioplasty Summary'!$R$55=3, RANK(F84,F$2:F$102,1)+COUNTIF($F$2:F84,F84)-1, IF('Angioplasty Summary'!$R$55=2, RANK(E84,E$2:E$102,1)+COUNTIF($E$2:E84,E84)-1, IF('Angioplasty Summary'!$R$55=1, RANK(D84,D$2:D$102,1)+COUNTIF($D$2:D84,D84)-1)))</f>
        <v>70</v>
      </c>
      <c r="AA84" s="85">
        <f>IF('Angioplasty Summary'!$R$55=3, F84, IF('Angioplasty Summary'!$R$55=2, E84, IF('Angioplasty Summary'!$R$55=1, D84)))</f>
        <v>1</v>
      </c>
      <c r="AB84" s="85">
        <f>IF('Angioplasty Summary'!$R$55=3, X84, IF('Angioplasty Summary'!$R$55=2, V84, IF('Angioplasty Summary'!$R$55=1, T84)))</f>
        <v>1.0000000000000009E-2</v>
      </c>
      <c r="AC84" s="85">
        <f>IF('Angioplasty Summary'!$R$55=3, Y84, IF('Angioplasty Summary'!$R$55=2, W84, IF('Angioplasty Summary'!$R$55=1, U84)))</f>
        <v>0</v>
      </c>
      <c r="AD84">
        <v>9</v>
      </c>
      <c r="AE84">
        <v>24</v>
      </c>
      <c r="AF84">
        <v>6</v>
      </c>
      <c r="AG84">
        <v>14</v>
      </c>
      <c r="AH84">
        <f t="shared" si="4"/>
        <v>3</v>
      </c>
      <c r="AI84">
        <f t="shared" si="5"/>
        <v>5</v>
      </c>
      <c r="AJ84">
        <v>18.999999761581421</v>
      </c>
      <c r="AK84">
        <v>30.000001192092896</v>
      </c>
      <c r="AL84">
        <f t="shared" si="6"/>
        <v>5.0000002384185791</v>
      </c>
      <c r="AM84">
        <f t="shared" si="7"/>
        <v>6.0000011920928955</v>
      </c>
      <c r="AN84">
        <v>5</v>
      </c>
      <c r="AO84">
        <v>80</v>
      </c>
      <c r="AP84" s="91">
        <f>IF('Angioplasty Summary'!$R$4=2, AE84, IF('Angioplasty Summary'!$R$4=1, AD84))</f>
        <v>9</v>
      </c>
      <c r="AQ84" s="91">
        <f>IF('Angioplasty Summary'!$R$4=2, AL84, IF('Angioplasty Summary'!$R$4=1, AH84))</f>
        <v>3</v>
      </c>
      <c r="AR84" s="91">
        <f>IF('Angioplasty Summary'!$R$4=2, AM84, IF('Angioplasty Summary'!$R$4=1, AI84))</f>
        <v>5</v>
      </c>
      <c r="AS84" s="91">
        <f>IF('Angioplasty Summary'!$R$4=2, AO84, IF('Angioplasty Summary'!$R$4=1, AN84))</f>
        <v>5</v>
      </c>
      <c r="AT84" s="124">
        <v>0.24</v>
      </c>
    </row>
    <row r="85" spans="1:46" x14ac:dyDescent="0.25">
      <c r="A85" s="18" t="s">
        <v>25</v>
      </c>
      <c r="B85" s="18" t="s">
        <v>26</v>
      </c>
      <c r="C85" s="80">
        <v>808</v>
      </c>
      <c r="D85" s="83">
        <v>1</v>
      </c>
      <c r="E85" s="83">
        <v>0.65</v>
      </c>
      <c r="F85" s="83">
        <v>0.82</v>
      </c>
      <c r="G85" s="83" t="s">
        <v>292</v>
      </c>
      <c r="H85" s="81">
        <v>1.5297119617462157E-2</v>
      </c>
      <c r="I85" s="84">
        <v>791</v>
      </c>
      <c r="J85" s="81">
        <v>9.0000003576278687E-2</v>
      </c>
      <c r="K85" s="84">
        <v>67</v>
      </c>
      <c r="L85" s="84" t="s">
        <v>341</v>
      </c>
      <c r="M85" s="79" t="s">
        <v>25</v>
      </c>
      <c r="N85" s="83">
        <v>0.99</v>
      </c>
      <c r="O85" s="83">
        <v>1</v>
      </c>
      <c r="P85" s="83">
        <v>0.62</v>
      </c>
      <c r="Q85" s="83">
        <v>0.69</v>
      </c>
      <c r="R85" s="83">
        <v>0.79</v>
      </c>
      <c r="S85" s="83">
        <v>0.85</v>
      </c>
      <c r="T85" s="85">
        <v>1.0000000000000009E-2</v>
      </c>
      <c r="U85" s="85">
        <v>0</v>
      </c>
      <c r="V85" s="85">
        <v>3.0000000000000027E-2</v>
      </c>
      <c r="W85" s="85">
        <v>3.9999999999999925E-2</v>
      </c>
      <c r="X85" s="85">
        <v>2.9999999999999916E-2</v>
      </c>
      <c r="Y85" s="85">
        <v>3.0000000000000027E-2</v>
      </c>
      <c r="Z85" s="86">
        <f>IF('Angioplasty Summary'!$R$55=3, RANK(F85,F$2:F$102,1)+COUNTIF($F$2:F85,F85)-1, IF('Angioplasty Summary'!$R$55=2, RANK(E85,E$2:E$102,1)+COUNTIF($E$2:E85,E85)-1, IF('Angioplasty Summary'!$R$55=1, RANK(D85,D$2:D$102,1)+COUNTIF($D$2:D85,D85)-1)))</f>
        <v>71</v>
      </c>
      <c r="AA85" s="85">
        <f>IF('Angioplasty Summary'!$R$55=3, F85, IF('Angioplasty Summary'!$R$55=2, E85, IF('Angioplasty Summary'!$R$55=1, D85)))</f>
        <v>1</v>
      </c>
      <c r="AB85" s="85">
        <f>IF('Angioplasty Summary'!$R$55=3, X85, IF('Angioplasty Summary'!$R$55=2, V85, IF('Angioplasty Summary'!$R$55=1, T85)))</f>
        <v>1.0000000000000009E-2</v>
      </c>
      <c r="AC85" s="85">
        <f>IF('Angioplasty Summary'!$R$55=3, Y85, IF('Angioplasty Summary'!$R$55=2, W85, IF('Angioplasty Summary'!$R$55=1, U85)))</f>
        <v>0</v>
      </c>
      <c r="AD85">
        <v>3</v>
      </c>
      <c r="AE85">
        <v>72</v>
      </c>
      <c r="AF85">
        <v>1</v>
      </c>
      <c r="AG85">
        <v>6</v>
      </c>
      <c r="AH85">
        <f t="shared" si="4"/>
        <v>2</v>
      </c>
      <c r="AI85">
        <f t="shared" si="5"/>
        <v>3</v>
      </c>
      <c r="AJ85">
        <v>58.99999737739563</v>
      </c>
      <c r="AK85">
        <v>81.999999284744263</v>
      </c>
      <c r="AL85">
        <f t="shared" si="6"/>
        <v>13.00000262260437</v>
      </c>
      <c r="AM85">
        <f t="shared" si="7"/>
        <v>9.9999992847442627</v>
      </c>
      <c r="AN85">
        <v>5</v>
      </c>
      <c r="AO85">
        <v>80</v>
      </c>
      <c r="AP85" s="91">
        <f>IF('Angioplasty Summary'!$R$4=2, AE85, IF('Angioplasty Summary'!$R$4=1, AD85))</f>
        <v>3</v>
      </c>
      <c r="AQ85" s="91">
        <f>IF('Angioplasty Summary'!$R$4=2, AL85, IF('Angioplasty Summary'!$R$4=1, AH85))</f>
        <v>2</v>
      </c>
      <c r="AR85" s="91">
        <f>IF('Angioplasty Summary'!$R$4=2, AM85, IF('Angioplasty Summary'!$R$4=1, AI85))</f>
        <v>3</v>
      </c>
      <c r="AS85" s="91">
        <f>IF('Angioplasty Summary'!$R$4=2, AO85, IF('Angioplasty Summary'!$R$4=1, AN85))</f>
        <v>5</v>
      </c>
      <c r="AT85" s="124">
        <v>0.72</v>
      </c>
    </row>
    <row r="86" spans="1:46" x14ac:dyDescent="0.25">
      <c r="A86" s="18" t="s">
        <v>87</v>
      </c>
      <c r="B86" s="18" t="s">
        <v>88</v>
      </c>
      <c r="C86" s="80">
        <v>825</v>
      </c>
      <c r="D86" s="83">
        <v>0.98</v>
      </c>
      <c r="E86" s="83">
        <v>0.75</v>
      </c>
      <c r="F86" s="83">
        <v>0.88</v>
      </c>
      <c r="G86" s="83" t="s">
        <v>298</v>
      </c>
      <c r="H86" s="81">
        <v>2.5021634101867675E-2</v>
      </c>
      <c r="I86" s="84">
        <v>684</v>
      </c>
      <c r="J86" s="81">
        <v>0.10999999940395355</v>
      </c>
      <c r="K86" s="84">
        <v>340</v>
      </c>
      <c r="L86" s="84" t="s">
        <v>248</v>
      </c>
      <c r="M86" s="79" t="s">
        <v>87</v>
      </c>
      <c r="N86" s="83">
        <v>0.97</v>
      </c>
      <c r="O86" s="83">
        <v>0.99</v>
      </c>
      <c r="P86" s="83">
        <v>0.71</v>
      </c>
      <c r="Q86" s="83">
        <v>0.79</v>
      </c>
      <c r="R86" s="83">
        <v>0.86</v>
      </c>
      <c r="S86" s="83">
        <v>0.9</v>
      </c>
      <c r="T86" s="85">
        <v>1.0000000000000009E-2</v>
      </c>
      <c r="U86" s="85">
        <v>1.0000000000000009E-2</v>
      </c>
      <c r="V86" s="85">
        <v>4.0000000000000036E-2</v>
      </c>
      <c r="W86" s="85">
        <v>4.0000000000000036E-2</v>
      </c>
      <c r="X86" s="85">
        <v>2.0000000000000018E-2</v>
      </c>
      <c r="Y86" s="85">
        <v>2.0000000000000018E-2</v>
      </c>
      <c r="Z86" s="86">
        <f>IF('Angioplasty Summary'!$R$55=3, RANK(F86,F$2:F$102,1)+COUNTIF($F$2:F86,F86)-1, IF('Angioplasty Summary'!$R$55=2, RANK(E86,E$2:E$102,1)+COUNTIF($E$2:E86,E86)-1, IF('Angioplasty Summary'!$R$55=1, RANK(D86,D$2:D$102,1)+COUNTIF($D$2:D86,D86)-1)))</f>
        <v>34</v>
      </c>
      <c r="AA86" s="85">
        <f>IF('Angioplasty Summary'!$R$55=3, F86, IF('Angioplasty Summary'!$R$55=2, E86, IF('Angioplasty Summary'!$R$55=1, D86)))</f>
        <v>0.98</v>
      </c>
      <c r="AB86" s="85">
        <f>IF('Angioplasty Summary'!$R$55=3, X86, IF('Angioplasty Summary'!$R$55=2, V86, IF('Angioplasty Summary'!$R$55=1, T86)))</f>
        <v>1.0000000000000009E-2</v>
      </c>
      <c r="AC86" s="85">
        <f>IF('Angioplasty Summary'!$R$55=3, Y86, IF('Angioplasty Summary'!$R$55=2, W86, IF('Angioplasty Summary'!$R$55=1, U86)))</f>
        <v>1.0000000000000009E-2</v>
      </c>
      <c r="AD86">
        <v>4</v>
      </c>
      <c r="AE86">
        <v>67</v>
      </c>
      <c r="AF86">
        <v>2</v>
      </c>
      <c r="AG86">
        <v>7</v>
      </c>
      <c r="AH86">
        <f t="shared" si="4"/>
        <v>2</v>
      </c>
      <c r="AI86">
        <f t="shared" si="5"/>
        <v>3</v>
      </c>
      <c r="AJ86">
        <v>61.000001430511475</v>
      </c>
      <c r="AK86">
        <v>72.000002861022949</v>
      </c>
      <c r="AL86">
        <f t="shared" si="6"/>
        <v>5.9999985694885254</v>
      </c>
      <c r="AM86">
        <f t="shared" si="7"/>
        <v>5.0000028610229492</v>
      </c>
      <c r="AN86">
        <v>5</v>
      </c>
      <c r="AO86">
        <v>80</v>
      </c>
      <c r="AP86" s="91">
        <f>IF('Angioplasty Summary'!$R$4=2, AE86, IF('Angioplasty Summary'!$R$4=1, AD86))</f>
        <v>4</v>
      </c>
      <c r="AQ86" s="91">
        <f>IF('Angioplasty Summary'!$R$4=2, AL86, IF('Angioplasty Summary'!$R$4=1, AH86))</f>
        <v>2</v>
      </c>
      <c r="AR86" s="91">
        <f>IF('Angioplasty Summary'!$R$4=2, AM86, IF('Angioplasty Summary'!$R$4=1, AI86))</f>
        <v>3</v>
      </c>
      <c r="AS86" s="91">
        <f>IF('Angioplasty Summary'!$R$4=2, AO86, IF('Angioplasty Summary'!$R$4=1, AN86))</f>
        <v>5</v>
      </c>
      <c r="AT86" s="124">
        <v>0.67</v>
      </c>
    </row>
    <row r="87" spans="1:46" x14ac:dyDescent="0.25">
      <c r="A87" s="18" t="s">
        <v>17</v>
      </c>
      <c r="B87" s="18" t="s">
        <v>18</v>
      </c>
      <c r="C87" s="80">
        <v>2</v>
      </c>
      <c r="D87" s="83" t="s">
        <v>399</v>
      </c>
      <c r="E87" s="83" t="s">
        <v>399</v>
      </c>
      <c r="F87" s="83" t="s">
        <v>399</v>
      </c>
      <c r="G87" s="83" t="s">
        <v>399</v>
      </c>
      <c r="H87" s="81" t="s">
        <v>399</v>
      </c>
      <c r="I87" s="84" t="s">
        <v>399</v>
      </c>
      <c r="J87" s="81" t="s">
        <v>399</v>
      </c>
      <c r="K87" s="84" t="s">
        <v>399</v>
      </c>
      <c r="L87" s="84" t="s">
        <v>399</v>
      </c>
      <c r="M87" s="79" t="s">
        <v>17</v>
      </c>
      <c r="N87" s="83" t="e">
        <v>#VALUE!</v>
      </c>
      <c r="O87" s="83" t="e">
        <v>#VALUE!</v>
      </c>
      <c r="P87" s="83" t="e">
        <v>#VALUE!</v>
      </c>
      <c r="Q87" s="83" t="e">
        <v>#VALUE!</v>
      </c>
      <c r="R87" s="83" t="e">
        <v>#VALUE!</v>
      </c>
      <c r="S87" s="83" t="e">
        <v>#VALUE!</v>
      </c>
      <c r="T87" s="85" t="e">
        <v>#VALUE!</v>
      </c>
      <c r="U87" s="85" t="e">
        <v>#VALUE!</v>
      </c>
      <c r="V87" s="85" t="e">
        <v>#VALUE!</v>
      </c>
      <c r="W87" s="85" t="e">
        <v>#VALUE!</v>
      </c>
      <c r="X87" s="85" t="e">
        <v>#VALUE!</v>
      </c>
      <c r="Y87" s="85" t="e">
        <v>#VALUE!</v>
      </c>
      <c r="Z87" s="86" t="e">
        <f>IF('Angioplasty Summary'!$R$55=3, RANK(F87,F$2:F$102,1)+COUNTIF($F$2:F87,F87)-1, IF('Angioplasty Summary'!$R$55=2, RANK(E87,E$2:E$102,1)+COUNTIF($E$2:E87,E87)-1, IF('Angioplasty Summary'!$R$55=1, RANK(D87,D$2:D$102,1)+COUNTIF($D$2:D87,D87)-1)))</f>
        <v>#VALUE!</v>
      </c>
      <c r="AA87" s="85" t="str">
        <f>IF('Angioplasty Summary'!$R$55=3, F87, IF('Angioplasty Summary'!$R$55=2, E87, IF('Angioplasty Summary'!$R$55=1, D87)))</f>
        <v>xx</v>
      </c>
      <c r="AB87" s="85" t="e">
        <f>IF('Angioplasty Summary'!$R$55=3, X87, IF('Angioplasty Summary'!$R$55=2, V87, IF('Angioplasty Summary'!$R$55=1, T87)))</f>
        <v>#VALUE!</v>
      </c>
      <c r="AC87" s="85" t="e">
        <f>IF('Angioplasty Summary'!$R$55=3, Y87, IF('Angioplasty Summary'!$R$55=2, W87, IF('Angioplasty Summary'!$R$55=1, U87)))</f>
        <v>#VALUE!</v>
      </c>
      <c r="AD87" t="s">
        <v>399</v>
      </c>
      <c r="AE87" t="e">
        <v>#VALUE!</v>
      </c>
      <c r="AF87" t="e">
        <v>#VALUE!</v>
      </c>
      <c r="AG87" t="e">
        <v>#VALUE!</v>
      </c>
      <c r="AH87" t="e">
        <f t="shared" si="4"/>
        <v>#VALUE!</v>
      </c>
      <c r="AI87" t="e">
        <f t="shared" si="5"/>
        <v>#VALUE!</v>
      </c>
      <c r="AJ87" t="e">
        <v>#VALUE!</v>
      </c>
      <c r="AK87" t="e">
        <v>#VALUE!</v>
      </c>
      <c r="AL87" t="e">
        <f t="shared" si="6"/>
        <v>#VALUE!</v>
      </c>
      <c r="AM87" t="e">
        <f t="shared" si="7"/>
        <v>#VALUE!</v>
      </c>
      <c r="AN87">
        <v>5</v>
      </c>
      <c r="AO87">
        <v>80</v>
      </c>
      <c r="AP87" s="91" t="str">
        <f>IF('Angioplasty Summary'!$R$4=2, AE87, IF('Angioplasty Summary'!$R$4=1, AD87))</f>
        <v>xx</v>
      </c>
      <c r="AQ87" s="91" t="e">
        <f>IF('Angioplasty Summary'!$R$4=2, AL87, IF('Angioplasty Summary'!$R$4=1, AH87))</f>
        <v>#VALUE!</v>
      </c>
      <c r="AR87" s="91" t="e">
        <f>IF('Angioplasty Summary'!$R$4=2, AM87, IF('Angioplasty Summary'!$R$4=1, AI87))</f>
        <v>#VALUE!</v>
      </c>
      <c r="AS87" s="91">
        <f>IF('Angioplasty Summary'!$R$4=2, AO87, IF('Angioplasty Summary'!$R$4=1, AN87))</f>
        <v>5</v>
      </c>
      <c r="AT87" t="s">
        <v>399</v>
      </c>
    </row>
    <row r="88" spans="1:46" x14ac:dyDescent="0.25">
      <c r="A88" s="18" t="s">
        <v>132</v>
      </c>
      <c r="B88" s="18" t="s">
        <v>133</v>
      </c>
      <c r="C88" s="80">
        <v>176</v>
      </c>
      <c r="D88" s="83">
        <v>0.99</v>
      </c>
      <c r="E88" s="83">
        <v>0.71</v>
      </c>
      <c r="F88" s="83">
        <v>0.82</v>
      </c>
      <c r="G88" s="83" t="s">
        <v>289</v>
      </c>
      <c r="H88" s="81">
        <v>5.5937045812606808E-3</v>
      </c>
      <c r="I88" s="84">
        <v>175</v>
      </c>
      <c r="J88" s="81">
        <v>2.9999999329447746E-2</v>
      </c>
      <c r="K88" s="84">
        <v>39</v>
      </c>
      <c r="L88" s="84" t="s">
        <v>655</v>
      </c>
      <c r="M88" s="79" t="s">
        <v>132</v>
      </c>
      <c r="N88" s="83">
        <v>0.97</v>
      </c>
      <c r="O88" s="83">
        <v>1</v>
      </c>
      <c r="P88" s="83">
        <v>0.62</v>
      </c>
      <c r="Q88" s="83">
        <v>0.78</v>
      </c>
      <c r="R88" s="83">
        <v>0.76</v>
      </c>
      <c r="S88" s="83">
        <v>0.88</v>
      </c>
      <c r="T88" s="85">
        <v>2.0000000000000018E-2</v>
      </c>
      <c r="U88" s="85">
        <v>1.0000000000000009E-2</v>
      </c>
      <c r="V88" s="85">
        <v>8.9999999999999969E-2</v>
      </c>
      <c r="W88" s="85">
        <v>7.0000000000000062E-2</v>
      </c>
      <c r="X88" s="85">
        <v>5.9999999999999942E-2</v>
      </c>
      <c r="Y88" s="85">
        <v>6.0000000000000053E-2</v>
      </c>
      <c r="Z88" s="86">
        <f>IF('Angioplasty Summary'!$R$55=3, RANK(F88,F$2:F$102,1)+COUNTIF($F$2:F88,F88)-1, IF('Angioplasty Summary'!$R$55=2, RANK(E88,E$2:E$102,1)+COUNTIF($E$2:E88,E88)-1, IF('Angioplasty Summary'!$R$55=1, RANK(D88,D$2:D$102,1)+COUNTIF($D$2:D88,D88)-1)))</f>
        <v>43</v>
      </c>
      <c r="AA88" s="85">
        <f>IF('Angioplasty Summary'!$R$55=3, F88, IF('Angioplasty Summary'!$R$55=2, E88, IF('Angioplasty Summary'!$R$55=1, D88)))</f>
        <v>0.99</v>
      </c>
      <c r="AB88" s="85">
        <f>IF('Angioplasty Summary'!$R$55=3, X88, IF('Angioplasty Summary'!$R$55=2, V88, IF('Angioplasty Summary'!$R$55=1, T88)))</f>
        <v>2.0000000000000018E-2</v>
      </c>
      <c r="AC88" s="85">
        <f>IF('Angioplasty Summary'!$R$55=3, Y88, IF('Angioplasty Summary'!$R$55=2, W88, IF('Angioplasty Summary'!$R$55=1, U88)))</f>
        <v>1.0000000000000009E-2</v>
      </c>
      <c r="AD88">
        <v>9</v>
      </c>
      <c r="AE88">
        <v>28</v>
      </c>
      <c r="AF88">
        <v>5</v>
      </c>
      <c r="AG88">
        <v>13</v>
      </c>
      <c r="AH88">
        <f t="shared" si="4"/>
        <v>4</v>
      </c>
      <c r="AI88">
        <f t="shared" si="5"/>
        <v>4</v>
      </c>
      <c r="AJ88">
        <v>15.000000596046448</v>
      </c>
      <c r="AK88">
        <v>44.999998807907104</v>
      </c>
      <c r="AL88">
        <f t="shared" si="6"/>
        <v>12.999999403953552</v>
      </c>
      <c r="AM88">
        <f t="shared" si="7"/>
        <v>16.999998807907104</v>
      </c>
      <c r="AN88">
        <v>5</v>
      </c>
      <c r="AO88">
        <v>80</v>
      </c>
      <c r="AP88" s="91">
        <f>IF('Angioplasty Summary'!$R$4=2, AE88, IF('Angioplasty Summary'!$R$4=1, AD88))</f>
        <v>9</v>
      </c>
      <c r="AQ88" s="91">
        <f>IF('Angioplasty Summary'!$R$4=2, AL88, IF('Angioplasty Summary'!$R$4=1, AH88))</f>
        <v>4</v>
      </c>
      <c r="AR88" s="91">
        <f>IF('Angioplasty Summary'!$R$4=2, AM88, IF('Angioplasty Summary'!$R$4=1, AI88))</f>
        <v>4</v>
      </c>
      <c r="AS88" s="91">
        <f>IF('Angioplasty Summary'!$R$4=2, AO88, IF('Angioplasty Summary'!$R$4=1, AN88))</f>
        <v>5</v>
      </c>
      <c r="AT88" s="124">
        <v>0.28000000000000003</v>
      </c>
    </row>
    <row r="89" spans="1:46" x14ac:dyDescent="0.25">
      <c r="A89" s="18" t="s">
        <v>109</v>
      </c>
      <c r="B89" s="18" t="s">
        <v>110</v>
      </c>
      <c r="C89" s="80">
        <v>11</v>
      </c>
      <c r="D89" s="83">
        <v>1</v>
      </c>
      <c r="E89" s="83">
        <v>0.36</v>
      </c>
      <c r="F89" s="83">
        <v>0.91</v>
      </c>
      <c r="G89" s="83" t="s">
        <v>374</v>
      </c>
      <c r="H89" s="81">
        <v>0</v>
      </c>
      <c r="I89" s="84">
        <v>11</v>
      </c>
      <c r="J89" s="81">
        <v>0.18000000715255737</v>
      </c>
      <c r="K89" s="84" t="s">
        <v>633</v>
      </c>
      <c r="L89" s="84" t="s">
        <v>399</v>
      </c>
      <c r="M89" s="79" t="s">
        <v>109</v>
      </c>
      <c r="N89" s="83">
        <v>0.72</v>
      </c>
      <c r="O89" s="83">
        <v>1</v>
      </c>
      <c r="P89" s="83">
        <v>0.11</v>
      </c>
      <c r="Q89" s="83">
        <v>0.69</v>
      </c>
      <c r="R89" s="83">
        <v>0.59</v>
      </c>
      <c r="S89" s="83">
        <v>1</v>
      </c>
      <c r="T89" s="85">
        <v>0.28000000000000003</v>
      </c>
      <c r="U89" s="85">
        <v>0</v>
      </c>
      <c r="V89" s="85">
        <v>0.25</v>
      </c>
      <c r="W89" s="85">
        <v>0.32999999999999996</v>
      </c>
      <c r="X89" s="85">
        <v>0.32000000000000006</v>
      </c>
      <c r="Y89" s="85">
        <v>8.9999999999999969E-2</v>
      </c>
      <c r="Z89" s="86">
        <f>IF('Angioplasty Summary'!$R$55=3, RANK(F89,F$2:F$102,1)+COUNTIF($F$2:F89,F89)-1, IF('Angioplasty Summary'!$R$55=2, RANK(E89,E$2:E$102,1)+COUNTIF($E$2:E89,E89)-1, IF('Angioplasty Summary'!$R$55=1, RANK(D89,D$2:D$102,1)+COUNTIF($D$2:D89,D89)-1)))</f>
        <v>72</v>
      </c>
      <c r="AA89" s="85">
        <f>IF('Angioplasty Summary'!$R$55=3, F89, IF('Angioplasty Summary'!$R$55=2, E89, IF('Angioplasty Summary'!$R$55=1, D89)))</f>
        <v>1</v>
      </c>
      <c r="AB89" s="85">
        <f>IF('Angioplasty Summary'!$R$55=3, X89, IF('Angioplasty Summary'!$R$55=2, V89, IF('Angioplasty Summary'!$R$55=1, T89)))</f>
        <v>0.28000000000000003</v>
      </c>
      <c r="AC89" s="85">
        <f>IF('Angioplasty Summary'!$R$55=3, Y89, IF('Angioplasty Summary'!$R$55=2, W89, IF('Angioplasty Summary'!$R$55=1, U89)))</f>
        <v>0</v>
      </c>
      <c r="AD89" t="s">
        <v>399</v>
      </c>
      <c r="AE89" t="e">
        <v>#VALUE!</v>
      </c>
      <c r="AF89" t="e">
        <v>#VALUE!</v>
      </c>
      <c r="AG89" t="e">
        <v>#VALUE!</v>
      </c>
      <c r="AH89" t="e">
        <f t="shared" si="4"/>
        <v>#VALUE!</v>
      </c>
      <c r="AI89" t="e">
        <f t="shared" si="5"/>
        <v>#VALUE!</v>
      </c>
      <c r="AJ89" t="e">
        <v>#VALUE!</v>
      </c>
      <c r="AK89" t="e">
        <v>#VALUE!</v>
      </c>
      <c r="AL89" t="e">
        <f t="shared" si="6"/>
        <v>#VALUE!</v>
      </c>
      <c r="AM89" t="e">
        <f t="shared" si="7"/>
        <v>#VALUE!</v>
      </c>
      <c r="AN89">
        <v>5</v>
      </c>
      <c r="AO89">
        <v>80</v>
      </c>
      <c r="AP89" s="91" t="str">
        <f>IF('Angioplasty Summary'!$R$4=2, AE89, IF('Angioplasty Summary'!$R$4=1, AD89))</f>
        <v>xx</v>
      </c>
      <c r="AQ89" s="91" t="e">
        <f>IF('Angioplasty Summary'!$R$4=2, AL89, IF('Angioplasty Summary'!$R$4=1, AH89))</f>
        <v>#VALUE!</v>
      </c>
      <c r="AR89" s="91" t="e">
        <f>IF('Angioplasty Summary'!$R$4=2, AM89, IF('Angioplasty Summary'!$R$4=1, AI89))</f>
        <v>#VALUE!</v>
      </c>
      <c r="AS89" s="91">
        <f>IF('Angioplasty Summary'!$R$4=2, AO89, IF('Angioplasty Summary'!$R$4=1, AN89))</f>
        <v>5</v>
      </c>
      <c r="AT89" t="s">
        <v>399</v>
      </c>
    </row>
    <row r="90" spans="1:46" x14ac:dyDescent="0.25">
      <c r="A90" s="18" t="s">
        <v>70</v>
      </c>
      <c r="B90" s="18" t="s">
        <v>71</v>
      </c>
      <c r="C90" s="80">
        <v>798</v>
      </c>
      <c r="D90" s="83">
        <v>0.99</v>
      </c>
      <c r="E90" s="83">
        <v>0.72</v>
      </c>
      <c r="F90" s="83">
        <v>0.88</v>
      </c>
      <c r="G90" s="83" t="s">
        <v>634</v>
      </c>
      <c r="H90" s="81">
        <v>1.7899811267852783E-2</v>
      </c>
      <c r="I90" s="84">
        <v>778</v>
      </c>
      <c r="J90" s="81">
        <v>0.25</v>
      </c>
      <c r="K90" s="84">
        <v>285</v>
      </c>
      <c r="L90" s="84" t="s">
        <v>339</v>
      </c>
      <c r="M90" s="79" t="s">
        <v>70</v>
      </c>
      <c r="N90" s="83">
        <v>0.98</v>
      </c>
      <c r="O90" s="83">
        <v>0.99</v>
      </c>
      <c r="P90" s="83">
        <v>0.68</v>
      </c>
      <c r="Q90" s="83">
        <v>0.76</v>
      </c>
      <c r="R90" s="83">
        <v>0.85</v>
      </c>
      <c r="S90" s="83">
        <v>0.9</v>
      </c>
      <c r="T90" s="85">
        <v>1.0000000000000009E-2</v>
      </c>
      <c r="U90" s="85">
        <v>0</v>
      </c>
      <c r="V90" s="85">
        <v>3.9999999999999925E-2</v>
      </c>
      <c r="W90" s="85">
        <v>4.0000000000000036E-2</v>
      </c>
      <c r="X90" s="85">
        <v>3.0000000000000027E-2</v>
      </c>
      <c r="Y90" s="85">
        <v>2.0000000000000018E-2</v>
      </c>
      <c r="Z90" s="86">
        <f>IF('Angioplasty Summary'!$R$55=3, RANK(F90,F$2:F$102,1)+COUNTIF($F$2:F90,F90)-1, IF('Angioplasty Summary'!$R$55=2, RANK(E90,E$2:E$102,1)+COUNTIF($E$2:E90,E90)-1, IF('Angioplasty Summary'!$R$55=1, RANK(D90,D$2:D$102,1)+COUNTIF($D$2:D90,D90)-1)))</f>
        <v>44</v>
      </c>
      <c r="AA90" s="85">
        <f>IF('Angioplasty Summary'!$R$55=3, F90, IF('Angioplasty Summary'!$R$55=2, E90, IF('Angioplasty Summary'!$R$55=1, D90)))</f>
        <v>0.99</v>
      </c>
      <c r="AB90" s="85">
        <f>IF('Angioplasty Summary'!$R$55=3, X90, IF('Angioplasty Summary'!$R$55=2, V90, IF('Angioplasty Summary'!$R$55=1, T90)))</f>
        <v>1.0000000000000009E-2</v>
      </c>
      <c r="AC90" s="85">
        <f>IF('Angioplasty Summary'!$R$55=3, Y90, IF('Angioplasty Summary'!$R$55=2, W90, IF('Angioplasty Summary'!$R$55=1, U90)))</f>
        <v>0</v>
      </c>
      <c r="AD90">
        <v>6</v>
      </c>
      <c r="AE90">
        <v>44</v>
      </c>
      <c r="AF90">
        <v>3</v>
      </c>
      <c r="AG90">
        <v>10</v>
      </c>
      <c r="AH90">
        <f t="shared" si="4"/>
        <v>3</v>
      </c>
      <c r="AI90">
        <f t="shared" si="5"/>
        <v>4</v>
      </c>
      <c r="AJ90">
        <v>37.999999523162842</v>
      </c>
      <c r="AK90">
        <v>50</v>
      </c>
      <c r="AL90">
        <f t="shared" si="6"/>
        <v>6.0000004768371582</v>
      </c>
      <c r="AM90">
        <f t="shared" si="7"/>
        <v>6</v>
      </c>
      <c r="AN90">
        <v>5</v>
      </c>
      <c r="AO90">
        <v>80</v>
      </c>
      <c r="AP90" s="91">
        <f>IF('Angioplasty Summary'!$R$4=2, AE90, IF('Angioplasty Summary'!$R$4=1, AD90))</f>
        <v>6</v>
      </c>
      <c r="AQ90" s="91">
        <f>IF('Angioplasty Summary'!$R$4=2, AL90, IF('Angioplasty Summary'!$R$4=1, AH90))</f>
        <v>3</v>
      </c>
      <c r="AR90" s="91">
        <f>IF('Angioplasty Summary'!$R$4=2, AM90, IF('Angioplasty Summary'!$R$4=1, AI90))</f>
        <v>4</v>
      </c>
      <c r="AS90" s="91">
        <f>IF('Angioplasty Summary'!$R$4=2, AO90, IF('Angioplasty Summary'!$R$4=1, AN90))</f>
        <v>5</v>
      </c>
      <c r="AT90" s="124">
        <v>0.44</v>
      </c>
    </row>
    <row r="91" spans="1:46" x14ac:dyDescent="0.25">
      <c r="A91" s="18" t="s">
        <v>58</v>
      </c>
      <c r="B91" s="18" t="s">
        <v>59</v>
      </c>
      <c r="C91" s="80">
        <v>37</v>
      </c>
      <c r="D91" s="83">
        <v>0.95</v>
      </c>
      <c r="E91" s="83">
        <v>0.13</v>
      </c>
      <c r="F91" s="83">
        <v>0.76</v>
      </c>
      <c r="G91" s="83" t="s">
        <v>300</v>
      </c>
      <c r="H91" s="81">
        <v>4.9144005775451659E-2</v>
      </c>
      <c r="I91" s="84">
        <v>36</v>
      </c>
      <c r="J91" s="81">
        <v>0.14000000059604645</v>
      </c>
      <c r="K91" s="84" t="s">
        <v>633</v>
      </c>
      <c r="L91" s="84" t="s">
        <v>399</v>
      </c>
      <c r="M91" s="79" t="s">
        <v>58</v>
      </c>
      <c r="N91" s="83">
        <v>0.82</v>
      </c>
      <c r="O91" s="83">
        <v>0.99</v>
      </c>
      <c r="P91" s="83">
        <v>0.04</v>
      </c>
      <c r="Q91" s="83">
        <v>0.3</v>
      </c>
      <c r="R91" s="83">
        <v>0.59</v>
      </c>
      <c r="S91" s="83">
        <v>0.88</v>
      </c>
      <c r="T91" s="85">
        <v>0.13</v>
      </c>
      <c r="U91" s="85">
        <v>4.0000000000000036E-2</v>
      </c>
      <c r="V91" s="85">
        <v>0.09</v>
      </c>
      <c r="W91" s="85">
        <v>0.16999999999999998</v>
      </c>
      <c r="X91" s="85">
        <v>0.17000000000000004</v>
      </c>
      <c r="Y91" s="85">
        <v>0.12</v>
      </c>
      <c r="Z91" s="86">
        <f>IF('Angioplasty Summary'!$R$55=3, RANK(F91,F$2:F$102,1)+COUNTIF($F$2:F91,F91)-1, IF('Angioplasty Summary'!$R$55=2, RANK(E91,E$2:E$102,1)+COUNTIF($E$2:E91,E91)-1, IF('Angioplasty Summary'!$R$55=1, RANK(D91,D$2:D$102,1)+COUNTIF($D$2:D91,D91)-1)))</f>
        <v>12</v>
      </c>
      <c r="AA91" s="85">
        <f>IF('Angioplasty Summary'!$R$55=3, F91, IF('Angioplasty Summary'!$R$55=2, E91, IF('Angioplasty Summary'!$R$55=1, D91)))</f>
        <v>0.95</v>
      </c>
      <c r="AB91" s="85">
        <f>IF('Angioplasty Summary'!$R$55=3, X91, IF('Angioplasty Summary'!$R$55=2, V91, IF('Angioplasty Summary'!$R$55=1, T91)))</f>
        <v>0.13</v>
      </c>
      <c r="AC91" s="85">
        <f>IF('Angioplasty Summary'!$R$55=3, Y91, IF('Angioplasty Summary'!$R$55=2, W91, IF('Angioplasty Summary'!$R$55=1, U91)))</f>
        <v>4.0000000000000036E-2</v>
      </c>
      <c r="AD91" t="s">
        <v>399</v>
      </c>
      <c r="AE91" t="e">
        <v>#VALUE!</v>
      </c>
      <c r="AF91" t="e">
        <v>#VALUE!</v>
      </c>
      <c r="AG91" t="e">
        <v>#VALUE!</v>
      </c>
      <c r="AH91" t="e">
        <f t="shared" si="4"/>
        <v>#VALUE!</v>
      </c>
      <c r="AI91" t="e">
        <f t="shared" si="5"/>
        <v>#VALUE!</v>
      </c>
      <c r="AJ91" t="e">
        <v>#VALUE!</v>
      </c>
      <c r="AK91" t="e">
        <v>#VALUE!</v>
      </c>
      <c r="AL91" t="e">
        <f t="shared" si="6"/>
        <v>#VALUE!</v>
      </c>
      <c r="AM91" t="e">
        <f t="shared" si="7"/>
        <v>#VALUE!</v>
      </c>
      <c r="AN91">
        <v>5</v>
      </c>
      <c r="AO91">
        <v>80</v>
      </c>
      <c r="AP91" s="91" t="str">
        <f>IF('Angioplasty Summary'!$R$4=2, AE91, IF('Angioplasty Summary'!$R$4=1, AD91))</f>
        <v>xx</v>
      </c>
      <c r="AQ91" s="91" t="e">
        <f>IF('Angioplasty Summary'!$R$4=2, AL91, IF('Angioplasty Summary'!$R$4=1, AH91))</f>
        <v>#VALUE!</v>
      </c>
      <c r="AR91" s="91" t="e">
        <f>IF('Angioplasty Summary'!$R$4=2, AM91, IF('Angioplasty Summary'!$R$4=1, AI91))</f>
        <v>#VALUE!</v>
      </c>
      <c r="AS91" s="91">
        <f>IF('Angioplasty Summary'!$R$4=2, AO91, IF('Angioplasty Summary'!$R$4=1, AN91))</f>
        <v>5</v>
      </c>
      <c r="AT91" t="s">
        <v>399</v>
      </c>
    </row>
    <row r="92" spans="1:46" x14ac:dyDescent="0.25">
      <c r="A92" s="18" t="s">
        <v>107</v>
      </c>
      <c r="B92" s="18" t="s">
        <v>108</v>
      </c>
      <c r="C92" s="80">
        <v>1168</v>
      </c>
      <c r="D92" s="83">
        <v>0.98</v>
      </c>
      <c r="E92" s="83">
        <v>0.69</v>
      </c>
      <c r="F92" s="83">
        <v>0.84</v>
      </c>
      <c r="G92" s="83" t="s">
        <v>298</v>
      </c>
      <c r="H92" s="81">
        <v>1.1453716754913331E-2</v>
      </c>
      <c r="I92" s="84">
        <v>1069</v>
      </c>
      <c r="J92" s="81">
        <v>7.9999998211860657E-2</v>
      </c>
      <c r="K92" s="84">
        <v>405</v>
      </c>
      <c r="L92" s="84" t="s">
        <v>271</v>
      </c>
      <c r="M92" s="79" t="s">
        <v>107</v>
      </c>
      <c r="N92" s="83">
        <v>0.97</v>
      </c>
      <c r="O92" s="83">
        <v>0.99</v>
      </c>
      <c r="P92" s="83">
        <v>0.66</v>
      </c>
      <c r="Q92" s="83">
        <v>0.73</v>
      </c>
      <c r="R92" s="83">
        <v>0.81</v>
      </c>
      <c r="S92" s="83">
        <v>0.86</v>
      </c>
      <c r="T92" s="85">
        <v>1.0000000000000009E-2</v>
      </c>
      <c r="U92" s="85">
        <v>1.0000000000000009E-2</v>
      </c>
      <c r="V92" s="85">
        <v>2.9999999999999916E-2</v>
      </c>
      <c r="W92" s="85">
        <v>4.0000000000000036E-2</v>
      </c>
      <c r="X92" s="85">
        <v>2.9999999999999916E-2</v>
      </c>
      <c r="Y92" s="85">
        <v>2.0000000000000018E-2</v>
      </c>
      <c r="Z92" s="86">
        <f>IF('Angioplasty Summary'!$R$55=3, RANK(F92,F$2:F$102,1)+COUNTIF($F$2:F92,F92)-1, IF('Angioplasty Summary'!$R$55=2, RANK(E92,E$2:E$102,1)+COUNTIF($E$2:E92,E92)-1, IF('Angioplasty Summary'!$R$55=1, RANK(D92,D$2:D$102,1)+COUNTIF($D$2:D92,D92)-1)))</f>
        <v>35</v>
      </c>
      <c r="AA92" s="85">
        <f>IF('Angioplasty Summary'!$R$55=3, F92, IF('Angioplasty Summary'!$R$55=2, E92, IF('Angioplasty Summary'!$R$55=1, D92)))</f>
        <v>0.98</v>
      </c>
      <c r="AB92" s="85">
        <f>IF('Angioplasty Summary'!$R$55=3, X92, IF('Angioplasty Summary'!$R$55=2, V92, IF('Angioplasty Summary'!$R$55=1, T92)))</f>
        <v>1.0000000000000009E-2</v>
      </c>
      <c r="AC92" s="85">
        <f>IF('Angioplasty Summary'!$R$55=3, Y92, IF('Angioplasty Summary'!$R$55=2, W92, IF('Angioplasty Summary'!$R$55=1, U92)))</f>
        <v>1.0000000000000009E-2</v>
      </c>
      <c r="AD92">
        <v>6</v>
      </c>
      <c r="AE92">
        <v>43</v>
      </c>
      <c r="AF92">
        <v>3</v>
      </c>
      <c r="AG92">
        <v>11</v>
      </c>
      <c r="AH92">
        <f t="shared" si="4"/>
        <v>3</v>
      </c>
      <c r="AI92">
        <f t="shared" si="5"/>
        <v>5</v>
      </c>
      <c r="AJ92">
        <v>38.999998569488525</v>
      </c>
      <c r="AK92">
        <v>47.999998927116394</v>
      </c>
      <c r="AL92">
        <f t="shared" si="6"/>
        <v>4.0000014305114746</v>
      </c>
      <c r="AM92">
        <f t="shared" si="7"/>
        <v>4.999998927116394</v>
      </c>
      <c r="AN92">
        <v>5</v>
      </c>
      <c r="AO92">
        <v>80</v>
      </c>
      <c r="AP92" s="91">
        <f>IF('Angioplasty Summary'!$R$4=2, AE92, IF('Angioplasty Summary'!$R$4=1, AD92))</f>
        <v>6</v>
      </c>
      <c r="AQ92" s="91">
        <f>IF('Angioplasty Summary'!$R$4=2, AL92, IF('Angioplasty Summary'!$R$4=1, AH92))</f>
        <v>3</v>
      </c>
      <c r="AR92" s="91">
        <f>IF('Angioplasty Summary'!$R$4=2, AM92, IF('Angioplasty Summary'!$R$4=1, AI92))</f>
        <v>5</v>
      </c>
      <c r="AS92" s="91">
        <f>IF('Angioplasty Summary'!$R$4=2, AO92, IF('Angioplasty Summary'!$R$4=1, AN92))</f>
        <v>5</v>
      </c>
      <c r="AT92" s="124">
        <v>0.43</v>
      </c>
    </row>
    <row r="93" spans="1:46" x14ac:dyDescent="0.25">
      <c r="A93" s="18" t="s">
        <v>261</v>
      </c>
      <c r="B93" s="18" t="s">
        <v>391</v>
      </c>
      <c r="C93" s="80">
        <v>4</v>
      </c>
      <c r="D93" s="83" t="s">
        <v>399</v>
      </c>
      <c r="E93" s="83" t="s">
        <v>399</v>
      </c>
      <c r="F93" s="83" t="s">
        <v>399</v>
      </c>
      <c r="G93" s="83" t="s">
        <v>399</v>
      </c>
      <c r="H93" s="81" t="s">
        <v>399</v>
      </c>
      <c r="I93" s="84" t="s">
        <v>399</v>
      </c>
      <c r="J93" s="81" t="s">
        <v>399</v>
      </c>
      <c r="K93" s="84" t="s">
        <v>399</v>
      </c>
      <c r="L93" s="84" t="s">
        <v>399</v>
      </c>
      <c r="M93" s="79" t="s">
        <v>261</v>
      </c>
      <c r="N93" s="83" t="e">
        <v>#VALUE!</v>
      </c>
      <c r="O93" s="83" t="e">
        <v>#VALUE!</v>
      </c>
      <c r="P93" s="83" t="e">
        <v>#VALUE!</v>
      </c>
      <c r="Q93" s="83" t="e">
        <v>#VALUE!</v>
      </c>
      <c r="R93" s="83" t="e">
        <v>#VALUE!</v>
      </c>
      <c r="S93" s="83" t="e">
        <v>#VALUE!</v>
      </c>
      <c r="T93" s="85" t="e">
        <v>#VALUE!</v>
      </c>
      <c r="U93" s="85" t="e">
        <v>#VALUE!</v>
      </c>
      <c r="V93" s="85" t="e">
        <v>#VALUE!</v>
      </c>
      <c r="W93" s="85" t="e">
        <v>#VALUE!</v>
      </c>
      <c r="X93" s="85" t="e">
        <v>#VALUE!</v>
      </c>
      <c r="Y93" s="85" t="e">
        <v>#VALUE!</v>
      </c>
      <c r="Z93" s="86" t="e">
        <f>IF('Angioplasty Summary'!$R$55=3, RANK(F93,F$2:F$102,1)+COUNTIF($F$2:F93,F93)-1, IF('Angioplasty Summary'!$R$55=2, RANK(E93,E$2:E$102,1)+COUNTIF($E$2:E93,E93)-1, IF('Angioplasty Summary'!$R$55=1, RANK(D93,D$2:D$102,1)+COUNTIF($D$2:D93,D93)-1)))</f>
        <v>#VALUE!</v>
      </c>
      <c r="AA93" s="85" t="str">
        <f>IF('Angioplasty Summary'!$R$55=3, F93, IF('Angioplasty Summary'!$R$55=2, E93, IF('Angioplasty Summary'!$R$55=1, D93)))</f>
        <v>xx</v>
      </c>
      <c r="AB93" s="85" t="e">
        <f>IF('Angioplasty Summary'!$R$55=3, X93, IF('Angioplasty Summary'!$R$55=2, V93, IF('Angioplasty Summary'!$R$55=1, T93)))</f>
        <v>#VALUE!</v>
      </c>
      <c r="AC93" s="85" t="e">
        <f>IF('Angioplasty Summary'!$R$55=3, Y93, IF('Angioplasty Summary'!$R$55=2, W93, IF('Angioplasty Summary'!$R$55=1, U93)))</f>
        <v>#VALUE!</v>
      </c>
      <c r="AD93" t="s">
        <v>399</v>
      </c>
      <c r="AE93" t="e">
        <v>#VALUE!</v>
      </c>
      <c r="AF93" t="e">
        <v>#VALUE!</v>
      </c>
      <c r="AG93" t="e">
        <v>#VALUE!</v>
      </c>
      <c r="AH93" t="e">
        <f t="shared" si="4"/>
        <v>#VALUE!</v>
      </c>
      <c r="AI93" t="e">
        <f t="shared" si="5"/>
        <v>#VALUE!</v>
      </c>
      <c r="AJ93" t="e">
        <v>#VALUE!</v>
      </c>
      <c r="AK93" t="e">
        <v>#VALUE!</v>
      </c>
      <c r="AL93" t="e">
        <f t="shared" si="6"/>
        <v>#VALUE!</v>
      </c>
      <c r="AM93" t="e">
        <f t="shared" si="7"/>
        <v>#VALUE!</v>
      </c>
      <c r="AN93">
        <v>5</v>
      </c>
      <c r="AO93">
        <v>80</v>
      </c>
      <c r="AP93" s="91" t="str">
        <f>IF('Angioplasty Summary'!$R$4=2, AE93, IF('Angioplasty Summary'!$R$4=1, AD93))</f>
        <v>xx</v>
      </c>
      <c r="AQ93" s="91" t="e">
        <f>IF('Angioplasty Summary'!$R$4=2, AL93, IF('Angioplasty Summary'!$R$4=1, AH93))</f>
        <v>#VALUE!</v>
      </c>
      <c r="AR93" s="91" t="e">
        <f>IF('Angioplasty Summary'!$R$4=2, AM93, IF('Angioplasty Summary'!$R$4=1, AI93))</f>
        <v>#VALUE!</v>
      </c>
      <c r="AS93" s="91">
        <f>IF('Angioplasty Summary'!$R$4=2, AO93, IF('Angioplasty Summary'!$R$4=1, AN93))</f>
        <v>5</v>
      </c>
      <c r="AT93" t="s">
        <v>399</v>
      </c>
    </row>
    <row r="94" spans="1:46" x14ac:dyDescent="0.25">
      <c r="A94" s="18" t="s">
        <v>77</v>
      </c>
      <c r="B94" s="18" t="s">
        <v>78</v>
      </c>
      <c r="C94" s="80">
        <v>53</v>
      </c>
      <c r="D94" s="83">
        <v>1</v>
      </c>
      <c r="E94" s="83">
        <v>0.71</v>
      </c>
      <c r="F94" s="83">
        <v>0.87</v>
      </c>
      <c r="G94" s="83" t="s">
        <v>638</v>
      </c>
      <c r="H94" s="81">
        <v>1.5381040573120118E-2</v>
      </c>
      <c r="I94" s="84">
        <v>51</v>
      </c>
      <c r="J94" s="81">
        <v>0.15999999642372131</v>
      </c>
      <c r="K94" s="84">
        <v>19</v>
      </c>
      <c r="L94" s="84" t="s">
        <v>258</v>
      </c>
      <c r="M94" s="79" t="s">
        <v>77</v>
      </c>
      <c r="N94" s="83">
        <v>0.93</v>
      </c>
      <c r="O94" s="83">
        <v>1</v>
      </c>
      <c r="P94" s="83">
        <v>0.52</v>
      </c>
      <c r="Q94" s="83">
        <v>0.86</v>
      </c>
      <c r="R94" s="83">
        <v>0.75</v>
      </c>
      <c r="S94" s="83">
        <v>0.95</v>
      </c>
      <c r="T94" s="85">
        <v>6.9999999999999951E-2</v>
      </c>
      <c r="U94" s="85">
        <v>0</v>
      </c>
      <c r="V94" s="85">
        <v>0.18999999999999995</v>
      </c>
      <c r="W94" s="85">
        <v>0.15000000000000002</v>
      </c>
      <c r="X94" s="85">
        <v>0.12</v>
      </c>
      <c r="Y94" s="85">
        <v>7.999999999999996E-2</v>
      </c>
      <c r="Z94" s="86">
        <f>IF('Angioplasty Summary'!$R$55=3, RANK(F94,F$2:F$102,1)+COUNTIF($F$2:F94,F94)-1, IF('Angioplasty Summary'!$R$55=2, RANK(E94,E$2:E$102,1)+COUNTIF($E$2:E94,E94)-1, IF('Angioplasty Summary'!$R$55=1, RANK(D94,D$2:D$102,1)+COUNTIF($D$2:D94,D94)-1)))</f>
        <v>73</v>
      </c>
      <c r="AA94" s="85">
        <f>IF('Angioplasty Summary'!$R$55=3, F94, IF('Angioplasty Summary'!$R$55=2, E94, IF('Angioplasty Summary'!$R$55=1, D94)))</f>
        <v>1</v>
      </c>
      <c r="AB94" s="85">
        <f>IF('Angioplasty Summary'!$R$55=3, X94, IF('Angioplasty Summary'!$R$55=2, V94, IF('Angioplasty Summary'!$R$55=1, T94)))</f>
        <v>6.9999999999999951E-2</v>
      </c>
      <c r="AC94" s="85">
        <f>IF('Angioplasty Summary'!$R$55=3, Y94, IF('Angioplasty Summary'!$R$55=2, W94, IF('Angioplasty Summary'!$R$55=1, U94)))</f>
        <v>0</v>
      </c>
      <c r="AD94">
        <v>7</v>
      </c>
      <c r="AE94">
        <v>42</v>
      </c>
      <c r="AF94">
        <v>4</v>
      </c>
      <c r="AG94">
        <v>12</v>
      </c>
      <c r="AH94">
        <f t="shared" si="4"/>
        <v>3</v>
      </c>
      <c r="AI94">
        <f t="shared" si="5"/>
        <v>5</v>
      </c>
      <c r="AJ94">
        <v>20.000000298023224</v>
      </c>
      <c r="AK94">
        <v>67.000001668930054</v>
      </c>
      <c r="AL94">
        <f t="shared" si="6"/>
        <v>21.999999701976776</v>
      </c>
      <c r="AM94">
        <f t="shared" si="7"/>
        <v>25.000001668930054</v>
      </c>
      <c r="AN94">
        <v>5</v>
      </c>
      <c r="AO94">
        <v>80</v>
      </c>
      <c r="AP94" s="91">
        <f>IF('Angioplasty Summary'!$R$4=2, AE94, IF('Angioplasty Summary'!$R$4=1, AD94))</f>
        <v>7</v>
      </c>
      <c r="AQ94" s="91">
        <f>IF('Angioplasty Summary'!$R$4=2, AL94, IF('Angioplasty Summary'!$R$4=1, AH94))</f>
        <v>3</v>
      </c>
      <c r="AR94" s="91">
        <f>IF('Angioplasty Summary'!$R$4=2, AM94, IF('Angioplasty Summary'!$R$4=1, AI94))</f>
        <v>5</v>
      </c>
      <c r="AS94" s="91">
        <f>IF('Angioplasty Summary'!$R$4=2, AO94, IF('Angioplasty Summary'!$R$4=1, AN94))</f>
        <v>5</v>
      </c>
      <c r="AT94" s="124">
        <v>0.42</v>
      </c>
    </row>
    <row r="95" spans="1:46" x14ac:dyDescent="0.25">
      <c r="A95" s="18" t="s">
        <v>117</v>
      </c>
      <c r="B95" s="18" t="s">
        <v>400</v>
      </c>
      <c r="C95" s="80">
        <v>918</v>
      </c>
      <c r="D95" s="83">
        <v>0.99</v>
      </c>
      <c r="E95" s="83">
        <v>0.36</v>
      </c>
      <c r="F95" s="83">
        <v>0.93</v>
      </c>
      <c r="G95" s="83" t="s">
        <v>306</v>
      </c>
      <c r="H95" s="81">
        <v>1.0409804582595826E-2</v>
      </c>
      <c r="I95" s="84">
        <v>874</v>
      </c>
      <c r="J95" s="81">
        <v>0.10999999940395355</v>
      </c>
      <c r="K95" s="84">
        <v>242</v>
      </c>
      <c r="L95" s="84" t="s">
        <v>271</v>
      </c>
      <c r="M95" s="79" t="s">
        <v>117</v>
      </c>
      <c r="N95" s="83">
        <v>0.98</v>
      </c>
      <c r="O95" s="83">
        <v>1</v>
      </c>
      <c r="P95" s="83">
        <v>0.32</v>
      </c>
      <c r="Q95" s="83">
        <v>0.4</v>
      </c>
      <c r="R95" s="83">
        <v>0.91</v>
      </c>
      <c r="S95" s="83">
        <v>0.94</v>
      </c>
      <c r="T95" s="85">
        <v>1.0000000000000009E-2</v>
      </c>
      <c r="U95" s="85">
        <v>1.0000000000000009E-2</v>
      </c>
      <c r="V95" s="85">
        <v>3.999999999999998E-2</v>
      </c>
      <c r="W95" s="85">
        <v>4.0000000000000036E-2</v>
      </c>
      <c r="X95" s="85">
        <v>2.0000000000000018E-2</v>
      </c>
      <c r="Y95" s="85">
        <v>9.9999999999998979E-3</v>
      </c>
      <c r="Z95" s="86">
        <f>IF('Angioplasty Summary'!$R$55=3, RANK(F95,F$2:F$102,1)+COUNTIF($F$2:F95,F95)-1, IF('Angioplasty Summary'!$R$55=2, RANK(E95,E$2:E$102,1)+COUNTIF($E$2:E95,E95)-1, IF('Angioplasty Summary'!$R$55=1, RANK(D95,D$2:D$102,1)+COUNTIF($D$2:D95,D95)-1)))</f>
        <v>45</v>
      </c>
      <c r="AA95" s="85">
        <f>IF('Angioplasty Summary'!$R$55=3, F95, IF('Angioplasty Summary'!$R$55=2, E95, IF('Angioplasty Summary'!$R$55=1, D95)))</f>
        <v>0.99</v>
      </c>
      <c r="AB95" s="85">
        <f>IF('Angioplasty Summary'!$R$55=3, X95, IF('Angioplasty Summary'!$R$55=2, V95, IF('Angioplasty Summary'!$R$55=1, T95)))</f>
        <v>1.0000000000000009E-2</v>
      </c>
      <c r="AC95" s="85">
        <f>IF('Angioplasty Summary'!$R$55=3, Y95, IF('Angioplasty Summary'!$R$55=2, W95, IF('Angioplasty Summary'!$R$55=1, U95)))</f>
        <v>1.0000000000000009E-2</v>
      </c>
      <c r="AD95">
        <v>6</v>
      </c>
      <c r="AE95">
        <v>45</v>
      </c>
      <c r="AF95">
        <v>3</v>
      </c>
      <c r="AG95">
        <v>11</v>
      </c>
      <c r="AH95">
        <f t="shared" si="4"/>
        <v>3</v>
      </c>
      <c r="AI95">
        <f t="shared" si="5"/>
        <v>5</v>
      </c>
      <c r="AJ95">
        <v>37.999999523162842</v>
      </c>
      <c r="AK95">
        <v>50.999999046325684</v>
      </c>
      <c r="AL95">
        <f t="shared" si="6"/>
        <v>7.0000004768371582</v>
      </c>
      <c r="AM95">
        <f t="shared" si="7"/>
        <v>5.9999990463256836</v>
      </c>
      <c r="AN95">
        <v>5</v>
      </c>
      <c r="AO95">
        <v>80</v>
      </c>
      <c r="AP95" s="91">
        <f>IF('Angioplasty Summary'!$R$4=2, AE95, IF('Angioplasty Summary'!$R$4=1, AD95))</f>
        <v>6</v>
      </c>
      <c r="AQ95" s="91">
        <f>IF('Angioplasty Summary'!$R$4=2, AL95, IF('Angioplasty Summary'!$R$4=1, AH95))</f>
        <v>3</v>
      </c>
      <c r="AR95" s="91">
        <f>IF('Angioplasty Summary'!$R$4=2, AM95, IF('Angioplasty Summary'!$R$4=1, AI95))</f>
        <v>5</v>
      </c>
      <c r="AS95" s="91">
        <f>IF('Angioplasty Summary'!$R$4=2, AO95, IF('Angioplasty Summary'!$R$4=1, AN95))</f>
        <v>5</v>
      </c>
      <c r="AT95" s="124">
        <v>0.45</v>
      </c>
    </row>
    <row r="96" spans="1:46" x14ac:dyDescent="0.25">
      <c r="A96" s="18" t="s">
        <v>134</v>
      </c>
      <c r="B96" s="18" t="s">
        <v>135</v>
      </c>
      <c r="C96" s="80">
        <v>31</v>
      </c>
      <c r="D96" s="83">
        <v>1</v>
      </c>
      <c r="E96" s="83">
        <v>0.55000000000000004</v>
      </c>
      <c r="F96" s="83">
        <v>0.84</v>
      </c>
      <c r="G96" s="83" t="s">
        <v>656</v>
      </c>
      <c r="H96" s="81">
        <v>0</v>
      </c>
      <c r="I96" s="84">
        <v>31</v>
      </c>
      <c r="J96" s="81">
        <v>0</v>
      </c>
      <c r="K96" s="84">
        <v>11</v>
      </c>
      <c r="L96" s="84" t="s">
        <v>641</v>
      </c>
      <c r="M96" s="79" t="s">
        <v>134</v>
      </c>
      <c r="N96" s="83">
        <v>0.89</v>
      </c>
      <c r="O96" s="83">
        <v>1</v>
      </c>
      <c r="P96" s="83">
        <v>0.32</v>
      </c>
      <c r="Q96" s="83">
        <v>0.77</v>
      </c>
      <c r="R96" s="83">
        <v>0.66</v>
      </c>
      <c r="S96" s="83">
        <v>0.95</v>
      </c>
      <c r="T96" s="85">
        <v>0.10999999999999999</v>
      </c>
      <c r="U96" s="85">
        <v>0</v>
      </c>
      <c r="V96" s="85">
        <v>0.23000000000000004</v>
      </c>
      <c r="W96" s="85">
        <v>0.21999999999999997</v>
      </c>
      <c r="X96" s="85">
        <v>0.17999999999999994</v>
      </c>
      <c r="Y96" s="85">
        <v>0.10999999999999999</v>
      </c>
      <c r="Z96" s="86">
        <f>IF('Angioplasty Summary'!$R$55=3, RANK(F96,F$2:F$102,1)+COUNTIF($F$2:F96,F96)-1, IF('Angioplasty Summary'!$R$55=2, RANK(E96,E$2:E$102,1)+COUNTIF($E$2:E96,E96)-1, IF('Angioplasty Summary'!$R$55=1, RANK(D96,D$2:D$102,1)+COUNTIF($D$2:D96,D96)-1)))</f>
        <v>74</v>
      </c>
      <c r="AA96" s="85">
        <f>IF('Angioplasty Summary'!$R$55=3, F96, IF('Angioplasty Summary'!$R$55=2, E96, IF('Angioplasty Summary'!$R$55=1, D96)))</f>
        <v>1</v>
      </c>
      <c r="AB96" s="85">
        <f>IF('Angioplasty Summary'!$R$55=3, X96, IF('Angioplasty Summary'!$R$55=2, V96, IF('Angioplasty Summary'!$R$55=1, T96)))</f>
        <v>0.10999999999999999</v>
      </c>
      <c r="AC96" s="85">
        <f>IF('Angioplasty Summary'!$R$55=3, Y96, IF('Angioplasty Summary'!$R$55=2, W96, IF('Angioplasty Summary'!$R$55=1, U96)))</f>
        <v>0</v>
      </c>
      <c r="AD96">
        <v>2</v>
      </c>
      <c r="AE96">
        <v>55</v>
      </c>
      <c r="AF96">
        <v>1</v>
      </c>
      <c r="AG96">
        <v>12</v>
      </c>
      <c r="AH96">
        <f t="shared" si="4"/>
        <v>1</v>
      </c>
      <c r="AI96">
        <f t="shared" si="5"/>
        <v>10</v>
      </c>
      <c r="AJ96">
        <v>23.000000417232513</v>
      </c>
      <c r="AK96">
        <v>82.999998331069946</v>
      </c>
      <c r="AL96">
        <f t="shared" si="6"/>
        <v>31.999999582767487</v>
      </c>
      <c r="AM96">
        <f t="shared" si="7"/>
        <v>27.999998331069946</v>
      </c>
      <c r="AN96">
        <v>5</v>
      </c>
      <c r="AO96">
        <v>80</v>
      </c>
      <c r="AP96" s="91">
        <f>IF('Angioplasty Summary'!$R$4=2, AE96, IF('Angioplasty Summary'!$R$4=1, AD96))</f>
        <v>2</v>
      </c>
      <c r="AQ96" s="91">
        <f>IF('Angioplasty Summary'!$R$4=2, AL96, IF('Angioplasty Summary'!$R$4=1, AH96))</f>
        <v>1</v>
      </c>
      <c r="AR96" s="91">
        <f>IF('Angioplasty Summary'!$R$4=2, AM96, IF('Angioplasty Summary'!$R$4=1, AI96))</f>
        <v>10</v>
      </c>
      <c r="AS96" s="91">
        <f>IF('Angioplasty Summary'!$R$4=2, AO96, IF('Angioplasty Summary'!$R$4=1, AN96))</f>
        <v>5</v>
      </c>
      <c r="AT96" s="124">
        <v>0.55000000000000004</v>
      </c>
    </row>
    <row r="97" spans="1:46" x14ac:dyDescent="0.25">
      <c r="A97" s="18" t="s">
        <v>76</v>
      </c>
      <c r="B97" s="18" t="s">
        <v>214</v>
      </c>
      <c r="C97" s="80">
        <v>58</v>
      </c>
      <c r="D97" s="83">
        <v>1</v>
      </c>
      <c r="E97" s="83">
        <v>0.83</v>
      </c>
      <c r="F97" s="83">
        <v>0.83</v>
      </c>
      <c r="G97" s="83" t="s">
        <v>292</v>
      </c>
      <c r="H97" s="81">
        <v>0</v>
      </c>
      <c r="I97" s="84">
        <v>50</v>
      </c>
      <c r="J97" s="81">
        <v>3.9999999105930328E-2</v>
      </c>
      <c r="K97" s="84">
        <v>14</v>
      </c>
      <c r="L97" s="84" t="s">
        <v>373</v>
      </c>
      <c r="M97" s="79" t="s">
        <v>76</v>
      </c>
      <c r="N97" s="83">
        <v>0.94</v>
      </c>
      <c r="O97" s="83">
        <v>1</v>
      </c>
      <c r="P97" s="83">
        <v>0.69</v>
      </c>
      <c r="Q97" s="83">
        <v>0.93</v>
      </c>
      <c r="R97" s="83">
        <v>0.71</v>
      </c>
      <c r="S97" s="83">
        <v>0.91</v>
      </c>
      <c r="T97" s="85">
        <v>6.0000000000000053E-2</v>
      </c>
      <c r="U97" s="85">
        <v>0</v>
      </c>
      <c r="V97" s="85">
        <v>0.14000000000000001</v>
      </c>
      <c r="W97" s="85">
        <v>0.10000000000000009</v>
      </c>
      <c r="X97" s="85">
        <v>0.12</v>
      </c>
      <c r="Y97" s="85">
        <v>8.0000000000000071E-2</v>
      </c>
      <c r="Z97" s="86">
        <f>IF('Angioplasty Summary'!$R$55=3, RANK(F97,F$2:F$102,1)+COUNTIF($F$2:F97,F97)-1, IF('Angioplasty Summary'!$R$55=2, RANK(E97,E$2:E$102,1)+COUNTIF($E$2:E97,E97)-1, IF('Angioplasty Summary'!$R$55=1, RANK(D97,D$2:D$102,1)+COUNTIF($D$2:D97,D97)-1)))</f>
        <v>75</v>
      </c>
      <c r="AA97" s="85">
        <f>IF('Angioplasty Summary'!$R$55=3, F97, IF('Angioplasty Summary'!$R$55=2, E97, IF('Angioplasty Summary'!$R$55=1, D97)))</f>
        <v>1</v>
      </c>
      <c r="AB97" s="85">
        <f>IF('Angioplasty Summary'!$R$55=3, X97, IF('Angioplasty Summary'!$R$55=2, V97, IF('Angioplasty Summary'!$R$55=1, T97)))</f>
        <v>6.0000000000000053E-2</v>
      </c>
      <c r="AC97" s="85">
        <f>IF('Angioplasty Summary'!$R$55=3, Y97, IF('Angioplasty Summary'!$R$55=2, W97, IF('Angioplasty Summary'!$R$55=1, U97)))</f>
        <v>0</v>
      </c>
      <c r="AD97">
        <v>5</v>
      </c>
      <c r="AE97">
        <v>57</v>
      </c>
      <c r="AF97">
        <v>1</v>
      </c>
      <c r="AG97">
        <v>11</v>
      </c>
      <c r="AH97">
        <f t="shared" si="4"/>
        <v>4</v>
      </c>
      <c r="AI97">
        <f t="shared" si="5"/>
        <v>6</v>
      </c>
      <c r="AJ97">
        <v>28.999999165534973</v>
      </c>
      <c r="AK97">
        <v>81.999999284744263</v>
      </c>
      <c r="AL97">
        <f t="shared" si="6"/>
        <v>28.000000834465027</v>
      </c>
      <c r="AM97">
        <f t="shared" si="7"/>
        <v>24.999999284744263</v>
      </c>
      <c r="AN97">
        <v>5</v>
      </c>
      <c r="AO97">
        <v>80</v>
      </c>
      <c r="AP97" s="91">
        <f>IF('Angioplasty Summary'!$R$4=2, AE97, IF('Angioplasty Summary'!$R$4=1, AD97))</f>
        <v>5</v>
      </c>
      <c r="AQ97" s="91">
        <f>IF('Angioplasty Summary'!$R$4=2, AL97, IF('Angioplasty Summary'!$R$4=1, AH97))</f>
        <v>4</v>
      </c>
      <c r="AR97" s="91">
        <f>IF('Angioplasty Summary'!$R$4=2, AM97, IF('Angioplasty Summary'!$R$4=1, AI97))</f>
        <v>6</v>
      </c>
      <c r="AS97" s="91">
        <f>IF('Angioplasty Summary'!$R$4=2, AO97, IF('Angioplasty Summary'!$R$4=1, AN97))</f>
        <v>5</v>
      </c>
      <c r="AT97" s="124">
        <v>0.56999999999999995</v>
      </c>
    </row>
    <row r="98" spans="1:46" x14ac:dyDescent="0.25">
      <c r="A98" s="18" t="s">
        <v>136</v>
      </c>
      <c r="B98" s="18" t="s">
        <v>137</v>
      </c>
      <c r="C98" s="80">
        <v>185</v>
      </c>
      <c r="D98" s="83">
        <v>0.97</v>
      </c>
      <c r="E98" s="83">
        <v>0.33</v>
      </c>
      <c r="F98" s="83">
        <v>0.87</v>
      </c>
      <c r="G98" s="83" t="s">
        <v>311</v>
      </c>
      <c r="H98" s="81">
        <v>1.7831888198852539E-2</v>
      </c>
      <c r="I98" s="84">
        <v>168</v>
      </c>
      <c r="J98" s="81">
        <v>0.18000000715255737</v>
      </c>
      <c r="K98" s="84">
        <v>31</v>
      </c>
      <c r="L98" s="84" t="s">
        <v>403</v>
      </c>
      <c r="M98" s="79" t="s">
        <v>136</v>
      </c>
      <c r="N98" s="83">
        <v>0.94</v>
      </c>
      <c r="O98" s="83">
        <v>0.99</v>
      </c>
      <c r="P98" s="83">
        <v>0.25</v>
      </c>
      <c r="Q98" s="83">
        <v>0.41</v>
      </c>
      <c r="R98" s="83">
        <v>0.81</v>
      </c>
      <c r="S98" s="83">
        <v>0.91</v>
      </c>
      <c r="T98" s="85">
        <v>3.0000000000000027E-2</v>
      </c>
      <c r="U98" s="85">
        <v>2.0000000000000018E-2</v>
      </c>
      <c r="V98" s="85">
        <v>8.0000000000000016E-2</v>
      </c>
      <c r="W98" s="85">
        <v>7.999999999999996E-2</v>
      </c>
      <c r="X98" s="85">
        <v>5.9999999999999942E-2</v>
      </c>
      <c r="Y98" s="85">
        <v>4.0000000000000036E-2</v>
      </c>
      <c r="Z98" s="86">
        <f>IF('Angioplasty Summary'!$R$55=3, RANK(F98,F$2:F$102,1)+COUNTIF($F$2:F98,F98)-1, IF('Angioplasty Summary'!$R$55=2, RANK(E98,E$2:E$102,1)+COUNTIF($E$2:E98,E98)-1, IF('Angioplasty Summary'!$R$55=1, RANK(D98,D$2:D$102,1)+COUNTIF($D$2:D98,D98)-1)))</f>
        <v>27</v>
      </c>
      <c r="AA98" s="85">
        <f>IF('Angioplasty Summary'!$R$55=3, F98, IF('Angioplasty Summary'!$R$55=2, E98, IF('Angioplasty Summary'!$R$55=1, D98)))</f>
        <v>0.97</v>
      </c>
      <c r="AB98" s="85">
        <f>IF('Angioplasty Summary'!$R$55=3, X98, IF('Angioplasty Summary'!$R$55=2, V98, IF('Angioplasty Summary'!$R$55=1, T98)))</f>
        <v>3.0000000000000027E-2</v>
      </c>
      <c r="AC98" s="85">
        <f>IF('Angioplasty Summary'!$R$55=3, Y98, IF('Angioplasty Summary'!$R$55=2, W98, IF('Angioplasty Summary'!$R$55=1, U98)))</f>
        <v>2.0000000000000018E-2</v>
      </c>
      <c r="AD98">
        <v>8</v>
      </c>
      <c r="AE98">
        <v>29</v>
      </c>
      <c r="AF98">
        <v>4</v>
      </c>
      <c r="AG98">
        <v>16</v>
      </c>
      <c r="AH98">
        <f t="shared" si="4"/>
        <v>4</v>
      </c>
      <c r="AI98">
        <f t="shared" si="5"/>
        <v>8</v>
      </c>
      <c r="AJ98">
        <v>14.000000059604645</v>
      </c>
      <c r="AK98">
        <v>47.999998927116394</v>
      </c>
      <c r="AL98">
        <f t="shared" si="6"/>
        <v>14.999999940395355</v>
      </c>
      <c r="AM98">
        <f t="shared" si="7"/>
        <v>18.999998927116394</v>
      </c>
      <c r="AN98">
        <v>5</v>
      </c>
      <c r="AO98">
        <v>80</v>
      </c>
      <c r="AP98" s="91">
        <f>IF('Angioplasty Summary'!$R$4=2, AE98, IF('Angioplasty Summary'!$R$4=1, AD98))</f>
        <v>8</v>
      </c>
      <c r="AQ98" s="91">
        <f>IF('Angioplasty Summary'!$R$4=2, AL98, IF('Angioplasty Summary'!$R$4=1, AH98))</f>
        <v>4</v>
      </c>
      <c r="AR98" s="91">
        <f>IF('Angioplasty Summary'!$R$4=2, AM98, IF('Angioplasty Summary'!$R$4=1, AI98))</f>
        <v>8</v>
      </c>
      <c r="AS98" s="91">
        <f>IF('Angioplasty Summary'!$R$4=2, AO98, IF('Angioplasty Summary'!$R$4=1, AN98))</f>
        <v>5</v>
      </c>
      <c r="AT98" s="124">
        <v>0.28999999999999998</v>
      </c>
    </row>
    <row r="99" spans="1:46" x14ac:dyDescent="0.25">
      <c r="A99" s="18" t="s">
        <v>52</v>
      </c>
      <c r="B99" s="18" t="s">
        <v>53</v>
      </c>
      <c r="C99" s="80">
        <v>2</v>
      </c>
      <c r="D99" s="83" t="s">
        <v>399</v>
      </c>
      <c r="E99" s="83" t="s">
        <v>399</v>
      </c>
      <c r="F99" s="83" t="s">
        <v>399</v>
      </c>
      <c r="G99" s="83" t="s">
        <v>399</v>
      </c>
      <c r="H99" s="81" t="s">
        <v>399</v>
      </c>
      <c r="I99" s="84" t="s">
        <v>399</v>
      </c>
      <c r="J99" s="81" t="s">
        <v>399</v>
      </c>
      <c r="K99" s="84" t="s">
        <v>399</v>
      </c>
      <c r="L99" s="84" t="s">
        <v>399</v>
      </c>
      <c r="M99" s="79" t="s">
        <v>52</v>
      </c>
      <c r="N99" s="83" t="e">
        <v>#VALUE!</v>
      </c>
      <c r="O99" s="83" t="e">
        <v>#VALUE!</v>
      </c>
      <c r="P99" s="83" t="e">
        <v>#VALUE!</v>
      </c>
      <c r="Q99" s="83" t="e">
        <v>#VALUE!</v>
      </c>
      <c r="R99" s="83" t="e">
        <v>#VALUE!</v>
      </c>
      <c r="S99" s="83" t="e">
        <v>#VALUE!</v>
      </c>
      <c r="T99" s="85" t="e">
        <v>#VALUE!</v>
      </c>
      <c r="U99" s="85" t="e">
        <v>#VALUE!</v>
      </c>
      <c r="V99" s="85" t="e">
        <v>#VALUE!</v>
      </c>
      <c r="W99" s="85" t="e">
        <v>#VALUE!</v>
      </c>
      <c r="X99" s="85" t="e">
        <v>#VALUE!</v>
      </c>
      <c r="Y99" s="85" t="e">
        <v>#VALUE!</v>
      </c>
      <c r="Z99" s="86" t="e">
        <f>IF('Angioplasty Summary'!$R$55=3, RANK(F99,F$2:F$102,1)+COUNTIF($F$2:F99,F99)-1, IF('Angioplasty Summary'!$R$55=2, RANK(E99,E$2:E$102,1)+COUNTIF($E$2:E99,E99)-1, IF('Angioplasty Summary'!$R$55=1, RANK(D99,D$2:D$102,1)+COUNTIF($D$2:D99,D99)-1)))</f>
        <v>#VALUE!</v>
      </c>
      <c r="AA99" s="85" t="str">
        <f>IF('Angioplasty Summary'!$R$55=3, F99, IF('Angioplasty Summary'!$R$55=2, E99, IF('Angioplasty Summary'!$R$55=1, D99)))</f>
        <v>xx</v>
      </c>
      <c r="AB99" s="85" t="e">
        <f>IF('Angioplasty Summary'!$R$55=3, X99, IF('Angioplasty Summary'!$R$55=2, V99, IF('Angioplasty Summary'!$R$55=1, T99)))</f>
        <v>#VALUE!</v>
      </c>
      <c r="AC99" s="85" t="e">
        <f>IF('Angioplasty Summary'!$R$55=3, Y99, IF('Angioplasty Summary'!$R$55=2, W99, IF('Angioplasty Summary'!$R$55=1, U99)))</f>
        <v>#VALUE!</v>
      </c>
      <c r="AD99" t="s">
        <v>399</v>
      </c>
      <c r="AE99" t="e">
        <v>#VALUE!</v>
      </c>
      <c r="AF99" t="e">
        <v>#VALUE!</v>
      </c>
      <c r="AG99" t="e">
        <v>#VALUE!</v>
      </c>
      <c r="AH99" t="e">
        <f t="shared" si="4"/>
        <v>#VALUE!</v>
      </c>
      <c r="AI99" t="e">
        <f t="shared" si="5"/>
        <v>#VALUE!</v>
      </c>
      <c r="AJ99" t="e">
        <v>#VALUE!</v>
      </c>
      <c r="AK99" t="e">
        <v>#VALUE!</v>
      </c>
      <c r="AL99" t="e">
        <f t="shared" si="6"/>
        <v>#VALUE!</v>
      </c>
      <c r="AM99" t="e">
        <f t="shared" si="7"/>
        <v>#VALUE!</v>
      </c>
      <c r="AN99">
        <v>5</v>
      </c>
      <c r="AO99">
        <v>80</v>
      </c>
      <c r="AP99" s="91" t="str">
        <f>IF('Angioplasty Summary'!$R$4=2, AE99, IF('Angioplasty Summary'!$R$4=1, AD99))</f>
        <v>xx</v>
      </c>
      <c r="AQ99" s="91" t="e">
        <f>IF('Angioplasty Summary'!$R$4=2, AL99, IF('Angioplasty Summary'!$R$4=1, AH99))</f>
        <v>#VALUE!</v>
      </c>
      <c r="AR99" s="91" t="e">
        <f>IF('Angioplasty Summary'!$R$4=2, AM99, IF('Angioplasty Summary'!$R$4=1, AI99))</f>
        <v>#VALUE!</v>
      </c>
      <c r="AS99" s="91">
        <f>IF('Angioplasty Summary'!$R$4=2, AO99, IF('Angioplasty Summary'!$R$4=1, AN99))</f>
        <v>5</v>
      </c>
      <c r="AT99" t="s">
        <v>399</v>
      </c>
    </row>
    <row r="100" spans="1:46" x14ac:dyDescent="0.25">
      <c r="A100" s="18" t="s">
        <v>140</v>
      </c>
      <c r="B100" s="18" t="s">
        <v>141</v>
      </c>
      <c r="C100" s="80">
        <v>455</v>
      </c>
      <c r="D100" s="83">
        <v>1</v>
      </c>
      <c r="E100" s="83">
        <v>0.01</v>
      </c>
      <c r="F100" s="83">
        <v>0.88</v>
      </c>
      <c r="G100" s="83" t="s">
        <v>342</v>
      </c>
      <c r="H100" s="81">
        <v>2.1716883182525636E-2</v>
      </c>
      <c r="I100" s="84">
        <v>450</v>
      </c>
      <c r="J100" s="81">
        <v>0.10000000149011612</v>
      </c>
      <c r="K100" s="84">
        <v>25</v>
      </c>
      <c r="L100" s="84" t="s">
        <v>324</v>
      </c>
      <c r="M100" s="79" t="s">
        <v>140</v>
      </c>
      <c r="N100" s="83">
        <v>0.99</v>
      </c>
      <c r="O100" s="83">
        <v>1</v>
      </c>
      <c r="P100" s="83">
        <v>0</v>
      </c>
      <c r="Q100" s="83">
        <v>0.03</v>
      </c>
      <c r="R100" s="83">
        <v>0.85</v>
      </c>
      <c r="S100" s="83">
        <v>0.91</v>
      </c>
      <c r="T100" s="85">
        <v>1.0000000000000009E-2</v>
      </c>
      <c r="U100" s="85">
        <v>0</v>
      </c>
      <c r="V100" s="85">
        <v>0.01</v>
      </c>
      <c r="W100" s="85">
        <v>1.9999999999999997E-2</v>
      </c>
      <c r="X100" s="85">
        <v>3.0000000000000027E-2</v>
      </c>
      <c r="Y100" s="85">
        <v>3.0000000000000027E-2</v>
      </c>
      <c r="Z100" s="86">
        <f>IF('Angioplasty Summary'!$R$55=3, RANK(F100,F$2:F$102,1)+COUNTIF($F$2:F100,F100)-1, IF('Angioplasty Summary'!$R$55=2, RANK(E100,E$2:E$102,1)+COUNTIF($E$2:E100,E100)-1, IF('Angioplasty Summary'!$R$55=1, RANK(D100,D$2:D$102,1)+COUNTIF($D$2:D100,D100)-1)))</f>
        <v>76</v>
      </c>
      <c r="AA100" s="85">
        <f>IF('Angioplasty Summary'!$R$55=3, F100, IF('Angioplasty Summary'!$R$55=2, E100, IF('Angioplasty Summary'!$R$55=1, D100)))</f>
        <v>1</v>
      </c>
      <c r="AB100" s="85">
        <f>IF('Angioplasty Summary'!$R$55=3, X100, IF('Angioplasty Summary'!$R$55=2, V100, IF('Angioplasty Summary'!$R$55=1, T100)))</f>
        <v>1.0000000000000009E-2</v>
      </c>
      <c r="AC100" s="85">
        <f>IF('Angioplasty Summary'!$R$55=3, Y100, IF('Angioplasty Summary'!$R$55=2, W100, IF('Angioplasty Summary'!$R$55=1, U100)))</f>
        <v>0</v>
      </c>
      <c r="AD100">
        <v>6</v>
      </c>
      <c r="AE100">
        <v>48</v>
      </c>
      <c r="AF100">
        <v>3</v>
      </c>
      <c r="AG100">
        <v>8</v>
      </c>
      <c r="AH100">
        <f t="shared" si="4"/>
        <v>3</v>
      </c>
      <c r="AI100">
        <f t="shared" si="5"/>
        <v>2</v>
      </c>
      <c r="AJ100">
        <v>28.00000011920929</v>
      </c>
      <c r="AK100">
        <v>68.999999761581421</v>
      </c>
      <c r="AL100">
        <f t="shared" si="6"/>
        <v>19.99999988079071</v>
      </c>
      <c r="AM100">
        <f t="shared" si="7"/>
        <v>20.999999761581421</v>
      </c>
      <c r="AN100">
        <v>5</v>
      </c>
      <c r="AO100">
        <v>80</v>
      </c>
      <c r="AP100" s="91">
        <f>IF('Angioplasty Summary'!$R$4=2, AE100, IF('Angioplasty Summary'!$R$4=1, AD100))</f>
        <v>6</v>
      </c>
      <c r="AQ100" s="91">
        <f>IF('Angioplasty Summary'!$R$4=2, AL100, IF('Angioplasty Summary'!$R$4=1, AH100))</f>
        <v>3</v>
      </c>
      <c r="AR100" s="91">
        <f>IF('Angioplasty Summary'!$R$4=2, AM100, IF('Angioplasty Summary'!$R$4=1, AI100))</f>
        <v>2</v>
      </c>
      <c r="AS100" s="91">
        <f>IF('Angioplasty Summary'!$R$4=2, AO100, IF('Angioplasty Summary'!$R$4=1, AN100))</f>
        <v>5</v>
      </c>
      <c r="AT100" s="124">
        <v>0.48</v>
      </c>
    </row>
    <row r="101" spans="1:46" x14ac:dyDescent="0.25">
      <c r="A101" s="18" t="s">
        <v>631</v>
      </c>
      <c r="B101" s="18" t="s">
        <v>632</v>
      </c>
      <c r="C101" s="80">
        <v>297</v>
      </c>
      <c r="D101" s="83">
        <v>1</v>
      </c>
      <c r="E101" s="83">
        <v>1</v>
      </c>
      <c r="F101" s="83">
        <v>0.87</v>
      </c>
      <c r="G101" s="83" t="s">
        <v>290</v>
      </c>
      <c r="H101" s="81">
        <v>1.9131615161895751E-2</v>
      </c>
      <c r="I101" s="84">
        <v>295</v>
      </c>
      <c r="J101" s="81">
        <v>5.9999998658895493E-2</v>
      </c>
      <c r="K101" s="84">
        <v>15</v>
      </c>
      <c r="L101" s="84" t="s">
        <v>657</v>
      </c>
      <c r="M101" s="79" t="s">
        <v>631</v>
      </c>
      <c r="N101" s="83">
        <v>0.99</v>
      </c>
      <c r="O101" s="83">
        <v>1</v>
      </c>
      <c r="P101" s="83">
        <v>0.98</v>
      </c>
      <c r="Q101" s="83">
        <v>1</v>
      </c>
      <c r="R101" s="83">
        <v>0.82</v>
      </c>
      <c r="S101" s="83">
        <v>0.9</v>
      </c>
      <c r="T101" s="85">
        <v>1.0000000000000009E-2</v>
      </c>
      <c r="U101" s="85">
        <v>0</v>
      </c>
      <c r="V101" s="85">
        <v>2.0000000000000018E-2</v>
      </c>
      <c r="W101" s="85">
        <v>0</v>
      </c>
      <c r="X101" s="85">
        <v>5.0000000000000044E-2</v>
      </c>
      <c r="Y101" s="85">
        <v>3.0000000000000027E-2</v>
      </c>
      <c r="Z101" s="86">
        <f>IF('Angioplasty Summary'!$R$55=3, RANK(F101,F$2:F$102,1)+COUNTIF($F$2:F101,F101)-1, IF('Angioplasty Summary'!$R$55=2, RANK(E101,E$2:E$102,1)+COUNTIF($E$2:E101,E101)-1, IF('Angioplasty Summary'!$R$55=1, RANK(D101,D$2:D$102,1)+COUNTIF($D$2:D101,D101)-1)))</f>
        <v>77</v>
      </c>
      <c r="AA101" s="85">
        <f>IF('Angioplasty Summary'!$R$55=3, F101, IF('Angioplasty Summary'!$R$55=2, E101, IF('Angioplasty Summary'!$R$55=1, D101)))</f>
        <v>1</v>
      </c>
      <c r="AB101" s="85">
        <f>IF('Angioplasty Summary'!$R$55=3, X101, IF('Angioplasty Summary'!$R$55=2, V101, IF('Angioplasty Summary'!$R$55=1, T101)))</f>
        <v>1.0000000000000009E-2</v>
      </c>
      <c r="AC101" s="85">
        <f>IF('Angioplasty Summary'!$R$55=3, Y101, IF('Angioplasty Summary'!$R$55=2, W101, IF('Angioplasty Summary'!$R$55=1, U101)))</f>
        <v>0</v>
      </c>
      <c r="AD101">
        <v>10</v>
      </c>
      <c r="AE101">
        <v>33</v>
      </c>
      <c r="AF101">
        <v>2</v>
      </c>
      <c r="AG101">
        <v>16</v>
      </c>
      <c r="AH101">
        <f t="shared" si="4"/>
        <v>8</v>
      </c>
      <c r="AI101">
        <f t="shared" si="5"/>
        <v>6</v>
      </c>
      <c r="AJ101">
        <v>11.999999731779099</v>
      </c>
      <c r="AK101">
        <v>62.000000476837158</v>
      </c>
      <c r="AL101">
        <f t="shared" si="6"/>
        <v>21.000000268220901</v>
      </c>
      <c r="AM101">
        <f t="shared" si="7"/>
        <v>29.000000476837158</v>
      </c>
      <c r="AN101">
        <v>5</v>
      </c>
      <c r="AO101">
        <v>80</v>
      </c>
      <c r="AP101" s="91">
        <f>IF('Angioplasty Summary'!$R$4=2, AE101, IF('Angioplasty Summary'!$R$4=1, AD101))</f>
        <v>10</v>
      </c>
      <c r="AQ101" s="91">
        <f>IF('Angioplasty Summary'!$R$4=2, AL101, IF('Angioplasty Summary'!$R$4=1, AH101))</f>
        <v>8</v>
      </c>
      <c r="AR101" s="91">
        <f>IF('Angioplasty Summary'!$R$4=2, AM101, IF('Angioplasty Summary'!$R$4=1, AI101))</f>
        <v>6</v>
      </c>
      <c r="AS101" s="91">
        <f>IF('Angioplasty Summary'!$R$4=2, AO101, IF('Angioplasty Summary'!$R$4=1, AN101))</f>
        <v>5</v>
      </c>
      <c r="AT101" s="124">
        <v>0.33</v>
      </c>
    </row>
    <row r="102" spans="1:46" x14ac:dyDescent="0.25">
      <c r="A102" s="18" t="s">
        <v>35</v>
      </c>
      <c r="B102" s="18" t="s">
        <v>36</v>
      </c>
      <c r="C102" s="80">
        <v>1283</v>
      </c>
      <c r="D102" s="83">
        <v>0.99</v>
      </c>
      <c r="E102" s="83">
        <v>0.85</v>
      </c>
      <c r="F102" s="83">
        <v>0.89</v>
      </c>
      <c r="G102" s="83" t="s">
        <v>299</v>
      </c>
      <c r="H102" s="81">
        <v>1.3829424381256103E-2</v>
      </c>
      <c r="I102" s="84">
        <v>1122</v>
      </c>
      <c r="J102" s="81">
        <v>7.0000000298023224E-2</v>
      </c>
      <c r="K102" s="84">
        <v>290</v>
      </c>
      <c r="L102" s="84" t="s">
        <v>303</v>
      </c>
      <c r="M102" s="79" t="s">
        <v>35</v>
      </c>
      <c r="N102" s="83">
        <v>0.98</v>
      </c>
      <c r="O102" s="83">
        <v>0.99</v>
      </c>
      <c r="P102" s="83">
        <v>0.82</v>
      </c>
      <c r="Q102" s="83">
        <v>0.87</v>
      </c>
      <c r="R102" s="83">
        <v>0.87</v>
      </c>
      <c r="S102" s="83">
        <v>0.91</v>
      </c>
      <c r="T102" s="85">
        <v>1.0000000000000009E-2</v>
      </c>
      <c r="U102" s="85">
        <v>0</v>
      </c>
      <c r="V102" s="85">
        <v>3.0000000000000027E-2</v>
      </c>
      <c r="W102" s="85">
        <v>2.0000000000000018E-2</v>
      </c>
      <c r="X102" s="85">
        <v>2.0000000000000018E-2</v>
      </c>
      <c r="Y102" s="85">
        <v>2.0000000000000018E-2</v>
      </c>
      <c r="Z102" s="86">
        <f>IF('Angioplasty Summary'!$R$55=3, RANK(F102,F$2:F$102,1)+COUNTIF($F$2:F102,F102)-1, IF('Angioplasty Summary'!$R$55=2, RANK(E102,E$2:E$102,1)+COUNTIF($E$2:E102,E102)-1, IF('Angioplasty Summary'!$R$55=1, RANK(D102,D$2:D$102,1)+COUNTIF($D$2:D102,D102)-1)))</f>
        <v>46</v>
      </c>
      <c r="AA102" s="85">
        <f>IF('Angioplasty Summary'!$R$55=3, F102, IF('Angioplasty Summary'!$R$55=2, E102, IF('Angioplasty Summary'!$R$55=1, D102)))</f>
        <v>0.99</v>
      </c>
      <c r="AB102" s="85">
        <f>IF('Angioplasty Summary'!$R$55=3, X102, IF('Angioplasty Summary'!$R$55=2, V102, IF('Angioplasty Summary'!$R$55=1, T102)))</f>
        <v>1.0000000000000009E-2</v>
      </c>
      <c r="AC102" s="85">
        <f>IF('Angioplasty Summary'!$R$55=3, Y102, IF('Angioplasty Summary'!$R$55=2, W102, IF('Angioplasty Summary'!$R$55=1, U102)))</f>
        <v>0</v>
      </c>
      <c r="AD102">
        <v>3</v>
      </c>
      <c r="AE102">
        <v>68</v>
      </c>
      <c r="AF102">
        <v>1</v>
      </c>
      <c r="AG102">
        <v>7</v>
      </c>
      <c r="AH102">
        <f t="shared" si="4"/>
        <v>2</v>
      </c>
      <c r="AI102">
        <f t="shared" si="5"/>
        <v>4</v>
      </c>
      <c r="AJ102">
        <v>62.000000476837158</v>
      </c>
      <c r="AK102">
        <v>73.000001907348633</v>
      </c>
      <c r="AL102">
        <f t="shared" si="6"/>
        <v>5.9999995231628418</v>
      </c>
      <c r="AM102">
        <f t="shared" si="7"/>
        <v>5.0000019073486328</v>
      </c>
      <c r="AN102">
        <v>5</v>
      </c>
      <c r="AO102">
        <v>80</v>
      </c>
      <c r="AP102" s="91">
        <f>IF('Angioplasty Summary'!$R$4=2, AE102, IF('Angioplasty Summary'!$R$4=1, AD102))</f>
        <v>3</v>
      </c>
      <c r="AQ102" s="91">
        <f>IF('Angioplasty Summary'!$R$4=2, AL102, IF('Angioplasty Summary'!$R$4=1, AH102))</f>
        <v>2</v>
      </c>
      <c r="AR102" s="91">
        <f>IF('Angioplasty Summary'!$R$4=2, AM102, IF('Angioplasty Summary'!$R$4=1, AI102))</f>
        <v>4</v>
      </c>
      <c r="AS102" s="91">
        <f>IF('Angioplasty Summary'!$R$4=2, AO102, IF('Angioplasty Summary'!$R$4=1, AN102))</f>
        <v>5</v>
      </c>
      <c r="AT102" s="124">
        <v>0.68</v>
      </c>
    </row>
    <row r="103" spans="1:46" x14ac:dyDescent="0.25">
      <c r="M103" s="79"/>
    </row>
  </sheetData>
  <sortState ref="A2:AC98">
    <sortCondition ref="B2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showGridLines="0" workbookViewId="0">
      <selection activeCell="B1" sqref="B1"/>
    </sheetView>
  </sheetViews>
  <sheetFormatPr defaultRowHeight="15" x14ac:dyDescent="0.25"/>
  <cols>
    <col min="2" max="2" width="53.140625" bestFit="1" customWidth="1"/>
    <col min="4" max="4" width="9.140625" customWidth="1"/>
    <col min="5" max="5" width="26" customWidth="1"/>
    <col min="6" max="6" width="14.5703125" customWidth="1"/>
    <col min="7" max="7" width="18" customWidth="1"/>
    <col min="8" max="8" width="16" customWidth="1"/>
    <col min="9" max="9" width="15.140625" customWidth="1"/>
    <col min="10" max="10" width="14.85546875" customWidth="1"/>
    <col min="17" max="17" width="34.140625" customWidth="1"/>
    <col min="27" max="30" width="9.140625" style="43"/>
  </cols>
  <sheetData>
    <row r="1" spans="1:30" ht="30.75" customHeight="1" x14ac:dyDescent="0.25">
      <c r="A1" s="111" t="s">
        <v>404</v>
      </c>
      <c r="B1" s="29" t="s">
        <v>10</v>
      </c>
      <c r="AA1" s="113" t="s">
        <v>567</v>
      </c>
      <c r="AB1" s="114" t="s">
        <v>409</v>
      </c>
      <c r="AC1" s="114" t="s">
        <v>410</v>
      </c>
      <c r="AD1" s="115" t="s">
        <v>406</v>
      </c>
    </row>
    <row r="2" spans="1:30" ht="15.75" x14ac:dyDescent="0.25">
      <c r="Q2" s="44" t="s">
        <v>436</v>
      </c>
      <c r="AA2" s="43">
        <f>VLOOKUP($B$1,'Major Lower Limb Amputation'!$B:$AC,26,FALSE)</f>
        <v>0.77999997138977051</v>
      </c>
      <c r="AB2" s="43">
        <f>VLOOKUP($B$1,'Major Lower Limb Amputation'!$B:$AC,27,FALSE)</f>
        <v>0.55311572551727295</v>
      </c>
      <c r="AC2" s="43">
        <f>VLOOKUP($B$1,'Major Lower Limb Amputation'!$B:$AC,28,FALSE)</f>
        <v>0.31995058059692383</v>
      </c>
      <c r="AD2" s="43">
        <f>VLOOKUP($B$1,'Major Lower Limb Amputation'!$B:$AC,25,FALSE)</f>
        <v>29</v>
      </c>
    </row>
    <row r="3" spans="1:30" ht="15.75" x14ac:dyDescent="0.25">
      <c r="Q3" s="53" t="s">
        <v>209</v>
      </c>
      <c r="AB3" s="41" t="s">
        <v>426</v>
      </c>
      <c r="AC3" s="41"/>
      <c r="AD3" s="41" t="s">
        <v>427</v>
      </c>
    </row>
    <row r="4" spans="1:30" x14ac:dyDescent="0.25">
      <c r="Q4" s="43">
        <f>MATCH(Q3,'Major Lower Limb Amputation'!$E$7:$G$7,0)</f>
        <v>3</v>
      </c>
      <c r="AB4" s="41">
        <f>VLOOKUP($B$1,'Major Lower Limb Amputation'!$B:$W,14,FALSE)</f>
        <v>0.92</v>
      </c>
      <c r="AC4" s="41"/>
      <c r="AD4" s="41">
        <f>VLOOKUP($B$1,'Major Lower Limb Amputation'!$B:$W,13,FALSE)</f>
        <v>37</v>
      </c>
    </row>
    <row r="8" spans="1:30" x14ac:dyDescent="0.25">
      <c r="U8" s="43"/>
    </row>
    <row r="27" spans="2:17" ht="15.75" thickBot="1" x14ac:dyDescent="0.3"/>
    <row r="28" spans="2:17" ht="60.75" thickBot="1" x14ac:dyDescent="0.3">
      <c r="B28" s="30" t="s">
        <v>183</v>
      </c>
      <c r="C28" s="30" t="s">
        <v>189</v>
      </c>
      <c r="D28" s="31" t="s">
        <v>197</v>
      </c>
      <c r="E28" s="72" t="s">
        <v>401</v>
      </c>
      <c r="F28" s="30" t="s">
        <v>206</v>
      </c>
      <c r="G28" s="30" t="s">
        <v>1137</v>
      </c>
      <c r="H28" s="31" t="s">
        <v>209</v>
      </c>
      <c r="I28" s="31" t="s">
        <v>210</v>
      </c>
      <c r="J28" s="73" t="s">
        <v>211</v>
      </c>
      <c r="K28" s="31" t="s">
        <v>212</v>
      </c>
    </row>
    <row r="29" spans="2:17" ht="15.75" thickBot="1" x14ac:dyDescent="0.3">
      <c r="B29" s="32" t="str">
        <f>B1</f>
        <v>Aneurin Bevan University Health Board</v>
      </c>
      <c r="C29" s="67" t="str">
        <f>VLOOKUP($B29,'Major Lower Limb Amputation'!$B:$W,10,FALSE)</f>
        <v>7A6</v>
      </c>
      <c r="D29" s="67">
        <f>VLOOKUP($B29,'Major Lower Limb Amputation'!$B:$W,2,FALSE)</f>
        <v>132</v>
      </c>
      <c r="E29" s="33" t="str">
        <f>VLOOKUP($B29,'Major Lower Limb Amputation'!$B:$W,4,FALSE)</f>
        <v>8 (4-28)</v>
      </c>
      <c r="F29" s="33" t="str">
        <f>VLOOKUP($B29,'Major Lower Limb Amputation'!$B:$W,3,FALSE)</f>
        <v>29 (16-48)</v>
      </c>
      <c r="G29" s="123">
        <f>VLOOKUP($B29,'Major Lower Limb Amputation'!$B:$AL,37,FALSE)</f>
        <v>0.82</v>
      </c>
      <c r="H29" s="74">
        <f>VLOOKUP($B29,'Major Lower Limb Amputation'!$B:$W,6,FALSE)</f>
        <v>0.77999997138977051</v>
      </c>
      <c r="I29" s="71">
        <f>VLOOKUP($B29,'Major Lower Limb Amputation'!$B:$W,7,FALSE)</f>
        <v>0.92</v>
      </c>
      <c r="J29" s="71">
        <f>VLOOKUP($B29,'Major Lower Limb Amputation'!$B:$W,8,FALSE)</f>
        <v>0.93</v>
      </c>
      <c r="K29" s="68">
        <f>VLOOKUP($B29,'Major Lower Limb Amputation'!$B:$W,9,FALSE)</f>
        <v>1.6E-2</v>
      </c>
    </row>
    <row r="30" spans="2:17" ht="15.75" thickBot="1" x14ac:dyDescent="0.3">
      <c r="B30" s="135" t="s">
        <v>405</v>
      </c>
      <c r="C30" s="135"/>
      <c r="D30" s="69">
        <v>10022</v>
      </c>
      <c r="E30" s="33" t="s">
        <v>800</v>
      </c>
      <c r="F30" s="33" t="s">
        <v>803</v>
      </c>
      <c r="G30" s="123">
        <v>0.84</v>
      </c>
      <c r="H30" s="67">
        <v>0.93</v>
      </c>
      <c r="I30" s="71">
        <v>0.8</v>
      </c>
      <c r="J30" s="35">
        <v>0.69</v>
      </c>
      <c r="K30" s="36">
        <v>4.5999999999999999E-2</v>
      </c>
    </row>
    <row r="31" spans="2:17" ht="15.75" x14ac:dyDescent="0.25">
      <c r="Q31" s="44" t="s">
        <v>436</v>
      </c>
    </row>
    <row r="32" spans="2:17" ht="15.75" x14ac:dyDescent="0.25">
      <c r="Q32" s="29" t="s">
        <v>210</v>
      </c>
    </row>
    <row r="33" spans="17:17" x14ac:dyDescent="0.25">
      <c r="Q33" s="43">
        <f>MATCH(Q32,'Major Lower Limb Amputation'!$H$7:$I$7,0)</f>
        <v>1</v>
      </c>
    </row>
  </sheetData>
  <mergeCells count="1">
    <mergeCell ref="B30:C3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'Major Lower Limb Amputation'!$H$7:$I$7</xm:f>
          </x14:formula1>
          <xm:sqref>Q32</xm:sqref>
        </x14:dataValidation>
        <x14:dataValidation type="list" allowBlank="1" showInputMessage="1" showErrorMessage="1">
          <x14:formula1>
            <xm:f>'Major Lower Limb Amputation'!$B$8:$B$82</xm:f>
          </x14:formula1>
          <xm:sqref>B1</xm:sqref>
        </x14:dataValidation>
        <x14:dataValidation type="list" allowBlank="1" showInputMessage="1" showErrorMessage="1">
          <x14:formula1>
            <xm:f>'Major Lower Limb Amputation'!$E$7:$G$7</xm:f>
          </x14:formula1>
          <xm:sqref>Q3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10.42578125" style="2" bestFit="1" customWidth="1"/>
    <col min="2" max="2" width="63.7109375" style="2" bestFit="1" customWidth="1"/>
    <col min="3" max="3" width="13.140625" style="2" bestFit="1" customWidth="1"/>
    <col min="4" max="4" width="20.7109375" style="2" bestFit="1" customWidth="1"/>
    <col min="5" max="5" width="26.7109375" style="2" bestFit="1" customWidth="1"/>
    <col min="6" max="6" width="37" style="2" bestFit="1" customWidth="1"/>
    <col min="7" max="7" width="38.28515625" style="2" bestFit="1" customWidth="1"/>
  </cols>
  <sheetData>
    <row r="1" spans="1:7" x14ac:dyDescent="0.25">
      <c r="A1" s="3" t="s">
        <v>182</v>
      </c>
      <c r="B1" s="3" t="s">
        <v>183</v>
      </c>
      <c r="C1" s="3" t="s">
        <v>184</v>
      </c>
      <c r="D1" s="3" t="s">
        <v>185</v>
      </c>
      <c r="E1" s="3" t="s">
        <v>186</v>
      </c>
      <c r="F1" s="3" t="s">
        <v>187</v>
      </c>
      <c r="G1" s="3" t="s">
        <v>188</v>
      </c>
    </row>
    <row r="2" spans="1:7" x14ac:dyDescent="0.25">
      <c r="A2" s="1" t="s">
        <v>0</v>
      </c>
      <c r="B2" s="1" t="s">
        <v>1</v>
      </c>
      <c r="C2" s="1" t="s">
        <v>3</v>
      </c>
      <c r="D2" s="1" t="s">
        <v>3</v>
      </c>
      <c r="E2" s="1" t="s">
        <v>3</v>
      </c>
      <c r="F2" s="1" t="s">
        <v>3</v>
      </c>
      <c r="G2" s="1" t="s">
        <v>3</v>
      </c>
    </row>
    <row r="3" spans="1:7" x14ac:dyDescent="0.25">
      <c r="A3" s="1" t="s">
        <v>4</v>
      </c>
      <c r="B3" t="s">
        <v>213</v>
      </c>
      <c r="C3" s="1" t="s">
        <v>3</v>
      </c>
      <c r="D3" s="1" t="s">
        <v>3</v>
      </c>
      <c r="E3" s="1" t="s">
        <v>3</v>
      </c>
      <c r="F3" s="1" t="s">
        <v>3</v>
      </c>
      <c r="G3" s="1" t="s">
        <v>3</v>
      </c>
    </row>
    <row r="4" spans="1:7" x14ac:dyDescent="0.25">
      <c r="A4" s="1" t="s">
        <v>5</v>
      </c>
      <c r="B4" s="1" t="s">
        <v>6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3</v>
      </c>
    </row>
    <row r="5" spans="1:7" x14ac:dyDescent="0.25">
      <c r="A5" s="1" t="s">
        <v>7</v>
      </c>
      <c r="B5" s="1" t="s">
        <v>8</v>
      </c>
      <c r="C5" s="1" t="s">
        <v>3</v>
      </c>
      <c r="D5" s="1" t="s">
        <v>3</v>
      </c>
      <c r="E5" s="1" t="s">
        <v>3</v>
      </c>
      <c r="F5" s="1" t="s">
        <v>3</v>
      </c>
      <c r="G5" s="1" t="s">
        <v>3</v>
      </c>
    </row>
    <row r="6" spans="1:7" x14ac:dyDescent="0.25">
      <c r="A6" s="1" t="s">
        <v>9</v>
      </c>
      <c r="B6" s="1" t="s">
        <v>10</v>
      </c>
      <c r="C6" s="1" t="s">
        <v>3</v>
      </c>
      <c r="D6" s="1" t="s">
        <v>3</v>
      </c>
      <c r="E6" s="1" t="s">
        <v>3</v>
      </c>
      <c r="F6" s="1" t="s">
        <v>3</v>
      </c>
      <c r="G6" s="1" t="s">
        <v>3</v>
      </c>
    </row>
    <row r="7" spans="1:7" x14ac:dyDescent="0.25">
      <c r="A7" s="1" t="s">
        <v>11</v>
      </c>
      <c r="B7" s="1" t="s">
        <v>12</v>
      </c>
      <c r="C7" s="1" t="s">
        <v>3</v>
      </c>
      <c r="D7" s="1" t="s">
        <v>3</v>
      </c>
      <c r="E7" s="1" t="s">
        <v>3</v>
      </c>
      <c r="F7" s="1" t="s">
        <v>3</v>
      </c>
      <c r="G7" s="1" t="s">
        <v>3</v>
      </c>
    </row>
    <row r="8" spans="1:7" x14ac:dyDescent="0.25">
      <c r="A8" s="1" t="s">
        <v>13</v>
      </c>
      <c r="B8" s="1" t="s">
        <v>14</v>
      </c>
      <c r="C8" s="1" t="s">
        <v>3</v>
      </c>
      <c r="D8" s="1" t="s">
        <v>3</v>
      </c>
      <c r="E8" s="1" t="s">
        <v>3</v>
      </c>
      <c r="F8" s="1" t="s">
        <v>3</v>
      </c>
      <c r="G8" s="1" t="s">
        <v>3</v>
      </c>
    </row>
    <row r="9" spans="1:7" x14ac:dyDescent="0.25">
      <c r="A9" s="1" t="s">
        <v>15</v>
      </c>
      <c r="B9" s="1" t="s">
        <v>16</v>
      </c>
      <c r="C9" s="1" t="s">
        <v>3</v>
      </c>
      <c r="D9" s="1" t="s">
        <v>3</v>
      </c>
      <c r="E9" s="1" t="s">
        <v>3</v>
      </c>
      <c r="F9" s="1" t="s">
        <v>3</v>
      </c>
      <c r="G9" s="1" t="s">
        <v>3</v>
      </c>
    </row>
    <row r="10" spans="1:7" x14ac:dyDescent="0.25">
      <c r="A10" s="18" t="s">
        <v>261</v>
      </c>
      <c r="B10" t="s">
        <v>391</v>
      </c>
      <c r="C10" s="23" t="s">
        <v>2</v>
      </c>
      <c r="D10" s="23" t="s">
        <v>2</v>
      </c>
      <c r="E10" s="23" t="s">
        <v>2</v>
      </c>
      <c r="F10" s="23" t="s">
        <v>3</v>
      </c>
      <c r="G10" s="23" t="s">
        <v>2</v>
      </c>
    </row>
    <row r="11" spans="1:7" x14ac:dyDescent="0.25">
      <c r="A11" s="1" t="s">
        <v>17</v>
      </c>
      <c r="B11" s="1" t="s">
        <v>18</v>
      </c>
      <c r="C11" s="1" t="s">
        <v>3</v>
      </c>
      <c r="D11" s="1" t="s">
        <v>3</v>
      </c>
      <c r="E11" s="1" t="s">
        <v>3</v>
      </c>
      <c r="F11" s="1" t="s">
        <v>3</v>
      </c>
      <c r="G11" s="1" t="s">
        <v>3</v>
      </c>
    </row>
    <row r="12" spans="1:7" x14ac:dyDescent="0.25">
      <c r="A12" s="1" t="s">
        <v>19</v>
      </c>
      <c r="B12" s="1" t="s">
        <v>20</v>
      </c>
      <c r="C12" s="1" t="s">
        <v>3</v>
      </c>
      <c r="D12" s="1" t="s">
        <v>3</v>
      </c>
      <c r="E12" s="1" t="s">
        <v>3</v>
      </c>
      <c r="F12" s="1" t="s">
        <v>3</v>
      </c>
      <c r="G12" s="1" t="s">
        <v>3</v>
      </c>
    </row>
    <row r="13" spans="1:7" x14ac:dyDescent="0.25">
      <c r="A13" s="1" t="s">
        <v>21</v>
      </c>
      <c r="B13" s="1" t="s">
        <v>22</v>
      </c>
      <c r="C13" s="1" t="s">
        <v>3</v>
      </c>
      <c r="D13" s="1" t="s">
        <v>3</v>
      </c>
      <c r="E13" s="1" t="s">
        <v>3</v>
      </c>
      <c r="F13" s="1" t="s">
        <v>3</v>
      </c>
      <c r="G13" s="1" t="s">
        <v>3</v>
      </c>
    </row>
    <row r="14" spans="1:7" x14ac:dyDescent="0.25">
      <c r="A14" s="1" t="s">
        <v>23</v>
      </c>
      <c r="B14" s="1" t="s">
        <v>24</v>
      </c>
      <c r="C14" s="1" t="s">
        <v>3</v>
      </c>
      <c r="D14" s="1" t="s">
        <v>3</v>
      </c>
      <c r="E14" s="1" t="s">
        <v>3</v>
      </c>
      <c r="F14" s="1" t="s">
        <v>3</v>
      </c>
      <c r="G14" s="1" t="s">
        <v>3</v>
      </c>
    </row>
    <row r="15" spans="1:7" x14ac:dyDescent="0.25">
      <c r="A15" s="1" t="s">
        <v>25</v>
      </c>
      <c r="B15" s="1" t="s">
        <v>26</v>
      </c>
      <c r="C15" s="1" t="s">
        <v>3</v>
      </c>
      <c r="D15" s="1" t="s">
        <v>3</v>
      </c>
      <c r="E15" s="1" t="s">
        <v>3</v>
      </c>
      <c r="F15" s="1" t="s">
        <v>3</v>
      </c>
      <c r="G15" s="1" t="s">
        <v>3</v>
      </c>
    </row>
    <row r="16" spans="1:7" x14ac:dyDescent="0.25">
      <c r="A16" s="1" t="s">
        <v>27</v>
      </c>
      <c r="B16" s="1" t="s">
        <v>28</v>
      </c>
      <c r="C16" s="1" t="s">
        <v>2</v>
      </c>
      <c r="D16" s="1" t="s">
        <v>2</v>
      </c>
      <c r="E16" s="1" t="s">
        <v>2</v>
      </c>
      <c r="F16" s="1" t="s">
        <v>3</v>
      </c>
      <c r="G16" s="1" t="s">
        <v>2</v>
      </c>
    </row>
    <row r="17" spans="1:7" x14ac:dyDescent="0.25">
      <c r="A17" s="1" t="s">
        <v>29</v>
      </c>
      <c r="B17" s="1" t="s">
        <v>30</v>
      </c>
      <c r="C17" s="1" t="s">
        <v>2</v>
      </c>
      <c r="D17" s="1" t="s">
        <v>2</v>
      </c>
      <c r="E17" s="1" t="s">
        <v>2</v>
      </c>
      <c r="F17" s="1" t="s">
        <v>3</v>
      </c>
      <c r="G17" s="1" t="s">
        <v>2</v>
      </c>
    </row>
    <row r="18" spans="1:7" x14ac:dyDescent="0.25">
      <c r="A18" s="1" t="s">
        <v>31</v>
      </c>
      <c r="B18" s="1" t="s">
        <v>32</v>
      </c>
      <c r="C18" s="1" t="s">
        <v>2</v>
      </c>
      <c r="D18" s="1" t="s">
        <v>2</v>
      </c>
      <c r="E18" s="1" t="s">
        <v>3</v>
      </c>
      <c r="F18" s="1" t="s">
        <v>3</v>
      </c>
      <c r="G18" s="1" t="s">
        <v>3</v>
      </c>
    </row>
    <row r="19" spans="1:7" x14ac:dyDescent="0.25">
      <c r="A19" s="1" t="s">
        <v>33</v>
      </c>
      <c r="B19" s="1" t="s">
        <v>34</v>
      </c>
      <c r="C19" s="1" t="s">
        <v>3</v>
      </c>
      <c r="D19" s="1" t="s">
        <v>3</v>
      </c>
      <c r="E19" s="1" t="s">
        <v>3</v>
      </c>
      <c r="F19" s="1" t="s">
        <v>3</v>
      </c>
      <c r="G19" s="1" t="s">
        <v>3</v>
      </c>
    </row>
    <row r="20" spans="1:7" x14ac:dyDescent="0.25">
      <c r="A20" s="1" t="s">
        <v>35</v>
      </c>
      <c r="B20" s="1" t="s">
        <v>36</v>
      </c>
      <c r="C20" s="1" t="s">
        <v>3</v>
      </c>
      <c r="D20" s="1" t="s">
        <v>3</v>
      </c>
      <c r="E20" s="1" t="s">
        <v>3</v>
      </c>
      <c r="F20" s="1" t="s">
        <v>3</v>
      </c>
      <c r="G20" s="1" t="s">
        <v>3</v>
      </c>
    </row>
    <row r="21" spans="1:7" x14ac:dyDescent="0.25">
      <c r="A21" s="18" t="s">
        <v>285</v>
      </c>
      <c r="B21" t="s">
        <v>392</v>
      </c>
      <c r="C21" s="23" t="s">
        <v>2</v>
      </c>
      <c r="D21" s="23" t="s">
        <v>2</v>
      </c>
      <c r="E21" s="23" t="s">
        <v>2</v>
      </c>
      <c r="F21" s="23" t="s">
        <v>3</v>
      </c>
      <c r="G21" s="23" t="s">
        <v>2</v>
      </c>
    </row>
    <row r="22" spans="1:7" x14ac:dyDescent="0.25">
      <c r="A22" s="1" t="s">
        <v>37</v>
      </c>
      <c r="B22" s="1" t="s">
        <v>38</v>
      </c>
      <c r="C22" s="1" t="s">
        <v>3</v>
      </c>
      <c r="D22" s="1" t="s">
        <v>3</v>
      </c>
      <c r="E22" s="1" t="s">
        <v>3</v>
      </c>
      <c r="F22" s="1" t="s">
        <v>3</v>
      </c>
      <c r="G22" s="1" t="s">
        <v>3</v>
      </c>
    </row>
    <row r="23" spans="1:7" x14ac:dyDescent="0.25">
      <c r="A23" s="1" t="s">
        <v>39</v>
      </c>
      <c r="B23" s="14" t="s">
        <v>215</v>
      </c>
      <c r="C23" s="1" t="s">
        <v>3</v>
      </c>
      <c r="D23" s="1" t="s">
        <v>3</v>
      </c>
      <c r="E23" s="1" t="s">
        <v>3</v>
      </c>
      <c r="F23" s="1" t="s">
        <v>3</v>
      </c>
      <c r="G23" s="1" t="s">
        <v>3</v>
      </c>
    </row>
    <row r="24" spans="1:7" x14ac:dyDescent="0.25">
      <c r="A24" s="1" t="s">
        <v>40</v>
      </c>
      <c r="B24" s="1" t="s">
        <v>41</v>
      </c>
      <c r="C24" s="1" t="s">
        <v>3</v>
      </c>
      <c r="D24" s="1" t="s">
        <v>3</v>
      </c>
      <c r="E24" s="1" t="s">
        <v>3</v>
      </c>
      <c r="F24" s="1" t="s">
        <v>3</v>
      </c>
      <c r="G24" s="1" t="s">
        <v>3</v>
      </c>
    </row>
    <row r="25" spans="1:7" x14ac:dyDescent="0.25">
      <c r="A25" s="1" t="s">
        <v>42</v>
      </c>
      <c r="B25" s="1" t="s">
        <v>43</v>
      </c>
      <c r="C25" s="1" t="s">
        <v>3</v>
      </c>
      <c r="D25" s="1" t="s">
        <v>3</v>
      </c>
      <c r="E25" s="1" t="s">
        <v>3</v>
      </c>
      <c r="F25" s="1" t="s">
        <v>3</v>
      </c>
      <c r="G25" s="1" t="s">
        <v>3</v>
      </c>
    </row>
    <row r="26" spans="1:7" x14ac:dyDescent="0.25">
      <c r="A26" s="1" t="s">
        <v>44</v>
      </c>
      <c r="B26" s="1" t="s">
        <v>45</v>
      </c>
      <c r="C26" s="1" t="s">
        <v>3</v>
      </c>
      <c r="D26" s="1" t="s">
        <v>3</v>
      </c>
      <c r="E26" s="1" t="s">
        <v>3</v>
      </c>
      <c r="F26" s="1" t="s">
        <v>3</v>
      </c>
      <c r="G26" s="1" t="s">
        <v>3</v>
      </c>
    </row>
    <row r="27" spans="1:7" x14ac:dyDescent="0.25">
      <c r="A27" s="1" t="s">
        <v>46</v>
      </c>
      <c r="B27" s="1" t="s">
        <v>47</v>
      </c>
      <c r="C27" s="1" t="s">
        <v>2</v>
      </c>
      <c r="D27" s="1" t="s">
        <v>2</v>
      </c>
      <c r="E27" s="1" t="s">
        <v>2</v>
      </c>
      <c r="F27" s="1" t="s">
        <v>3</v>
      </c>
      <c r="G27" s="1" t="s">
        <v>2</v>
      </c>
    </row>
    <row r="28" spans="1:7" x14ac:dyDescent="0.25">
      <c r="A28" s="1" t="s">
        <v>48</v>
      </c>
      <c r="B28" s="1" t="s">
        <v>49</v>
      </c>
      <c r="C28" s="1" t="s">
        <v>3</v>
      </c>
      <c r="D28" s="1" t="s">
        <v>3</v>
      </c>
      <c r="E28" s="1" t="s">
        <v>3</v>
      </c>
      <c r="F28" s="1" t="s">
        <v>3</v>
      </c>
      <c r="G28" s="1" t="s">
        <v>3</v>
      </c>
    </row>
    <row r="29" spans="1:7" x14ac:dyDescent="0.25">
      <c r="A29" s="1" t="s">
        <v>50</v>
      </c>
      <c r="B29" s="1" t="s">
        <v>51</v>
      </c>
      <c r="C29" s="1" t="s">
        <v>2</v>
      </c>
      <c r="D29" s="1" t="s">
        <v>2</v>
      </c>
      <c r="E29" s="1" t="s">
        <v>2</v>
      </c>
      <c r="F29" s="1" t="s">
        <v>3</v>
      </c>
      <c r="G29" s="1" t="s">
        <v>2</v>
      </c>
    </row>
    <row r="30" spans="1:7" x14ac:dyDescent="0.25">
      <c r="A30" s="1" t="s">
        <v>52</v>
      </c>
      <c r="B30" s="1" t="s">
        <v>53</v>
      </c>
      <c r="C30" s="1" t="s">
        <v>2</v>
      </c>
      <c r="D30" s="1" t="s">
        <v>2</v>
      </c>
      <c r="E30" s="1" t="s">
        <v>2</v>
      </c>
      <c r="F30" s="1" t="s">
        <v>3</v>
      </c>
      <c r="G30" s="1" t="s">
        <v>2</v>
      </c>
    </row>
    <row r="31" spans="1:7" x14ac:dyDescent="0.25">
      <c r="A31" s="1" t="s">
        <v>54</v>
      </c>
      <c r="B31" s="1" t="s">
        <v>55</v>
      </c>
      <c r="C31" s="1" t="s">
        <v>3</v>
      </c>
      <c r="D31" s="1" t="s">
        <v>3</v>
      </c>
      <c r="E31" s="1" t="s">
        <v>3</v>
      </c>
      <c r="F31" s="1" t="s">
        <v>3</v>
      </c>
      <c r="G31" s="1" t="s">
        <v>3</v>
      </c>
    </row>
    <row r="32" spans="1:7" x14ac:dyDescent="0.25">
      <c r="A32" s="1" t="s">
        <v>56</v>
      </c>
      <c r="B32" s="1" t="s">
        <v>57</v>
      </c>
      <c r="C32" s="1" t="s">
        <v>3</v>
      </c>
      <c r="D32" s="1" t="s">
        <v>3</v>
      </c>
      <c r="E32" s="1" t="s">
        <v>3</v>
      </c>
      <c r="F32" s="1" t="s">
        <v>3</v>
      </c>
      <c r="G32" s="1" t="s">
        <v>3</v>
      </c>
    </row>
    <row r="33" spans="1:7" x14ac:dyDescent="0.25">
      <c r="A33" s="1" t="s">
        <v>58</v>
      </c>
      <c r="B33" s="1" t="s">
        <v>59</v>
      </c>
      <c r="C33" s="1" t="s">
        <v>3</v>
      </c>
      <c r="D33" s="1" t="s">
        <v>3</v>
      </c>
      <c r="E33" s="1" t="s">
        <v>3</v>
      </c>
      <c r="F33" s="1" t="s">
        <v>3</v>
      </c>
      <c r="G33" s="1" t="s">
        <v>3</v>
      </c>
    </row>
    <row r="34" spans="1:7" x14ac:dyDescent="0.25">
      <c r="A34" s="1" t="s">
        <v>60</v>
      </c>
      <c r="B34" s="1" t="s">
        <v>61</v>
      </c>
      <c r="C34" s="1" t="s">
        <v>3</v>
      </c>
      <c r="D34" s="1" t="s">
        <v>3</v>
      </c>
      <c r="E34" s="1" t="s">
        <v>3</v>
      </c>
      <c r="F34" s="1" t="s">
        <v>3</v>
      </c>
      <c r="G34" s="1" t="s">
        <v>3</v>
      </c>
    </row>
    <row r="35" spans="1:7" x14ac:dyDescent="0.25">
      <c r="A35" s="1" t="s">
        <v>62</v>
      </c>
      <c r="B35" s="1" t="s">
        <v>63</v>
      </c>
      <c r="C35" s="1" t="s">
        <v>2</v>
      </c>
      <c r="D35" s="1" t="s">
        <v>2</v>
      </c>
      <c r="E35" s="1" t="s">
        <v>2</v>
      </c>
      <c r="F35" s="1" t="s">
        <v>3</v>
      </c>
      <c r="G35" s="1" t="s">
        <v>2</v>
      </c>
    </row>
    <row r="36" spans="1:7" x14ac:dyDescent="0.25">
      <c r="A36" s="1" t="s">
        <v>64</v>
      </c>
      <c r="B36" s="1" t="s">
        <v>65</v>
      </c>
      <c r="C36" s="1" t="s">
        <v>2</v>
      </c>
      <c r="D36" s="1" t="s">
        <v>2</v>
      </c>
      <c r="E36" s="1" t="s">
        <v>2</v>
      </c>
      <c r="F36" s="1" t="s">
        <v>3</v>
      </c>
      <c r="G36" s="1" t="s">
        <v>2</v>
      </c>
    </row>
    <row r="37" spans="1:7" x14ac:dyDescent="0.25">
      <c r="A37" s="1" t="s">
        <v>66</v>
      </c>
      <c r="B37" s="1" t="s">
        <v>67</v>
      </c>
      <c r="C37" s="1" t="s">
        <v>3</v>
      </c>
      <c r="D37" s="1" t="s">
        <v>3</v>
      </c>
      <c r="E37" s="1" t="s">
        <v>3</v>
      </c>
      <c r="F37" s="1" t="s">
        <v>3</v>
      </c>
      <c r="G37" s="1" t="s">
        <v>3</v>
      </c>
    </row>
    <row r="38" spans="1:7" x14ac:dyDescent="0.25">
      <c r="A38" s="1" t="s">
        <v>68</v>
      </c>
      <c r="B38" s="1" t="s">
        <v>69</v>
      </c>
      <c r="C38" s="1" t="s">
        <v>3</v>
      </c>
      <c r="D38" s="1" t="s">
        <v>3</v>
      </c>
      <c r="E38" s="1" t="s">
        <v>3</v>
      </c>
      <c r="F38" s="1" t="s">
        <v>3</v>
      </c>
      <c r="G38" s="1" t="s">
        <v>3</v>
      </c>
    </row>
    <row r="39" spans="1:7" x14ac:dyDescent="0.25">
      <c r="A39" s="1" t="s">
        <v>70</v>
      </c>
      <c r="B39" s="1" t="s">
        <v>71</v>
      </c>
      <c r="C39" s="1" t="s">
        <v>3</v>
      </c>
      <c r="D39" s="1" t="s">
        <v>3</v>
      </c>
      <c r="E39" s="1" t="s">
        <v>3</v>
      </c>
      <c r="F39" s="1" t="s">
        <v>3</v>
      </c>
      <c r="G39" s="1" t="s">
        <v>3</v>
      </c>
    </row>
    <row r="40" spans="1:7" x14ac:dyDescent="0.25">
      <c r="A40" s="1" t="s">
        <v>72</v>
      </c>
      <c r="B40" s="1" t="s">
        <v>73</v>
      </c>
      <c r="C40" s="1" t="s">
        <v>3</v>
      </c>
      <c r="D40" s="1" t="s">
        <v>3</v>
      </c>
      <c r="E40" s="1" t="s">
        <v>3</v>
      </c>
      <c r="F40" s="1" t="s">
        <v>3</v>
      </c>
      <c r="G40" s="1" t="s">
        <v>3</v>
      </c>
    </row>
    <row r="41" spans="1:7" x14ac:dyDescent="0.25">
      <c r="A41" s="1" t="s">
        <v>74</v>
      </c>
      <c r="B41" s="1" t="s">
        <v>75</v>
      </c>
      <c r="C41" s="1" t="s">
        <v>3</v>
      </c>
      <c r="D41" s="1" t="s">
        <v>3</v>
      </c>
      <c r="E41" s="1" t="s">
        <v>3</v>
      </c>
      <c r="F41" s="1" t="s">
        <v>3</v>
      </c>
      <c r="G41" s="1" t="s">
        <v>3</v>
      </c>
    </row>
    <row r="42" spans="1:7" x14ac:dyDescent="0.25">
      <c r="A42" s="1" t="s">
        <v>76</v>
      </c>
      <c r="B42" s="14" t="s">
        <v>214</v>
      </c>
      <c r="C42" s="1" t="s">
        <v>3</v>
      </c>
      <c r="D42" s="1" t="s">
        <v>3</v>
      </c>
      <c r="E42" s="1" t="s">
        <v>3</v>
      </c>
      <c r="F42" s="1" t="s">
        <v>3</v>
      </c>
      <c r="G42" s="1" t="s">
        <v>3</v>
      </c>
    </row>
    <row r="43" spans="1:7" x14ac:dyDescent="0.25">
      <c r="A43" s="1" t="s">
        <v>77</v>
      </c>
      <c r="B43" s="1" t="s">
        <v>78</v>
      </c>
      <c r="C43" s="1" t="s">
        <v>3</v>
      </c>
      <c r="D43" s="1" t="s">
        <v>3</v>
      </c>
      <c r="E43" s="1" t="s">
        <v>3</v>
      </c>
      <c r="F43" s="1" t="s">
        <v>3</v>
      </c>
      <c r="G43" s="1" t="s">
        <v>3</v>
      </c>
    </row>
    <row r="44" spans="1:7" x14ac:dyDescent="0.25">
      <c r="A44" s="1" t="s">
        <v>79</v>
      </c>
      <c r="B44" s="1" t="s">
        <v>80</v>
      </c>
      <c r="C44" s="1" t="s">
        <v>2</v>
      </c>
      <c r="D44" s="1" t="s">
        <v>2</v>
      </c>
      <c r="E44" s="1" t="s">
        <v>2</v>
      </c>
      <c r="F44" s="1" t="s">
        <v>3</v>
      </c>
      <c r="G44" s="1" t="s">
        <v>2</v>
      </c>
    </row>
    <row r="45" spans="1:7" x14ac:dyDescent="0.25">
      <c r="A45" s="1" t="s">
        <v>81</v>
      </c>
      <c r="B45" s="1" t="s">
        <v>82</v>
      </c>
      <c r="C45" s="1" t="s">
        <v>3</v>
      </c>
      <c r="D45" s="1" t="s">
        <v>3</v>
      </c>
      <c r="E45" s="1" t="s">
        <v>3</v>
      </c>
      <c r="F45" s="1" t="s">
        <v>3</v>
      </c>
      <c r="G45" s="1" t="s">
        <v>3</v>
      </c>
    </row>
    <row r="46" spans="1:7" x14ac:dyDescent="0.25">
      <c r="A46" s="1" t="s">
        <v>83</v>
      </c>
      <c r="B46" s="1" t="s">
        <v>84</v>
      </c>
      <c r="C46" s="1" t="s">
        <v>3</v>
      </c>
      <c r="D46" s="1" t="s">
        <v>3</v>
      </c>
      <c r="E46" s="1" t="s">
        <v>3</v>
      </c>
      <c r="F46" s="1" t="s">
        <v>3</v>
      </c>
      <c r="G46" s="1" t="s">
        <v>3</v>
      </c>
    </row>
    <row r="47" spans="1:7" x14ac:dyDescent="0.25">
      <c r="A47" s="1" t="s">
        <v>85</v>
      </c>
      <c r="B47" s="1" t="s">
        <v>86</v>
      </c>
      <c r="C47" s="1" t="s">
        <v>2</v>
      </c>
      <c r="D47" s="1" t="s">
        <v>2</v>
      </c>
      <c r="E47" s="1" t="s">
        <v>2</v>
      </c>
      <c r="F47" s="1" t="s">
        <v>3</v>
      </c>
      <c r="G47" s="1" t="s">
        <v>2</v>
      </c>
    </row>
    <row r="48" spans="1:7" x14ac:dyDescent="0.25">
      <c r="A48" s="18" t="s">
        <v>286</v>
      </c>
      <c r="B48" t="s">
        <v>393</v>
      </c>
      <c r="C48" s="23" t="s">
        <v>2</v>
      </c>
      <c r="D48" s="23" t="s">
        <v>2</v>
      </c>
      <c r="E48" s="23" t="s">
        <v>2</v>
      </c>
      <c r="F48" s="23" t="s">
        <v>3</v>
      </c>
      <c r="G48" s="23" t="s">
        <v>2</v>
      </c>
    </row>
    <row r="49" spans="1:7" x14ac:dyDescent="0.25">
      <c r="A49" s="18" t="s">
        <v>287</v>
      </c>
      <c r="B49" s="24" t="s">
        <v>394</v>
      </c>
      <c r="C49" s="23" t="s">
        <v>2</v>
      </c>
      <c r="D49" s="23" t="s">
        <v>2</v>
      </c>
      <c r="E49" s="23" t="s">
        <v>2</v>
      </c>
      <c r="F49" s="23" t="s">
        <v>3</v>
      </c>
      <c r="G49" s="23" t="s">
        <v>2</v>
      </c>
    </row>
    <row r="50" spans="1:7" x14ac:dyDescent="0.25">
      <c r="A50" s="1" t="s">
        <v>87</v>
      </c>
      <c r="B50" s="1" t="s">
        <v>88</v>
      </c>
      <c r="C50" s="1" t="s">
        <v>3</v>
      </c>
      <c r="D50" s="1" t="s">
        <v>3</v>
      </c>
      <c r="E50" s="1" t="s">
        <v>3</v>
      </c>
      <c r="F50" s="1" t="s">
        <v>3</v>
      </c>
      <c r="G50" s="1" t="s">
        <v>3</v>
      </c>
    </row>
    <row r="51" spans="1:7" x14ac:dyDescent="0.25">
      <c r="A51" s="1" t="s">
        <v>89</v>
      </c>
      <c r="B51" s="1" t="s">
        <v>90</v>
      </c>
      <c r="C51" s="1" t="s">
        <v>3</v>
      </c>
      <c r="D51" s="1" t="s">
        <v>3</v>
      </c>
      <c r="E51" s="1" t="s">
        <v>3</v>
      </c>
      <c r="F51" s="1" t="s">
        <v>3</v>
      </c>
      <c r="G51" s="1" t="s">
        <v>3</v>
      </c>
    </row>
    <row r="52" spans="1:7" x14ac:dyDescent="0.25">
      <c r="A52" s="1" t="s">
        <v>91</v>
      </c>
      <c r="B52" s="1" t="s">
        <v>92</v>
      </c>
      <c r="C52" s="1" t="s">
        <v>3</v>
      </c>
      <c r="D52" s="1" t="s">
        <v>3</v>
      </c>
      <c r="E52" s="1" t="s">
        <v>3</v>
      </c>
      <c r="F52" s="1" t="s">
        <v>3</v>
      </c>
      <c r="G52" s="1" t="s">
        <v>3</v>
      </c>
    </row>
    <row r="53" spans="1:7" x14ac:dyDescent="0.25">
      <c r="A53" s="1" t="s">
        <v>93</v>
      </c>
      <c r="B53" s="1" t="s">
        <v>94</v>
      </c>
      <c r="C53" s="1" t="s">
        <v>3</v>
      </c>
      <c r="D53" s="1" t="s">
        <v>3</v>
      </c>
      <c r="E53" s="1" t="s">
        <v>3</v>
      </c>
      <c r="F53" s="1" t="s">
        <v>3</v>
      </c>
      <c r="G53" s="1" t="s">
        <v>3</v>
      </c>
    </row>
    <row r="54" spans="1:7" x14ac:dyDescent="0.25">
      <c r="A54" s="1" t="s">
        <v>95</v>
      </c>
      <c r="B54" s="1" t="s">
        <v>96</v>
      </c>
      <c r="C54" s="1" t="s">
        <v>3</v>
      </c>
      <c r="D54" s="1" t="s">
        <v>3</v>
      </c>
      <c r="E54" s="1" t="s">
        <v>3</v>
      </c>
      <c r="F54" s="1" t="s">
        <v>3</v>
      </c>
      <c r="G54" s="1" t="s">
        <v>3</v>
      </c>
    </row>
    <row r="55" spans="1:7" x14ac:dyDescent="0.25">
      <c r="A55" s="1" t="s">
        <v>97</v>
      </c>
      <c r="B55" s="1" t="s">
        <v>98</v>
      </c>
      <c r="C55" s="1" t="s">
        <v>3</v>
      </c>
      <c r="D55" s="1" t="s">
        <v>3</v>
      </c>
      <c r="E55" s="1" t="s">
        <v>3</v>
      </c>
      <c r="F55" s="1" t="s">
        <v>3</v>
      </c>
      <c r="G55" s="1" t="s">
        <v>3</v>
      </c>
    </row>
    <row r="56" spans="1:7" x14ac:dyDescent="0.25">
      <c r="A56" s="1" t="s">
        <v>99</v>
      </c>
      <c r="B56" s="1" t="s">
        <v>100</v>
      </c>
      <c r="C56" s="1" t="s">
        <v>3</v>
      </c>
      <c r="D56" s="1" t="s">
        <v>3</v>
      </c>
      <c r="E56" s="1" t="s">
        <v>3</v>
      </c>
      <c r="F56" s="1" t="s">
        <v>3</v>
      </c>
      <c r="G56" s="1" t="s">
        <v>3</v>
      </c>
    </row>
    <row r="57" spans="1:7" x14ac:dyDescent="0.25">
      <c r="A57" s="1" t="s">
        <v>101</v>
      </c>
      <c r="B57" s="1" t="s">
        <v>102</v>
      </c>
      <c r="C57" s="1" t="s">
        <v>3</v>
      </c>
      <c r="D57" s="1" t="s">
        <v>3</v>
      </c>
      <c r="E57" s="1" t="s">
        <v>3</v>
      </c>
      <c r="F57" s="1" t="s">
        <v>3</v>
      </c>
      <c r="G57" s="1" t="s">
        <v>3</v>
      </c>
    </row>
    <row r="58" spans="1:7" x14ac:dyDescent="0.25">
      <c r="A58" s="1" t="s">
        <v>103</v>
      </c>
      <c r="B58" s="1" t="s">
        <v>104</v>
      </c>
      <c r="C58" s="1" t="s">
        <v>2</v>
      </c>
      <c r="D58" s="1" t="s">
        <v>2</v>
      </c>
      <c r="E58" s="1" t="s">
        <v>2</v>
      </c>
      <c r="F58" s="1" t="s">
        <v>3</v>
      </c>
      <c r="G58" s="1" t="s">
        <v>2</v>
      </c>
    </row>
    <row r="59" spans="1:7" x14ac:dyDescent="0.25">
      <c r="A59" s="1" t="s">
        <v>105</v>
      </c>
      <c r="B59" s="1" t="s">
        <v>106</v>
      </c>
      <c r="C59" s="1" t="s">
        <v>3</v>
      </c>
      <c r="D59" s="1" t="s">
        <v>3</v>
      </c>
      <c r="E59" s="1" t="s">
        <v>3</v>
      </c>
      <c r="F59" s="1" t="s">
        <v>3</v>
      </c>
      <c r="G59" s="1" t="s">
        <v>3</v>
      </c>
    </row>
    <row r="60" spans="1:7" x14ac:dyDescent="0.25">
      <c r="A60" s="1" t="s">
        <v>107</v>
      </c>
      <c r="B60" s="1" t="s">
        <v>108</v>
      </c>
      <c r="C60" s="1" t="s">
        <v>3</v>
      </c>
      <c r="D60" s="1" t="s">
        <v>3</v>
      </c>
      <c r="E60" s="1" t="s">
        <v>3</v>
      </c>
      <c r="F60" s="1" t="s">
        <v>3</v>
      </c>
      <c r="G60" s="1" t="s">
        <v>3</v>
      </c>
    </row>
    <row r="61" spans="1:7" x14ac:dyDescent="0.25">
      <c r="A61" s="1" t="s">
        <v>109</v>
      </c>
      <c r="B61" s="1" t="s">
        <v>110</v>
      </c>
      <c r="C61" s="1" t="s">
        <v>3</v>
      </c>
      <c r="D61" s="1" t="s">
        <v>2</v>
      </c>
      <c r="E61" s="1" t="s">
        <v>3</v>
      </c>
      <c r="F61" s="1" t="s">
        <v>3</v>
      </c>
      <c r="G61" s="1" t="s">
        <v>2</v>
      </c>
    </row>
    <row r="62" spans="1:7" x14ac:dyDescent="0.25">
      <c r="A62" s="1" t="s">
        <v>111</v>
      </c>
      <c r="B62" s="1" t="s">
        <v>112</v>
      </c>
      <c r="C62" s="1" t="s">
        <v>3</v>
      </c>
      <c r="D62" s="1" t="s">
        <v>3</v>
      </c>
      <c r="E62" s="1" t="s">
        <v>3</v>
      </c>
      <c r="F62" s="1" t="s">
        <v>3</v>
      </c>
      <c r="G62" s="1" t="s">
        <v>3</v>
      </c>
    </row>
    <row r="63" spans="1:7" x14ac:dyDescent="0.25">
      <c r="A63" s="1" t="s">
        <v>113</v>
      </c>
      <c r="B63" s="1" t="s">
        <v>114</v>
      </c>
      <c r="C63" s="1" t="s">
        <v>3</v>
      </c>
      <c r="D63" s="1" t="s">
        <v>3</v>
      </c>
      <c r="E63" s="1" t="s">
        <v>3</v>
      </c>
      <c r="F63" s="1" t="s">
        <v>3</v>
      </c>
      <c r="G63" s="1" t="s">
        <v>3</v>
      </c>
    </row>
    <row r="64" spans="1:7" x14ac:dyDescent="0.25">
      <c r="A64" s="1" t="s">
        <v>115</v>
      </c>
      <c r="B64" s="1" t="s">
        <v>116</v>
      </c>
      <c r="C64" s="1" t="s">
        <v>3</v>
      </c>
      <c r="D64" s="1" t="s">
        <v>3</v>
      </c>
      <c r="E64" s="1" t="s">
        <v>3</v>
      </c>
      <c r="F64" s="1" t="s">
        <v>3</v>
      </c>
      <c r="G64" s="1" t="s">
        <v>3</v>
      </c>
    </row>
    <row r="65" spans="1:7" x14ac:dyDescent="0.25">
      <c r="A65" s="1" t="s">
        <v>117</v>
      </c>
      <c r="B65" s="1" t="s">
        <v>400</v>
      </c>
      <c r="C65" s="1" t="s">
        <v>3</v>
      </c>
      <c r="D65" s="1" t="s">
        <v>3</v>
      </c>
      <c r="E65" s="1" t="s">
        <v>3</v>
      </c>
      <c r="F65" s="1" t="s">
        <v>3</v>
      </c>
      <c r="G65" s="1" t="s">
        <v>3</v>
      </c>
    </row>
    <row r="66" spans="1:7" x14ac:dyDescent="0.25">
      <c r="A66" s="1" t="s">
        <v>118</v>
      </c>
      <c r="B66" s="1" t="s">
        <v>119</v>
      </c>
      <c r="C66" s="1" t="s">
        <v>3</v>
      </c>
      <c r="D66" s="1" t="s">
        <v>3</v>
      </c>
      <c r="E66" s="1" t="s">
        <v>3</v>
      </c>
      <c r="F66" s="1" t="s">
        <v>3</v>
      </c>
      <c r="G66" s="1" t="s">
        <v>3</v>
      </c>
    </row>
    <row r="67" spans="1:7" x14ac:dyDescent="0.25">
      <c r="A67" s="1" t="s">
        <v>120</v>
      </c>
      <c r="B67" s="1" t="s">
        <v>121</v>
      </c>
      <c r="C67" s="1" t="s">
        <v>3</v>
      </c>
      <c r="D67" s="1" t="s">
        <v>3</v>
      </c>
      <c r="E67" s="1" t="s">
        <v>3</v>
      </c>
      <c r="F67" s="1" t="s">
        <v>3</v>
      </c>
      <c r="G67" s="1" t="s">
        <v>3</v>
      </c>
    </row>
    <row r="68" spans="1:7" x14ac:dyDescent="0.25">
      <c r="A68" s="1" t="s">
        <v>122</v>
      </c>
      <c r="B68" s="1" t="s">
        <v>123</v>
      </c>
      <c r="C68" s="1" t="s">
        <v>3</v>
      </c>
      <c r="D68" s="1" t="s">
        <v>3</v>
      </c>
      <c r="E68" s="1" t="s">
        <v>3</v>
      </c>
      <c r="F68" s="1" t="s">
        <v>3</v>
      </c>
      <c r="G68" s="1" t="s">
        <v>3</v>
      </c>
    </row>
    <row r="69" spans="1:7" x14ac:dyDescent="0.25">
      <c r="A69" s="1" t="s">
        <v>124</v>
      </c>
      <c r="B69" s="1" t="s">
        <v>125</v>
      </c>
      <c r="C69" s="1" t="s">
        <v>3</v>
      </c>
      <c r="D69" s="1" t="s">
        <v>3</v>
      </c>
      <c r="E69" s="1" t="s">
        <v>3</v>
      </c>
      <c r="F69" s="1" t="s">
        <v>3</v>
      </c>
      <c r="G69" s="1" t="s">
        <v>3</v>
      </c>
    </row>
    <row r="70" spans="1:7" x14ac:dyDescent="0.25">
      <c r="A70" s="1" t="s">
        <v>126</v>
      </c>
      <c r="B70" s="1" t="s">
        <v>127</v>
      </c>
      <c r="C70" s="1" t="s">
        <v>3</v>
      </c>
      <c r="D70" s="1" t="s">
        <v>3</v>
      </c>
      <c r="E70" s="1" t="s">
        <v>3</v>
      </c>
      <c r="F70" s="1" t="s">
        <v>3</v>
      </c>
      <c r="G70" s="1" t="s">
        <v>3</v>
      </c>
    </row>
    <row r="71" spans="1:7" x14ac:dyDescent="0.25">
      <c r="A71" s="1" t="s">
        <v>128</v>
      </c>
      <c r="B71" s="1" t="s">
        <v>129</v>
      </c>
      <c r="C71" s="1" t="s">
        <v>3</v>
      </c>
      <c r="D71" s="1" t="s">
        <v>3</v>
      </c>
      <c r="E71" s="1" t="s">
        <v>3</v>
      </c>
      <c r="F71" s="1" t="s">
        <v>3</v>
      </c>
      <c r="G71" s="1" t="s">
        <v>3</v>
      </c>
    </row>
    <row r="72" spans="1:7" x14ac:dyDescent="0.25">
      <c r="A72" s="1" t="s">
        <v>130</v>
      </c>
      <c r="B72" s="1" t="s">
        <v>131</v>
      </c>
      <c r="C72" s="1" t="s">
        <v>3</v>
      </c>
      <c r="D72" s="1" t="s">
        <v>3</v>
      </c>
      <c r="E72" s="1" t="s">
        <v>3</v>
      </c>
      <c r="F72" s="1" t="s">
        <v>3</v>
      </c>
      <c r="G72" s="1" t="s">
        <v>3</v>
      </c>
    </row>
    <row r="73" spans="1:7" x14ac:dyDescent="0.25">
      <c r="A73" s="1" t="s">
        <v>132</v>
      </c>
      <c r="B73" s="1" t="s">
        <v>133</v>
      </c>
      <c r="C73" s="1" t="s">
        <v>3</v>
      </c>
      <c r="D73" s="1" t="s">
        <v>3</v>
      </c>
      <c r="E73" s="1" t="s">
        <v>3</v>
      </c>
      <c r="F73" s="1" t="s">
        <v>3</v>
      </c>
      <c r="G73" s="1" t="s">
        <v>3</v>
      </c>
    </row>
    <row r="74" spans="1:7" x14ac:dyDescent="0.25">
      <c r="A74" s="1" t="s">
        <v>134</v>
      </c>
      <c r="B74" s="1" t="s">
        <v>135</v>
      </c>
      <c r="C74" s="1" t="s">
        <v>3</v>
      </c>
      <c r="D74" s="1" t="s">
        <v>3</v>
      </c>
      <c r="E74" s="1" t="s">
        <v>3</v>
      </c>
      <c r="F74" s="1" t="s">
        <v>3</v>
      </c>
      <c r="G74" s="1" t="s">
        <v>3</v>
      </c>
    </row>
    <row r="75" spans="1:7" x14ac:dyDescent="0.25">
      <c r="A75" s="1" t="s">
        <v>136</v>
      </c>
      <c r="B75" s="1" t="s">
        <v>137</v>
      </c>
      <c r="C75" s="1" t="s">
        <v>3</v>
      </c>
      <c r="D75" s="1" t="s">
        <v>3</v>
      </c>
      <c r="E75" s="1" t="s">
        <v>3</v>
      </c>
      <c r="F75" s="1" t="s">
        <v>3</v>
      </c>
      <c r="G75" s="1" t="s">
        <v>3</v>
      </c>
    </row>
    <row r="76" spans="1:7" x14ac:dyDescent="0.25">
      <c r="A76" s="1" t="s">
        <v>138</v>
      </c>
      <c r="B76" s="1" t="s">
        <v>139</v>
      </c>
      <c r="C76" s="1" t="s">
        <v>3</v>
      </c>
      <c r="D76" s="1" t="s">
        <v>3</v>
      </c>
      <c r="E76" s="1" t="s">
        <v>3</v>
      </c>
      <c r="F76" s="1" t="s">
        <v>3</v>
      </c>
      <c r="G76" s="1" t="s">
        <v>3</v>
      </c>
    </row>
    <row r="77" spans="1:7" x14ac:dyDescent="0.25">
      <c r="A77" s="1" t="s">
        <v>140</v>
      </c>
      <c r="B77" s="1" t="s">
        <v>141</v>
      </c>
      <c r="C77" s="1" t="s">
        <v>3</v>
      </c>
      <c r="D77" s="1" t="s">
        <v>3</v>
      </c>
      <c r="E77" s="1" t="s">
        <v>3</v>
      </c>
      <c r="F77" s="1" t="s">
        <v>3</v>
      </c>
      <c r="G77" s="1" t="s">
        <v>3</v>
      </c>
    </row>
    <row r="78" spans="1:7" x14ac:dyDescent="0.25">
      <c r="A78" s="1" t="s">
        <v>142</v>
      </c>
      <c r="B78" s="1" t="s">
        <v>143</v>
      </c>
      <c r="C78" s="1" t="s">
        <v>3</v>
      </c>
      <c r="D78" s="1" t="s">
        <v>3</v>
      </c>
      <c r="E78" s="1" t="s">
        <v>3</v>
      </c>
      <c r="F78" s="1" t="s">
        <v>3</v>
      </c>
      <c r="G78" s="1" t="s">
        <v>3</v>
      </c>
    </row>
    <row r="79" spans="1:7" x14ac:dyDescent="0.25">
      <c r="A79" s="1" t="s">
        <v>144</v>
      </c>
      <c r="B79" s="1" t="s">
        <v>145</v>
      </c>
      <c r="C79" s="1" t="s">
        <v>3</v>
      </c>
      <c r="D79" s="1" t="s">
        <v>3</v>
      </c>
      <c r="E79" s="1" t="s">
        <v>3</v>
      </c>
      <c r="F79" s="1" t="s">
        <v>3</v>
      </c>
      <c r="G79" s="1" t="s">
        <v>3</v>
      </c>
    </row>
    <row r="80" spans="1:7" x14ac:dyDescent="0.25">
      <c r="A80" s="1" t="s">
        <v>146</v>
      </c>
      <c r="B80" s="1" t="s">
        <v>147</v>
      </c>
      <c r="C80" s="1" t="s">
        <v>2</v>
      </c>
      <c r="D80" s="1" t="s">
        <v>2</v>
      </c>
      <c r="E80" s="1" t="s">
        <v>2</v>
      </c>
      <c r="F80" s="1" t="s">
        <v>3</v>
      </c>
      <c r="G80" s="1" t="s">
        <v>2</v>
      </c>
    </row>
    <row r="81" spans="1:7" x14ac:dyDescent="0.25">
      <c r="A81" s="1" t="s">
        <v>148</v>
      </c>
      <c r="B81" s="1" t="s">
        <v>149</v>
      </c>
      <c r="C81" s="1" t="s">
        <v>3</v>
      </c>
      <c r="D81" s="1" t="s">
        <v>3</v>
      </c>
      <c r="E81" s="1" t="s">
        <v>3</v>
      </c>
      <c r="F81" s="1" t="s">
        <v>3</v>
      </c>
      <c r="G81" s="1" t="s">
        <v>3</v>
      </c>
    </row>
    <row r="82" spans="1:7" x14ac:dyDescent="0.25">
      <c r="A82" s="1" t="s">
        <v>150</v>
      </c>
      <c r="B82" s="1" t="s">
        <v>151</v>
      </c>
      <c r="C82" s="1" t="s">
        <v>3</v>
      </c>
      <c r="D82" s="1" t="s">
        <v>3</v>
      </c>
      <c r="E82" s="1" t="s">
        <v>3</v>
      </c>
      <c r="F82" s="1" t="s">
        <v>3</v>
      </c>
      <c r="G82" s="1" t="s">
        <v>3</v>
      </c>
    </row>
    <row r="83" spans="1:7" x14ac:dyDescent="0.25">
      <c r="A83" s="1" t="s">
        <v>152</v>
      </c>
      <c r="B83" s="1" t="s">
        <v>153</v>
      </c>
      <c r="C83" s="1" t="s">
        <v>2</v>
      </c>
      <c r="D83" s="1" t="s">
        <v>2</v>
      </c>
      <c r="E83" s="1" t="s">
        <v>2</v>
      </c>
      <c r="F83" s="1" t="s">
        <v>3</v>
      </c>
      <c r="G83" s="1" t="s">
        <v>2</v>
      </c>
    </row>
    <row r="84" spans="1:7" x14ac:dyDescent="0.25">
      <c r="A84" s="18" t="s">
        <v>255</v>
      </c>
      <c r="B84" t="s">
        <v>395</v>
      </c>
      <c r="C84" s="23" t="s">
        <v>2</v>
      </c>
      <c r="D84" s="23" t="s">
        <v>2</v>
      </c>
      <c r="E84" s="23" t="s">
        <v>2</v>
      </c>
      <c r="F84" s="23" t="s">
        <v>3</v>
      </c>
      <c r="G84" s="23" t="s">
        <v>2</v>
      </c>
    </row>
    <row r="85" spans="1:7" x14ac:dyDescent="0.25">
      <c r="A85" s="1" t="s">
        <v>154</v>
      </c>
      <c r="B85" s="1" t="s">
        <v>155</v>
      </c>
      <c r="C85" s="1" t="s">
        <v>3</v>
      </c>
      <c r="D85" s="1" t="s">
        <v>3</v>
      </c>
      <c r="E85" s="1" t="s">
        <v>3</v>
      </c>
      <c r="F85" s="1" t="s">
        <v>3</v>
      </c>
      <c r="G85" s="1" t="s">
        <v>3</v>
      </c>
    </row>
    <row r="86" spans="1:7" x14ac:dyDescent="0.25">
      <c r="A86" s="1" t="s">
        <v>156</v>
      </c>
      <c r="B86" s="1" t="s">
        <v>157</v>
      </c>
      <c r="C86" s="1" t="s">
        <v>3</v>
      </c>
      <c r="D86" s="1" t="s">
        <v>3</v>
      </c>
      <c r="E86" s="1" t="s">
        <v>3</v>
      </c>
      <c r="F86" s="1" t="s">
        <v>3</v>
      </c>
      <c r="G86" s="1" t="s">
        <v>3</v>
      </c>
    </row>
    <row r="87" spans="1:7" x14ac:dyDescent="0.25">
      <c r="A87" s="1" t="s">
        <v>158</v>
      </c>
      <c r="B87" s="1" t="s">
        <v>159</v>
      </c>
      <c r="C87" s="1" t="s">
        <v>3</v>
      </c>
      <c r="D87" s="1" t="s">
        <v>3</v>
      </c>
      <c r="E87" s="1" t="s">
        <v>3</v>
      </c>
      <c r="F87" s="1" t="s">
        <v>3</v>
      </c>
      <c r="G87" s="1" t="s">
        <v>3</v>
      </c>
    </row>
    <row r="88" spans="1:7" x14ac:dyDescent="0.25">
      <c r="A88" s="1" t="s">
        <v>160</v>
      </c>
      <c r="B88" s="1" t="s">
        <v>161</v>
      </c>
      <c r="C88" s="1" t="s">
        <v>3</v>
      </c>
      <c r="D88" s="1" t="s">
        <v>3</v>
      </c>
      <c r="E88" s="1" t="s">
        <v>3</v>
      </c>
      <c r="F88" s="1" t="s">
        <v>3</v>
      </c>
      <c r="G88" s="1" t="s">
        <v>3</v>
      </c>
    </row>
    <row r="89" spans="1:7" x14ac:dyDescent="0.25">
      <c r="A89" s="1" t="s">
        <v>162</v>
      </c>
      <c r="B89" s="1" t="s">
        <v>163</v>
      </c>
      <c r="C89" s="1" t="s">
        <v>3</v>
      </c>
      <c r="D89" s="1" t="s">
        <v>2</v>
      </c>
      <c r="E89" s="1" t="s">
        <v>3</v>
      </c>
      <c r="F89" s="1" t="s">
        <v>3</v>
      </c>
      <c r="G89" s="1" t="s">
        <v>3</v>
      </c>
    </row>
    <row r="90" spans="1:7" x14ac:dyDescent="0.25">
      <c r="A90" s="1" t="s">
        <v>164</v>
      </c>
      <c r="B90" s="1" t="s">
        <v>165</v>
      </c>
      <c r="C90" s="1" t="s">
        <v>3</v>
      </c>
      <c r="D90" s="1" t="s">
        <v>3</v>
      </c>
      <c r="E90" s="1" t="s">
        <v>3</v>
      </c>
      <c r="F90" s="1" t="s">
        <v>3</v>
      </c>
      <c r="G90" s="1" t="s">
        <v>3</v>
      </c>
    </row>
    <row r="91" spans="1:7" x14ac:dyDescent="0.25">
      <c r="A91" s="1" t="s">
        <v>166</v>
      </c>
      <c r="B91" s="1" t="s">
        <v>167</v>
      </c>
      <c r="C91" s="1" t="s">
        <v>3</v>
      </c>
      <c r="D91" s="1" t="s">
        <v>3</v>
      </c>
      <c r="E91" s="1" t="s">
        <v>3</v>
      </c>
      <c r="F91" s="1" t="s">
        <v>3</v>
      </c>
      <c r="G91" s="1" t="s">
        <v>3</v>
      </c>
    </row>
    <row r="92" spans="1:7" x14ac:dyDescent="0.25">
      <c r="A92" s="1" t="s">
        <v>168</v>
      </c>
      <c r="B92" s="1" t="s">
        <v>169</v>
      </c>
      <c r="C92" s="1" t="s">
        <v>3</v>
      </c>
      <c r="D92" s="1" t="s">
        <v>3</v>
      </c>
      <c r="E92" s="1" t="s">
        <v>3</v>
      </c>
      <c r="F92" s="1" t="s">
        <v>3</v>
      </c>
      <c r="G92" s="1" t="s">
        <v>3</v>
      </c>
    </row>
    <row r="93" spans="1:7" x14ac:dyDescent="0.25">
      <c r="A93" s="1" t="s">
        <v>170</v>
      </c>
      <c r="B93" s="1" t="s">
        <v>171</v>
      </c>
      <c r="C93" s="1" t="s">
        <v>3</v>
      </c>
      <c r="D93" s="1" t="s">
        <v>3</v>
      </c>
      <c r="E93" s="1" t="s">
        <v>3</v>
      </c>
      <c r="F93" s="1" t="s">
        <v>3</v>
      </c>
      <c r="G93" s="1" t="s">
        <v>3</v>
      </c>
    </row>
    <row r="94" spans="1:7" x14ac:dyDescent="0.25">
      <c r="A94" s="1" t="s">
        <v>172</v>
      </c>
      <c r="B94" s="1" t="s">
        <v>173</v>
      </c>
      <c r="C94" s="1" t="s">
        <v>3</v>
      </c>
      <c r="D94" s="1" t="s">
        <v>3</v>
      </c>
      <c r="E94" s="1" t="s">
        <v>3</v>
      </c>
      <c r="F94" s="1" t="s">
        <v>3</v>
      </c>
      <c r="G94" s="1" t="s">
        <v>3</v>
      </c>
    </row>
    <row r="95" spans="1:7" x14ac:dyDescent="0.25">
      <c r="A95" s="1" t="s">
        <v>174</v>
      </c>
      <c r="B95" s="1" t="s">
        <v>175</v>
      </c>
      <c r="C95" s="1" t="s">
        <v>3</v>
      </c>
      <c r="D95" s="1" t="s">
        <v>3</v>
      </c>
      <c r="E95" s="1" t="s">
        <v>3</v>
      </c>
      <c r="F95" s="1" t="s">
        <v>3</v>
      </c>
      <c r="G95" s="1" t="s">
        <v>3</v>
      </c>
    </row>
    <row r="96" spans="1:7" x14ac:dyDescent="0.25">
      <c r="A96" s="1" t="s">
        <v>176</v>
      </c>
      <c r="B96" s="1" t="s">
        <v>177</v>
      </c>
      <c r="C96" s="1" t="s">
        <v>3</v>
      </c>
      <c r="D96" s="1" t="s">
        <v>3</v>
      </c>
      <c r="E96" s="1" t="s">
        <v>3</v>
      </c>
      <c r="F96" s="1" t="s">
        <v>3</v>
      </c>
      <c r="G96" s="1" t="s">
        <v>3</v>
      </c>
    </row>
    <row r="97" spans="1:7" x14ac:dyDescent="0.25">
      <c r="A97" s="1" t="s">
        <v>178</v>
      </c>
      <c r="B97" s="1" t="s">
        <v>179</v>
      </c>
      <c r="C97" s="1" t="s">
        <v>3</v>
      </c>
      <c r="D97" s="1" t="s">
        <v>2</v>
      </c>
      <c r="E97" s="1" t="s">
        <v>3</v>
      </c>
      <c r="F97" s="1" t="s">
        <v>3</v>
      </c>
      <c r="G97" s="1" t="s">
        <v>3</v>
      </c>
    </row>
    <row r="98" spans="1:7" x14ac:dyDescent="0.25">
      <c r="A98" s="4" t="s">
        <v>180</v>
      </c>
      <c r="B98" s="4" t="s">
        <v>181</v>
      </c>
      <c r="C98" s="4" t="s">
        <v>3</v>
      </c>
      <c r="D98" s="4" t="s">
        <v>3</v>
      </c>
      <c r="E98" s="4" t="s">
        <v>3</v>
      </c>
      <c r="F98" s="4" t="s">
        <v>3</v>
      </c>
      <c r="G98" s="4" t="s">
        <v>3</v>
      </c>
    </row>
  </sheetData>
  <sortState ref="A2:G98">
    <sortCondition ref="A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workbookViewId="0">
      <pane xSplit="1" ySplit="7" topLeftCell="F11" activePane="bottomRight" state="frozen"/>
      <selection pane="topRight" activeCell="B1" sqref="B1"/>
      <selection pane="bottomLeft" activeCell="A2" sqref="A2"/>
      <selection pane="bottomRight" activeCell="AM7" sqref="AM7"/>
    </sheetView>
  </sheetViews>
  <sheetFormatPr defaultRowHeight="15" x14ac:dyDescent="0.25"/>
  <cols>
    <col min="1" max="1" width="10.140625" bestFit="1" customWidth="1"/>
    <col min="2" max="2" width="63.7109375" bestFit="1" customWidth="1"/>
    <col min="3" max="3" width="10.28515625" bestFit="1" customWidth="1"/>
    <col min="4" max="4" width="15.28515625" bestFit="1" customWidth="1"/>
    <col min="5" max="5" width="28.140625" customWidth="1"/>
    <col min="6" max="6" width="26.42578125" bestFit="1" customWidth="1"/>
    <col min="8" max="8" width="13" customWidth="1"/>
    <col min="9" max="9" width="14" customWidth="1"/>
    <col min="10" max="10" width="15.42578125" customWidth="1"/>
    <col min="11" max="11" width="10.140625" bestFit="1" customWidth="1"/>
    <col min="12" max="12" width="11.42578125" customWidth="1"/>
    <col min="13" max="13" width="12.28515625" customWidth="1"/>
    <col min="16" max="16" width="11.5703125" customWidth="1"/>
    <col min="17" max="18" width="12.28515625" customWidth="1"/>
    <col min="19" max="19" width="12" customWidth="1"/>
    <col min="20" max="20" width="11.5703125" bestFit="1" customWidth="1"/>
    <col min="21" max="21" width="11.5703125" customWidth="1"/>
    <col min="38" max="38" width="18.28515625" customWidth="1"/>
  </cols>
  <sheetData>
    <row r="1" spans="1:38" x14ac:dyDescent="0.25">
      <c r="A1">
        <v>0</v>
      </c>
      <c r="B1" t="s">
        <v>445</v>
      </c>
      <c r="H1">
        <f t="shared" ref="H1:I5" si="0">QUARTILE(H$8:H$82,$A1)</f>
        <v>0.33</v>
      </c>
      <c r="I1">
        <f t="shared" si="0"/>
        <v>0</v>
      </c>
    </row>
    <row r="2" spans="1:38" x14ac:dyDescent="0.25">
      <c r="A2">
        <v>1</v>
      </c>
      <c r="B2" t="s">
        <v>446</v>
      </c>
      <c r="H2">
        <f t="shared" si="0"/>
        <v>0.79500000000000004</v>
      </c>
      <c r="I2">
        <f t="shared" si="0"/>
        <v>0.61</v>
      </c>
    </row>
    <row r="3" spans="1:38" x14ac:dyDescent="0.25">
      <c r="A3">
        <v>2</v>
      </c>
      <c r="B3" t="s">
        <v>447</v>
      </c>
      <c r="H3">
        <f t="shared" si="0"/>
        <v>0.92</v>
      </c>
      <c r="I3">
        <f t="shared" si="0"/>
        <v>0.8</v>
      </c>
    </row>
    <row r="4" spans="1:38" x14ac:dyDescent="0.25">
      <c r="A4">
        <v>3</v>
      </c>
      <c r="B4" t="s">
        <v>448</v>
      </c>
      <c r="H4">
        <f t="shared" si="0"/>
        <v>0.97</v>
      </c>
      <c r="I4">
        <f t="shared" si="0"/>
        <v>0.91</v>
      </c>
    </row>
    <row r="5" spans="1:38" x14ac:dyDescent="0.25">
      <c r="A5">
        <v>4</v>
      </c>
      <c r="B5" t="s">
        <v>449</v>
      </c>
      <c r="H5">
        <f t="shared" si="0"/>
        <v>1</v>
      </c>
      <c r="I5">
        <f t="shared" si="0"/>
        <v>1</v>
      </c>
    </row>
    <row r="7" spans="1:38" ht="75" x14ac:dyDescent="0.25">
      <c r="A7" s="12" t="s">
        <v>189</v>
      </c>
      <c r="B7" s="12" t="s">
        <v>183</v>
      </c>
      <c r="C7" s="10" t="s">
        <v>197</v>
      </c>
      <c r="D7" s="11" t="s">
        <v>206</v>
      </c>
      <c r="E7" s="27" t="s">
        <v>401</v>
      </c>
      <c r="F7" s="109" t="s">
        <v>1137</v>
      </c>
      <c r="G7" s="10" t="s">
        <v>209</v>
      </c>
      <c r="H7" s="10" t="s">
        <v>210</v>
      </c>
      <c r="I7" s="13" t="s">
        <v>211</v>
      </c>
      <c r="J7" s="10" t="s">
        <v>212</v>
      </c>
      <c r="K7" s="12" t="s">
        <v>189</v>
      </c>
      <c r="L7" s="26" t="s">
        <v>576</v>
      </c>
      <c r="M7" s="26" t="s">
        <v>577</v>
      </c>
      <c r="N7" s="47" t="s">
        <v>586</v>
      </c>
      <c r="O7" s="47" t="s">
        <v>585</v>
      </c>
      <c r="P7" s="22" t="s">
        <v>582</v>
      </c>
      <c r="Q7" s="22" t="s">
        <v>583</v>
      </c>
      <c r="R7" s="22" t="s">
        <v>592</v>
      </c>
      <c r="S7" s="22" t="s">
        <v>584</v>
      </c>
      <c r="T7" s="22" t="s">
        <v>593</v>
      </c>
      <c r="U7" s="22" t="s">
        <v>589</v>
      </c>
      <c r="V7" s="52" t="s">
        <v>578</v>
      </c>
      <c r="W7" s="52" t="s">
        <v>579</v>
      </c>
      <c r="X7" s="52" t="s">
        <v>580</v>
      </c>
      <c r="Y7" s="52" t="s">
        <v>581</v>
      </c>
      <c r="Z7" s="52" t="s">
        <v>587</v>
      </c>
      <c r="AA7" s="52" t="s">
        <v>588</v>
      </c>
      <c r="AB7" s="52" t="s">
        <v>590</v>
      </c>
      <c r="AC7" s="52" t="s">
        <v>591</v>
      </c>
      <c r="AD7" s="110" t="s">
        <v>1126</v>
      </c>
      <c r="AE7" s="110" t="s">
        <v>1127</v>
      </c>
      <c r="AF7" s="52" t="s">
        <v>1128</v>
      </c>
      <c r="AG7" s="52" t="s">
        <v>1129</v>
      </c>
      <c r="AH7" s="52" t="s">
        <v>1131</v>
      </c>
      <c r="AI7" s="52" t="s">
        <v>1132</v>
      </c>
      <c r="AJ7" s="52" t="s">
        <v>1130</v>
      </c>
      <c r="AK7" s="52" t="s">
        <v>1133</v>
      </c>
      <c r="AL7" s="109" t="s">
        <v>1137</v>
      </c>
    </row>
    <row r="8" spans="1:38" x14ac:dyDescent="0.25">
      <c r="A8" s="88" t="s">
        <v>9</v>
      </c>
      <c r="B8" s="88" t="s">
        <v>10</v>
      </c>
      <c r="C8" s="89">
        <v>132</v>
      </c>
      <c r="D8" s="89" t="s">
        <v>658</v>
      </c>
      <c r="E8" s="89" t="s">
        <v>659</v>
      </c>
      <c r="F8">
        <v>82</v>
      </c>
      <c r="G8" s="90">
        <v>0.77999997138977051</v>
      </c>
      <c r="H8" s="54">
        <v>0.92</v>
      </c>
      <c r="I8" s="54">
        <v>0.93</v>
      </c>
      <c r="J8" s="54">
        <v>1.6E-2</v>
      </c>
      <c r="K8" s="40" t="str">
        <f>A8</f>
        <v>7A6</v>
      </c>
      <c r="L8" s="40">
        <f t="shared" ref="L8:L37" si="1">+IF(H8&lt;H$2,1,IF(H8&lt;H$3,2,IF(H8&lt;H$4,3,4)))</f>
        <v>3</v>
      </c>
      <c r="M8" s="40">
        <f t="shared" ref="M8:M37" si="2">+IF(I8&lt;I$2,1,IF(I8&lt;I$3,2,IF(I8&lt;I$4,3,4)))</f>
        <v>4</v>
      </c>
      <c r="N8" s="91">
        <f>IF('Amputation Summary'!$Q$33=2, RANK(I8,I$8:I$82,1)+COUNTIF($I$8:I8,I8)-1, IF('Amputation Summary'!$Q$33=1, RANK(H8,H$8:H$82,1)+COUNTIF($H$8:H8,H8)-1))</f>
        <v>37</v>
      </c>
      <c r="O8" s="92">
        <f>IF('Amputation Summary'!$Q$33=2, I8, IF('Amputation Summary'!$Q$33=1, H8))</f>
        <v>0.92</v>
      </c>
      <c r="P8" s="91">
        <v>8</v>
      </c>
      <c r="Q8" s="91">
        <v>4</v>
      </c>
      <c r="R8" s="91">
        <f>P8-Q8</f>
        <v>4</v>
      </c>
      <c r="S8" s="91">
        <v>28</v>
      </c>
      <c r="T8" s="91">
        <f>S8-P8</f>
        <v>20</v>
      </c>
      <c r="U8" s="91">
        <v>24</v>
      </c>
      <c r="V8" s="90">
        <v>0.55311572551727295</v>
      </c>
      <c r="W8" s="90">
        <v>1.0999505519866943</v>
      </c>
      <c r="X8" s="90">
        <f>G8-V8</f>
        <v>0.22688424587249756</v>
      </c>
      <c r="Y8" s="90">
        <f>W8-G8</f>
        <v>0.31995058059692383</v>
      </c>
      <c r="Z8" s="91">
        <f>IF('Amputation Summary'!$Q$4=3, RANK(G8,G$8:G$82,1)+COUNTIF($G$8:G8,G8)-1, IF('Amputation Summary'!$Q$4&lt;3, RANK(U8,U$8:U$82,1)+COUNTIF($U$8:U8,U8)-1))</f>
        <v>29</v>
      </c>
      <c r="AA8" s="91">
        <f>IF('Amputation Summary'!$Q$4=3,G8, IF( 'Amputation Summary'!$Q$4=1, P8, IF('Amputation Summary'!$Q$4=2, F8)))</f>
        <v>0.77999997138977051</v>
      </c>
      <c r="AB8" s="91">
        <f>IF('Amputation Summary'!$Q$4=3, V8, IF('Amputation Summary'!$Q$4=1, R8, IF('Amputation Summary'!$Q$4=2, AF8)))</f>
        <v>0.55311572551727295</v>
      </c>
      <c r="AC8" s="91">
        <f>IF('Amputation Summary'!$Q$4=3, Y8, IF('Amputation Summary'!$Q$4=1, T8, IF('Amputation Summary'!$Q$4=2, AG8)))</f>
        <v>0.31995058059692383</v>
      </c>
      <c r="AD8">
        <v>71</v>
      </c>
      <c r="AE8">
        <v>90</v>
      </c>
      <c r="AF8">
        <f t="shared" ref="AF8:AF39" si="3">F8-AD8</f>
        <v>11</v>
      </c>
      <c r="AG8">
        <f t="shared" ref="AG8:AG39" si="4">AE8-F8</f>
        <v>8</v>
      </c>
      <c r="AH8">
        <v>7</v>
      </c>
      <c r="AI8">
        <v>75</v>
      </c>
      <c r="AJ8">
        <v>1</v>
      </c>
      <c r="AK8" s="91">
        <f>IF('Amputation Summary'!$Q$4=3, AJ8, IF('Amputation Summary'!$Q$4=1, AH8, IF('Amputation Summary'!$Q$4=2, AI8)))</f>
        <v>1</v>
      </c>
      <c r="AL8" s="124">
        <v>0.82</v>
      </c>
    </row>
    <row r="9" spans="1:38" x14ac:dyDescent="0.25">
      <c r="A9" s="88" t="s">
        <v>120</v>
      </c>
      <c r="B9" s="88" t="s">
        <v>612</v>
      </c>
      <c r="C9" s="89">
        <v>72</v>
      </c>
      <c r="D9" s="89" t="s">
        <v>660</v>
      </c>
      <c r="E9" s="89" t="s">
        <v>661</v>
      </c>
      <c r="F9">
        <v>89</v>
      </c>
      <c r="G9" s="90">
        <v>0.63999998569488525</v>
      </c>
      <c r="H9" s="54">
        <v>1</v>
      </c>
      <c r="I9" s="54">
        <v>0.65</v>
      </c>
      <c r="J9" s="54">
        <v>3.5000000000000003E-2</v>
      </c>
      <c r="K9" s="40" t="str">
        <f t="shared" ref="K9:K72" si="5">A9</f>
        <v>RTK</v>
      </c>
      <c r="L9" s="40">
        <f t="shared" si="1"/>
        <v>4</v>
      </c>
      <c r="M9" s="40">
        <f t="shared" si="2"/>
        <v>2</v>
      </c>
      <c r="N9" s="91">
        <f>IF('Amputation Summary'!$Q$33=2, RANK(I9,I$8:I$82,1)+COUNTIF($I$8:I9,I9)-1, IF('Amputation Summary'!$Q$33=1, RANK(H9,H$8:H$82,1)+COUNTIF($H$8:H9,H9)-1))</f>
        <v>64</v>
      </c>
      <c r="O9" s="92">
        <f>IF('Amputation Summary'!$Q$33=2, I9, IF('Amputation Summary'!$Q$33=1, H9))</f>
        <v>1</v>
      </c>
      <c r="P9" s="91">
        <v>5</v>
      </c>
      <c r="Q9" s="91">
        <v>2</v>
      </c>
      <c r="R9" s="91">
        <f t="shared" ref="R9:R72" si="6">P9-Q9</f>
        <v>3</v>
      </c>
      <c r="S9" s="91">
        <v>11</v>
      </c>
      <c r="T9" s="91">
        <f t="shared" ref="T9:T72" si="7">S9-P9</f>
        <v>6</v>
      </c>
      <c r="U9" s="91">
        <v>4</v>
      </c>
      <c r="V9" s="90">
        <v>0.39847481250762939</v>
      </c>
      <c r="W9" s="90">
        <v>1.0279194116592407</v>
      </c>
      <c r="X9" s="90">
        <f t="shared" ref="X9:X72" si="8">G9-V9</f>
        <v>0.24152517318725586</v>
      </c>
      <c r="Y9" s="90">
        <f t="shared" ref="Y9:Y72" si="9">W9-G9</f>
        <v>0.38791942596435547</v>
      </c>
      <c r="Z9" s="91">
        <f>IF('Amputation Summary'!$Q$4=3, RANK(G9,G$8:G$82,1)+COUNTIF($G$8:G9,G9)-1, IF('Amputation Summary'!$Q$4&lt;3, RANK(U9,U$8:U$82,1)+COUNTIF($U$8:U9,U9)-1))</f>
        <v>19</v>
      </c>
      <c r="AA9" s="91">
        <f>IF('Amputation Summary'!$Q$4=3,G9, IF( 'Amputation Summary'!$Q$4=1, P9, IF('Amputation Summary'!$Q$4=2, F9)))</f>
        <v>0.63999998569488525</v>
      </c>
      <c r="AB9" s="91">
        <f>IF('Amputation Summary'!$Q$4=3, V9, IF('Amputation Summary'!$Q$4=1, R9, IF('Amputation Summary'!$Q$4=2, AF9)))</f>
        <v>0.39847481250762939</v>
      </c>
      <c r="AC9" s="91">
        <f>IF('Amputation Summary'!$Q$4=3, Y9, IF('Amputation Summary'!$Q$4=1, T9, IF('Amputation Summary'!$Q$4=2, AG9)))</f>
        <v>0.38791942596435547</v>
      </c>
      <c r="AD9">
        <v>77</v>
      </c>
      <c r="AE9">
        <v>96</v>
      </c>
      <c r="AF9">
        <f t="shared" si="3"/>
        <v>12</v>
      </c>
      <c r="AG9">
        <f t="shared" si="4"/>
        <v>7</v>
      </c>
      <c r="AH9">
        <v>7</v>
      </c>
      <c r="AI9">
        <v>75</v>
      </c>
      <c r="AJ9">
        <v>1</v>
      </c>
      <c r="AK9" s="91">
        <f>IF('Amputation Summary'!$Q$4=3, AJ9, IF('Amputation Summary'!$Q$4=1, AH9, IF('Amputation Summary'!$Q$4=2, AI9)))</f>
        <v>1</v>
      </c>
      <c r="AL9" s="124">
        <v>0.89</v>
      </c>
    </row>
    <row r="10" spans="1:38" x14ac:dyDescent="0.25">
      <c r="A10" s="88" t="s">
        <v>48</v>
      </c>
      <c r="B10" s="88" t="s">
        <v>613</v>
      </c>
      <c r="C10" s="89">
        <v>120</v>
      </c>
      <c r="D10" s="89" t="s">
        <v>662</v>
      </c>
      <c r="E10" s="89" t="s">
        <v>663</v>
      </c>
      <c r="F10">
        <v>82</v>
      </c>
      <c r="G10" s="90">
        <v>1.7899999618530273</v>
      </c>
      <c r="H10" s="54">
        <v>0.97</v>
      </c>
      <c r="I10" s="54">
        <v>0.03</v>
      </c>
      <c r="J10" s="54">
        <v>6.3E-2</v>
      </c>
      <c r="K10" s="40" t="str">
        <f t="shared" si="5"/>
        <v>RF4</v>
      </c>
      <c r="L10" s="40">
        <f t="shared" si="1"/>
        <v>4</v>
      </c>
      <c r="M10" s="40">
        <f t="shared" si="2"/>
        <v>1</v>
      </c>
      <c r="N10" s="91">
        <f>IF('Amputation Summary'!$Q$33=2, RANK(I10,I$8:I$82,1)+COUNTIF($I$8:I10,I10)-1, IF('Amputation Summary'!$Q$33=1, RANK(H10,H$8:H$82,1)+COUNTIF($H$8:H10,H10)-1))</f>
        <v>52</v>
      </c>
      <c r="O10" s="92">
        <f>IF('Amputation Summary'!$Q$33=2, I10, IF('Amputation Summary'!$Q$33=1, H10))</f>
        <v>0.97</v>
      </c>
      <c r="P10" s="91">
        <v>8</v>
      </c>
      <c r="Q10" s="91">
        <v>4</v>
      </c>
      <c r="R10" s="91">
        <f t="shared" si="6"/>
        <v>4</v>
      </c>
      <c r="S10" s="91">
        <v>30</v>
      </c>
      <c r="T10" s="91">
        <f t="shared" si="7"/>
        <v>22</v>
      </c>
      <c r="U10" s="91">
        <v>25</v>
      </c>
      <c r="V10" s="90">
        <v>1.2325431108474731</v>
      </c>
      <c r="W10" s="90">
        <v>2.5995843410491943</v>
      </c>
      <c r="X10" s="90">
        <f t="shared" si="8"/>
        <v>0.5574568510055542</v>
      </c>
      <c r="Y10" s="90">
        <f t="shared" si="9"/>
        <v>0.80958437919616699</v>
      </c>
      <c r="Z10" s="91">
        <f>IF('Amputation Summary'!$Q$4=3, RANK(G10,G$8:G$82,1)+COUNTIF($G$8:G10,G10)-1, IF('Amputation Summary'!$Q$4&lt;3, RANK(U10,U$8:U$82,1)+COUNTIF($U$8:U10,U10)-1))</f>
        <v>68</v>
      </c>
      <c r="AA10" s="91">
        <f>IF('Amputation Summary'!$Q$4=3,G10, IF( 'Amputation Summary'!$Q$4=1, P10, IF('Amputation Summary'!$Q$4=2, F10)))</f>
        <v>1.7899999618530273</v>
      </c>
      <c r="AB10" s="91">
        <f>IF('Amputation Summary'!$Q$4=3, V10, IF('Amputation Summary'!$Q$4=1, R10, IF('Amputation Summary'!$Q$4=2, AF10)))</f>
        <v>1.2325431108474731</v>
      </c>
      <c r="AC10" s="91">
        <f>IF('Amputation Summary'!$Q$4=3, Y10, IF('Amputation Summary'!$Q$4=1, T10, IF('Amputation Summary'!$Q$4=2, AG10)))</f>
        <v>0.80958437919616699</v>
      </c>
      <c r="AD10">
        <v>73</v>
      </c>
      <c r="AE10">
        <v>90</v>
      </c>
      <c r="AF10">
        <f t="shared" si="3"/>
        <v>9</v>
      </c>
      <c r="AG10">
        <f t="shared" si="4"/>
        <v>8</v>
      </c>
      <c r="AH10">
        <v>7</v>
      </c>
      <c r="AI10">
        <v>75</v>
      </c>
      <c r="AJ10">
        <v>1</v>
      </c>
      <c r="AK10" s="91">
        <f>IF('Amputation Summary'!$Q$4=3, AJ10, IF('Amputation Summary'!$Q$4=1, AH10, IF('Amputation Summary'!$Q$4=2, AI10)))</f>
        <v>1</v>
      </c>
      <c r="AL10" s="124">
        <v>0.82</v>
      </c>
    </row>
    <row r="11" spans="1:38" x14ac:dyDescent="0.25">
      <c r="A11" s="88" t="s">
        <v>13</v>
      </c>
      <c r="B11" s="88" t="s">
        <v>14</v>
      </c>
      <c r="C11" s="89">
        <v>204</v>
      </c>
      <c r="D11" s="89" t="s">
        <v>664</v>
      </c>
      <c r="E11" s="89" t="s">
        <v>665</v>
      </c>
      <c r="F11">
        <v>85</v>
      </c>
      <c r="G11" s="90">
        <v>0.85000002384185791</v>
      </c>
      <c r="H11" s="54">
        <v>0.91</v>
      </c>
      <c r="I11" s="54">
        <v>0.82</v>
      </c>
      <c r="J11" s="54">
        <v>5.0999999999999997E-2</v>
      </c>
      <c r="K11" s="40" t="str">
        <f t="shared" si="5"/>
        <v>R1H</v>
      </c>
      <c r="L11" s="40">
        <f t="shared" si="1"/>
        <v>2</v>
      </c>
      <c r="M11" s="40">
        <f t="shared" si="2"/>
        <v>3</v>
      </c>
      <c r="N11" s="91">
        <f>IF('Amputation Summary'!$Q$33=2, RANK(I11,I$8:I$82,1)+COUNTIF($I$8:I11,I11)-1, IF('Amputation Summary'!$Q$33=1, RANK(H11,H$8:H$82,1)+COUNTIF($H$8:H11,H11)-1))</f>
        <v>36</v>
      </c>
      <c r="O11" s="92">
        <f>IF('Amputation Summary'!$Q$33=2, I11, IF('Amputation Summary'!$Q$33=1, H11))</f>
        <v>0.91</v>
      </c>
      <c r="P11" s="91">
        <v>13</v>
      </c>
      <c r="Q11" s="91">
        <v>5</v>
      </c>
      <c r="R11" s="91">
        <f t="shared" si="6"/>
        <v>8</v>
      </c>
      <c r="S11" s="91">
        <v>21</v>
      </c>
      <c r="T11" s="91">
        <f t="shared" si="7"/>
        <v>8</v>
      </c>
      <c r="U11" s="91">
        <v>55</v>
      </c>
      <c r="V11" s="90">
        <v>0.64544075727462769</v>
      </c>
      <c r="W11" s="90">
        <v>1.1193902492523193</v>
      </c>
      <c r="X11" s="90">
        <f t="shared" si="8"/>
        <v>0.20455926656723022</v>
      </c>
      <c r="Y11" s="90">
        <f t="shared" si="9"/>
        <v>0.26939022541046143</v>
      </c>
      <c r="Z11" s="91">
        <f>IF('Amputation Summary'!$Q$4=3, RANK(G11,G$8:G$82,1)+COUNTIF($G$8:G11,G11)-1, IF('Amputation Summary'!$Q$4&lt;3, RANK(U11,U$8:U$82,1)+COUNTIF($U$8:U11,U11)-1))</f>
        <v>36</v>
      </c>
      <c r="AA11" s="91">
        <f>IF('Amputation Summary'!$Q$4=3,G11, IF( 'Amputation Summary'!$Q$4=1, P11, IF('Amputation Summary'!$Q$4=2, F11)))</f>
        <v>0.85000002384185791</v>
      </c>
      <c r="AB11" s="91">
        <f>IF('Amputation Summary'!$Q$4=3, V11, IF('Amputation Summary'!$Q$4=1, R11, IF('Amputation Summary'!$Q$4=2, AF11)))</f>
        <v>0.64544075727462769</v>
      </c>
      <c r="AC11" s="91">
        <f>IF('Amputation Summary'!$Q$4=3, Y11, IF('Amputation Summary'!$Q$4=1, T11, IF('Amputation Summary'!$Q$4=2, AG11)))</f>
        <v>0.26939022541046143</v>
      </c>
      <c r="AD11">
        <v>77</v>
      </c>
      <c r="AE11">
        <v>91</v>
      </c>
      <c r="AF11">
        <f t="shared" si="3"/>
        <v>8</v>
      </c>
      <c r="AG11">
        <f t="shared" si="4"/>
        <v>6</v>
      </c>
      <c r="AH11">
        <v>7</v>
      </c>
      <c r="AI11">
        <v>75</v>
      </c>
      <c r="AJ11">
        <v>1</v>
      </c>
      <c r="AK11" s="91">
        <f>IF('Amputation Summary'!$Q$4=3, AJ11, IF('Amputation Summary'!$Q$4=1, AH11, IF('Amputation Summary'!$Q$4=2, AI11)))</f>
        <v>1</v>
      </c>
      <c r="AL11" s="124">
        <v>0.85</v>
      </c>
    </row>
    <row r="12" spans="1:38" x14ac:dyDescent="0.25">
      <c r="A12" s="88" t="s">
        <v>37</v>
      </c>
      <c r="B12" s="88" t="s">
        <v>38</v>
      </c>
      <c r="C12" s="89">
        <v>11</v>
      </c>
      <c r="D12" s="89" t="s">
        <v>666</v>
      </c>
      <c r="E12" s="89" t="s">
        <v>667</v>
      </c>
      <c r="F12">
        <v>60</v>
      </c>
      <c r="G12" s="90">
        <v>4.5</v>
      </c>
      <c r="H12" s="54">
        <v>1</v>
      </c>
      <c r="I12" s="54">
        <v>0.36</v>
      </c>
      <c r="J12" s="54">
        <v>0</v>
      </c>
      <c r="K12" s="40" t="str">
        <f t="shared" si="5"/>
        <v>RDD</v>
      </c>
      <c r="L12" s="40">
        <f t="shared" si="1"/>
        <v>4</v>
      </c>
      <c r="M12" s="40">
        <f t="shared" si="2"/>
        <v>1</v>
      </c>
      <c r="N12" s="91">
        <f>IF('Amputation Summary'!$Q$33=2, RANK(I12,I$8:I$82,1)+COUNTIF($I$8:I12,I12)-1, IF('Amputation Summary'!$Q$33=1, RANK(H12,H$8:H$82,1)+COUNTIF($H$8:H12,H12)-1))</f>
        <v>65</v>
      </c>
      <c r="O12" s="92">
        <f>IF('Amputation Summary'!$Q$33=2, I12, IF('Amputation Summary'!$Q$33=1, H12))</f>
        <v>1</v>
      </c>
      <c r="P12" s="91">
        <v>4</v>
      </c>
      <c r="Q12" s="91">
        <v>3</v>
      </c>
      <c r="R12" s="91">
        <f t="shared" si="6"/>
        <v>1</v>
      </c>
      <c r="S12" s="91">
        <v>26</v>
      </c>
      <c r="T12" s="91">
        <f t="shared" si="7"/>
        <v>22</v>
      </c>
      <c r="U12" s="91">
        <v>2</v>
      </c>
      <c r="V12" s="90">
        <v>0.97226673364639282</v>
      </c>
      <c r="W12" s="112">
        <v>5</v>
      </c>
      <c r="X12" s="90">
        <f t="shared" si="8"/>
        <v>3.5277332663536072</v>
      </c>
      <c r="Y12" s="112">
        <f t="shared" si="9"/>
        <v>0.5</v>
      </c>
      <c r="Z12" s="91">
        <f>IF('Amputation Summary'!$Q$4=3, RANK(G12,G$8:G$82,1)+COUNTIF($G$8:G12,G12)-1, IF('Amputation Summary'!$Q$4&lt;3, RANK(U12,U$8:U$82,1)+COUNTIF($U$8:U12,U12)-1))</f>
        <v>75</v>
      </c>
      <c r="AA12" s="91">
        <f>IF('Amputation Summary'!$Q$4=3,G12, IF( 'Amputation Summary'!$Q$4=1, P12, IF('Amputation Summary'!$Q$4=2, F12)))</f>
        <v>4.5</v>
      </c>
      <c r="AB12" s="91">
        <f>IF('Amputation Summary'!$Q$4=3, V12, IF('Amputation Summary'!$Q$4=1, R12, IF('Amputation Summary'!$Q$4=2, AF12)))</f>
        <v>0.97226673364639282</v>
      </c>
      <c r="AC12" s="91">
        <f>IF('Amputation Summary'!$Q$4=3, Y12, IF('Amputation Summary'!$Q$4=1, T12, IF('Amputation Summary'!$Q$4=2, AG12)))</f>
        <v>0.5</v>
      </c>
      <c r="AD12">
        <v>15</v>
      </c>
      <c r="AE12">
        <v>95</v>
      </c>
      <c r="AF12">
        <f t="shared" si="3"/>
        <v>45</v>
      </c>
      <c r="AG12">
        <f t="shared" si="4"/>
        <v>35</v>
      </c>
      <c r="AH12">
        <v>7</v>
      </c>
      <c r="AI12">
        <v>75</v>
      </c>
      <c r="AJ12">
        <v>1</v>
      </c>
      <c r="AK12" s="91">
        <f>IF('Amputation Summary'!$Q$4=3, AJ12, IF('Amputation Summary'!$Q$4=1, AH12, IF('Amputation Summary'!$Q$4=2, AI12)))</f>
        <v>1</v>
      </c>
      <c r="AL12" s="124">
        <v>0.6</v>
      </c>
    </row>
    <row r="13" spans="1:38" x14ac:dyDescent="0.25">
      <c r="A13" s="88" t="s">
        <v>33</v>
      </c>
      <c r="B13" s="88" t="s">
        <v>34</v>
      </c>
      <c r="C13" s="89">
        <v>136</v>
      </c>
      <c r="D13" s="89" t="s">
        <v>668</v>
      </c>
      <c r="E13" s="89" t="s">
        <v>669</v>
      </c>
      <c r="F13">
        <v>81</v>
      </c>
      <c r="G13" s="90">
        <v>0.76999998092651367</v>
      </c>
      <c r="H13" s="54">
        <v>0.82</v>
      </c>
      <c r="I13" s="54">
        <v>0.93</v>
      </c>
      <c r="J13" s="54">
        <v>5.3999999999999999E-2</v>
      </c>
      <c r="K13" s="40" t="str">
        <f t="shared" si="5"/>
        <v>RC1</v>
      </c>
      <c r="L13" s="40">
        <f t="shared" si="1"/>
        <v>2</v>
      </c>
      <c r="M13" s="40">
        <f t="shared" si="2"/>
        <v>4</v>
      </c>
      <c r="N13" s="91">
        <f>IF('Amputation Summary'!$Q$33=2, RANK(I13,I$8:I$82,1)+COUNTIF($I$8:I13,I13)-1, IF('Amputation Summary'!$Q$33=1, RANK(H13,H$8:H$82,1)+COUNTIF($H$8:H13,H13)-1))</f>
        <v>23</v>
      </c>
      <c r="O13" s="92">
        <f>IF('Amputation Summary'!$Q$33=2, I13, IF('Amputation Summary'!$Q$33=1, H13))</f>
        <v>0.82</v>
      </c>
      <c r="P13" s="91">
        <v>16</v>
      </c>
      <c r="Q13" s="91">
        <v>6</v>
      </c>
      <c r="R13" s="91">
        <f t="shared" si="6"/>
        <v>10</v>
      </c>
      <c r="S13" s="91">
        <v>66</v>
      </c>
      <c r="T13" s="91">
        <f t="shared" si="7"/>
        <v>50</v>
      </c>
      <c r="U13" s="91">
        <v>65</v>
      </c>
      <c r="V13" s="90">
        <v>0.54854530096054077</v>
      </c>
      <c r="W13" s="90">
        <v>1.0808587074279785</v>
      </c>
      <c r="X13" s="90">
        <f t="shared" si="8"/>
        <v>0.2214546799659729</v>
      </c>
      <c r="Y13" s="90">
        <f t="shared" si="9"/>
        <v>0.31085872650146484</v>
      </c>
      <c r="Z13" s="91">
        <f>IF('Amputation Summary'!$Q$4=3, RANK(G13,G$8:G$82,1)+COUNTIF($G$8:G13,G13)-1, IF('Amputation Summary'!$Q$4&lt;3, RANK(U13,U$8:U$82,1)+COUNTIF($U$8:U13,U13)-1))</f>
        <v>28</v>
      </c>
      <c r="AA13" s="91">
        <f>IF('Amputation Summary'!$Q$4=3,G13, IF( 'Amputation Summary'!$Q$4=1, P13, IF('Amputation Summary'!$Q$4=2, F13)))</f>
        <v>0.76999998092651367</v>
      </c>
      <c r="AB13" s="91">
        <f>IF('Amputation Summary'!$Q$4=3, V13, IF('Amputation Summary'!$Q$4=1, R13, IF('Amputation Summary'!$Q$4=2, AF13)))</f>
        <v>0.54854530096054077</v>
      </c>
      <c r="AC13" s="91">
        <f>IF('Amputation Summary'!$Q$4=3, Y13, IF('Amputation Summary'!$Q$4=1, T13, IF('Amputation Summary'!$Q$4=2, AG13)))</f>
        <v>0.31085872650146484</v>
      </c>
      <c r="AD13">
        <v>71</v>
      </c>
      <c r="AE13">
        <v>89</v>
      </c>
      <c r="AF13">
        <f t="shared" si="3"/>
        <v>10</v>
      </c>
      <c r="AG13">
        <f t="shared" si="4"/>
        <v>8</v>
      </c>
      <c r="AH13">
        <v>7</v>
      </c>
      <c r="AI13">
        <v>75</v>
      </c>
      <c r="AJ13">
        <v>1</v>
      </c>
      <c r="AK13" s="91">
        <f>IF('Amputation Summary'!$Q$4=3, AJ13, IF('Amputation Summary'!$Q$4=1, AH13, IF('Amputation Summary'!$Q$4=2, AI13)))</f>
        <v>1</v>
      </c>
      <c r="AL13" s="124">
        <v>0.81</v>
      </c>
    </row>
    <row r="14" spans="1:38" x14ac:dyDescent="0.25">
      <c r="A14" s="88" t="s">
        <v>180</v>
      </c>
      <c r="B14" s="88" t="s">
        <v>181</v>
      </c>
      <c r="C14" s="89">
        <v>351</v>
      </c>
      <c r="D14" s="89" t="s">
        <v>670</v>
      </c>
      <c r="E14" s="89" t="s">
        <v>671</v>
      </c>
      <c r="F14">
        <v>75</v>
      </c>
      <c r="G14" s="90">
        <v>0.5899999737739563</v>
      </c>
      <c r="H14" s="54">
        <v>0.66</v>
      </c>
      <c r="I14" s="54">
        <v>0.77</v>
      </c>
      <c r="J14" s="54">
        <v>3.4000000000000002E-2</v>
      </c>
      <c r="K14" s="40" t="str">
        <f t="shared" si="5"/>
        <v>ZT001</v>
      </c>
      <c r="L14" s="40">
        <f t="shared" si="1"/>
        <v>1</v>
      </c>
      <c r="M14" s="40">
        <f t="shared" si="2"/>
        <v>2</v>
      </c>
      <c r="N14" s="91">
        <f>IF('Amputation Summary'!$Q$33=2, RANK(I14,I$8:I$82,1)+COUNTIF($I$8:I14,I14)-1, IF('Amputation Summary'!$Q$33=1, RANK(H14,H$8:H$82,1)+COUNTIF($H$8:H14,H14)-1))</f>
        <v>11</v>
      </c>
      <c r="O14" s="92">
        <f>IF('Amputation Summary'!$Q$33=2, I14, IF('Amputation Summary'!$Q$33=1, H14))</f>
        <v>0.66</v>
      </c>
      <c r="P14" s="91">
        <v>16</v>
      </c>
      <c r="Q14" s="91">
        <v>6</v>
      </c>
      <c r="R14" s="91">
        <f t="shared" si="6"/>
        <v>10</v>
      </c>
      <c r="S14" s="91">
        <v>55</v>
      </c>
      <c r="T14" s="91">
        <f t="shared" si="7"/>
        <v>39</v>
      </c>
      <c r="U14" s="91">
        <v>64</v>
      </c>
      <c r="V14" s="90">
        <v>0.47507891058921814</v>
      </c>
      <c r="W14" s="90">
        <v>0.73272031545639038</v>
      </c>
      <c r="X14" s="90">
        <f t="shared" si="8"/>
        <v>0.11492106318473816</v>
      </c>
      <c r="Y14" s="90">
        <f t="shared" si="9"/>
        <v>0.14272034168243408</v>
      </c>
      <c r="Z14" s="91">
        <f>IF('Amputation Summary'!$Q$4=3, RANK(G14,G$8:G$82,1)+COUNTIF($G$8:G14,G14)-1, IF('Amputation Summary'!$Q$4&lt;3, RANK(U14,U$8:U$82,1)+COUNTIF($U$8:U14,U14)-1))</f>
        <v>16</v>
      </c>
      <c r="AA14" s="91">
        <f>IF('Amputation Summary'!$Q$4=3,G14, IF( 'Amputation Summary'!$Q$4=1, P14, IF('Amputation Summary'!$Q$4=2, F14)))</f>
        <v>0.5899999737739563</v>
      </c>
      <c r="AB14" s="91">
        <f>IF('Amputation Summary'!$Q$4=3, V14, IF('Amputation Summary'!$Q$4=1, R14, IF('Amputation Summary'!$Q$4=2, AF14)))</f>
        <v>0.47507891058921814</v>
      </c>
      <c r="AC14" s="91">
        <f>IF('Amputation Summary'!$Q$4=3, Y14, IF('Amputation Summary'!$Q$4=1, T14, IF('Amputation Summary'!$Q$4=2, AG14)))</f>
        <v>0.14272034168243408</v>
      </c>
      <c r="AD14">
        <v>69</v>
      </c>
      <c r="AE14">
        <v>81</v>
      </c>
      <c r="AF14">
        <f t="shared" si="3"/>
        <v>6</v>
      </c>
      <c r="AG14">
        <f t="shared" si="4"/>
        <v>6</v>
      </c>
      <c r="AH14">
        <v>7</v>
      </c>
      <c r="AI14">
        <v>75</v>
      </c>
      <c r="AJ14">
        <v>1</v>
      </c>
      <c r="AK14" s="91">
        <f>IF('Amputation Summary'!$Q$4=3, AJ14, IF('Amputation Summary'!$Q$4=1, AH14, IF('Amputation Summary'!$Q$4=2, AI14)))</f>
        <v>1</v>
      </c>
      <c r="AL14" s="124">
        <v>0.75</v>
      </c>
    </row>
    <row r="15" spans="1:38" x14ac:dyDescent="0.25">
      <c r="A15" s="88" t="s">
        <v>0</v>
      </c>
      <c r="B15" s="88" t="s">
        <v>1</v>
      </c>
      <c r="C15" s="89">
        <v>52</v>
      </c>
      <c r="D15" s="89" t="s">
        <v>672</v>
      </c>
      <c r="E15" s="89" t="s">
        <v>673</v>
      </c>
      <c r="F15">
        <v>81</v>
      </c>
      <c r="G15" s="90">
        <v>0.68000000715255737</v>
      </c>
      <c r="H15" s="54">
        <v>1</v>
      </c>
      <c r="I15" s="54">
        <v>0.63</v>
      </c>
      <c r="J15" s="54">
        <v>0.159</v>
      </c>
      <c r="K15" s="40" t="str">
        <f t="shared" si="5"/>
        <v>7A1</v>
      </c>
      <c r="L15" s="40">
        <f t="shared" si="1"/>
        <v>4</v>
      </c>
      <c r="M15" s="40">
        <f t="shared" si="2"/>
        <v>2</v>
      </c>
      <c r="N15" s="91">
        <f>IF('Amputation Summary'!$Q$33=2, RANK(I15,I$8:I$82,1)+COUNTIF($I$8:I15,I15)-1, IF('Amputation Summary'!$Q$33=1, RANK(H15,H$8:H$82,1)+COUNTIF($H$8:H15,H15)-1))</f>
        <v>66</v>
      </c>
      <c r="O15" s="92">
        <f>IF('Amputation Summary'!$Q$33=2, I15, IF('Amputation Summary'!$Q$33=1, H15))</f>
        <v>1</v>
      </c>
      <c r="P15" s="91">
        <v>12</v>
      </c>
      <c r="Q15" s="91">
        <v>3</v>
      </c>
      <c r="R15" s="91">
        <f t="shared" si="6"/>
        <v>9</v>
      </c>
      <c r="S15" s="91">
        <v>29</v>
      </c>
      <c r="T15" s="91">
        <f t="shared" si="7"/>
        <v>17</v>
      </c>
      <c r="U15" s="91">
        <v>54</v>
      </c>
      <c r="V15" s="90">
        <v>0.39078089594841003</v>
      </c>
      <c r="W15" s="90">
        <v>1.1832717657089233</v>
      </c>
      <c r="X15" s="90">
        <f t="shared" si="8"/>
        <v>0.28921911120414734</v>
      </c>
      <c r="Y15" s="90">
        <f t="shared" si="9"/>
        <v>0.50327175855636597</v>
      </c>
      <c r="Z15" s="91">
        <f>IF('Amputation Summary'!$Q$4=3, RANK(G15,G$8:G$82,1)+COUNTIF($G$8:G15,G15)-1, IF('Amputation Summary'!$Q$4&lt;3, RANK(U15,U$8:U$82,1)+COUNTIF($U$8:U15,U15)-1))</f>
        <v>22</v>
      </c>
      <c r="AA15" s="91">
        <f>IF('Amputation Summary'!$Q$4=3,G15, IF( 'Amputation Summary'!$Q$4=1, P15, IF('Amputation Summary'!$Q$4=2, F15)))</f>
        <v>0.68000000715255737</v>
      </c>
      <c r="AB15" s="91">
        <f>IF('Amputation Summary'!$Q$4=3, V15, IF('Amputation Summary'!$Q$4=1, R15, IF('Amputation Summary'!$Q$4=2, AF15)))</f>
        <v>0.39078089594841003</v>
      </c>
      <c r="AC15" s="91">
        <f>IF('Amputation Summary'!$Q$4=3, Y15, IF('Amputation Summary'!$Q$4=1, T15, IF('Amputation Summary'!$Q$4=2, AG15)))</f>
        <v>0.50327175855636597</v>
      </c>
      <c r="AD15">
        <v>64</v>
      </c>
      <c r="AE15">
        <v>92</v>
      </c>
      <c r="AF15">
        <f t="shared" si="3"/>
        <v>17</v>
      </c>
      <c r="AG15">
        <f t="shared" si="4"/>
        <v>11</v>
      </c>
      <c r="AH15">
        <v>7</v>
      </c>
      <c r="AI15">
        <v>75</v>
      </c>
      <c r="AJ15">
        <v>1</v>
      </c>
      <c r="AK15" s="91">
        <f>IF('Amputation Summary'!$Q$4=3, AJ15, IF('Amputation Summary'!$Q$4=1, AH15, IF('Amputation Summary'!$Q$4=2, AI15)))</f>
        <v>1</v>
      </c>
      <c r="AL15" s="124">
        <v>0.81</v>
      </c>
    </row>
    <row r="16" spans="1:38" x14ac:dyDescent="0.25">
      <c r="A16" s="88" t="s">
        <v>19</v>
      </c>
      <c r="B16" s="88" t="s">
        <v>20</v>
      </c>
      <c r="C16" s="89">
        <v>104</v>
      </c>
      <c r="D16" s="89" t="s">
        <v>674</v>
      </c>
      <c r="E16" s="89" t="s">
        <v>675</v>
      </c>
      <c r="F16">
        <v>89</v>
      </c>
      <c r="G16" s="90">
        <v>2.7100000381469727</v>
      </c>
      <c r="H16" s="54">
        <v>0.9</v>
      </c>
      <c r="I16" s="54">
        <v>0.78</v>
      </c>
      <c r="J16" s="54">
        <v>3.5999999999999997E-2</v>
      </c>
      <c r="K16" s="40" t="str">
        <f t="shared" si="5"/>
        <v>RAE</v>
      </c>
      <c r="L16" s="40">
        <f t="shared" si="1"/>
        <v>2</v>
      </c>
      <c r="M16" s="40">
        <f t="shared" si="2"/>
        <v>2</v>
      </c>
      <c r="N16" s="91">
        <f>IF('Amputation Summary'!$Q$33=2, RANK(I16,I$8:I$82,1)+COUNTIF($I$8:I16,I16)-1, IF('Amputation Summary'!$Q$33=1, RANK(H16,H$8:H$82,1)+COUNTIF($H$8:H16,H16)-1))</f>
        <v>33</v>
      </c>
      <c r="O16" s="92">
        <f>IF('Amputation Summary'!$Q$33=2, I16, IF('Amputation Summary'!$Q$33=1, H16))</f>
        <v>0.9</v>
      </c>
      <c r="P16" s="91">
        <v>10</v>
      </c>
      <c r="Q16" s="91">
        <v>4</v>
      </c>
      <c r="R16" s="91">
        <f t="shared" si="6"/>
        <v>6</v>
      </c>
      <c r="S16" s="91">
        <v>26</v>
      </c>
      <c r="T16" s="91">
        <f t="shared" si="7"/>
        <v>16</v>
      </c>
      <c r="U16" s="91">
        <v>41</v>
      </c>
      <c r="V16" s="90">
        <v>1.7570748329162598</v>
      </c>
      <c r="W16" s="90">
        <v>4.1797308921813965</v>
      </c>
      <c r="X16" s="90">
        <f t="shared" si="8"/>
        <v>0.95292520523071289</v>
      </c>
      <c r="Y16" s="90">
        <f t="shared" si="9"/>
        <v>1.4697308540344238</v>
      </c>
      <c r="Z16" s="91">
        <f>IF('Amputation Summary'!$Q$4=3, RANK(G16,G$8:G$82,1)+COUNTIF($G$8:G16,G16)-1, IF('Amputation Summary'!$Q$4&lt;3, RANK(U16,U$8:U$82,1)+COUNTIF($U$8:U16,U16)-1))</f>
        <v>74</v>
      </c>
      <c r="AA16" s="91">
        <f>IF('Amputation Summary'!$Q$4=3,G16, IF( 'Amputation Summary'!$Q$4=1, P16, IF('Amputation Summary'!$Q$4=2, F16)))</f>
        <v>2.7100000381469727</v>
      </c>
      <c r="AB16" s="91">
        <f>IF('Amputation Summary'!$Q$4=3, V16, IF('Amputation Summary'!$Q$4=1, R16, IF('Amputation Summary'!$Q$4=2, AF16)))</f>
        <v>1.7570748329162598</v>
      </c>
      <c r="AC16" s="91">
        <f>IF('Amputation Summary'!$Q$4=3, Y16, IF('Amputation Summary'!$Q$4=1, T16, IF('Amputation Summary'!$Q$4=2, AG16)))</f>
        <v>1.4697308540344238</v>
      </c>
      <c r="AD16">
        <v>79</v>
      </c>
      <c r="AE16">
        <v>95</v>
      </c>
      <c r="AF16">
        <f t="shared" si="3"/>
        <v>10</v>
      </c>
      <c r="AG16">
        <f t="shared" si="4"/>
        <v>6</v>
      </c>
      <c r="AH16">
        <v>7</v>
      </c>
      <c r="AI16">
        <v>75</v>
      </c>
      <c r="AJ16">
        <v>1</v>
      </c>
      <c r="AK16" s="91">
        <f>IF('Amputation Summary'!$Q$4=3, AJ16, IF('Amputation Summary'!$Q$4=1, AH16, IF('Amputation Summary'!$Q$4=2, AI16)))</f>
        <v>1</v>
      </c>
      <c r="AL16" s="124">
        <v>0.89</v>
      </c>
    </row>
    <row r="17" spans="1:38" x14ac:dyDescent="0.25">
      <c r="A17" s="88" t="s">
        <v>148</v>
      </c>
      <c r="B17" s="88" t="s">
        <v>149</v>
      </c>
      <c r="C17" s="89">
        <v>249</v>
      </c>
      <c r="D17" s="89" t="s">
        <v>676</v>
      </c>
      <c r="E17" s="89" t="s">
        <v>677</v>
      </c>
      <c r="F17">
        <v>77</v>
      </c>
      <c r="G17" s="90">
        <v>1.1299999952316284</v>
      </c>
      <c r="H17" s="54">
        <v>0.5</v>
      </c>
      <c r="I17" s="54">
        <v>0.97</v>
      </c>
      <c r="J17" s="54">
        <v>1.4E-2</v>
      </c>
      <c r="K17" s="40" t="str">
        <f t="shared" si="5"/>
        <v>RXH</v>
      </c>
      <c r="L17" s="40">
        <f t="shared" si="1"/>
        <v>1</v>
      </c>
      <c r="M17" s="40">
        <f t="shared" si="2"/>
        <v>4</v>
      </c>
      <c r="N17" s="91">
        <f>IF('Amputation Summary'!$Q$33=2, RANK(I17,I$8:I$82,1)+COUNTIF($I$8:I17,I17)-1, IF('Amputation Summary'!$Q$33=1, RANK(H17,H$8:H$82,1)+COUNTIF($H$8:H17,H17)-1))</f>
        <v>8</v>
      </c>
      <c r="O17" s="92">
        <f>IF('Amputation Summary'!$Q$33=2, I17, IF('Amputation Summary'!$Q$33=1, H17))</f>
        <v>0.5</v>
      </c>
      <c r="P17" s="91">
        <v>14</v>
      </c>
      <c r="Q17" s="91">
        <v>5</v>
      </c>
      <c r="R17" s="91">
        <f t="shared" si="6"/>
        <v>9</v>
      </c>
      <c r="S17" s="91">
        <v>38</v>
      </c>
      <c r="T17" s="91">
        <f t="shared" si="7"/>
        <v>24</v>
      </c>
      <c r="U17" s="91">
        <v>60</v>
      </c>
      <c r="V17" s="90">
        <v>0.88103818893432617</v>
      </c>
      <c r="W17" s="90">
        <v>1.4493128061294556</v>
      </c>
      <c r="X17" s="90">
        <f t="shared" si="8"/>
        <v>0.24896180629730225</v>
      </c>
      <c r="Y17" s="90">
        <f t="shared" si="9"/>
        <v>0.31931281089782715</v>
      </c>
      <c r="Z17" s="91">
        <f>IF('Amputation Summary'!$Q$4=3, RANK(G17,G$8:G$82,1)+COUNTIF($G$8:G17,G17)-1, IF('Amputation Summary'!$Q$4&lt;3, RANK(U17,U$8:U$82,1)+COUNTIF($U$8:U17,U17)-1))</f>
        <v>55</v>
      </c>
      <c r="AA17" s="91">
        <f>IF('Amputation Summary'!$Q$4=3,G17, IF( 'Amputation Summary'!$Q$4=1, P17, IF('Amputation Summary'!$Q$4=2, F17)))</f>
        <v>1.1299999952316284</v>
      </c>
      <c r="AB17" s="91">
        <f>IF('Amputation Summary'!$Q$4=3, V17, IF('Amputation Summary'!$Q$4=1, R17, IF('Amputation Summary'!$Q$4=2, AF17)))</f>
        <v>0.88103818893432617</v>
      </c>
      <c r="AC17" s="91">
        <f>IF('Amputation Summary'!$Q$4=3, Y17, IF('Amputation Summary'!$Q$4=1, T17, IF('Amputation Summary'!$Q$4=2, AG17)))</f>
        <v>0.31931281089782715</v>
      </c>
      <c r="AD17">
        <v>70</v>
      </c>
      <c r="AE17">
        <v>83</v>
      </c>
      <c r="AF17">
        <f t="shared" si="3"/>
        <v>7</v>
      </c>
      <c r="AG17">
        <f t="shared" si="4"/>
        <v>6</v>
      </c>
      <c r="AH17">
        <v>7</v>
      </c>
      <c r="AI17">
        <v>75</v>
      </c>
      <c r="AJ17">
        <v>1</v>
      </c>
      <c r="AK17" s="91">
        <f>IF('Amputation Summary'!$Q$4=3, AJ17, IF('Amputation Summary'!$Q$4=1, AH17, IF('Amputation Summary'!$Q$4=2, AI17)))</f>
        <v>1</v>
      </c>
      <c r="AL17" s="124">
        <v>0.77</v>
      </c>
    </row>
    <row r="18" spans="1:38" x14ac:dyDescent="0.25">
      <c r="A18" s="88" t="s">
        <v>142</v>
      </c>
      <c r="B18" s="88" t="s">
        <v>143</v>
      </c>
      <c r="C18" s="89">
        <v>37</v>
      </c>
      <c r="D18" s="89" t="s">
        <v>678</v>
      </c>
      <c r="E18" s="89" t="s">
        <v>679</v>
      </c>
      <c r="F18">
        <v>88</v>
      </c>
      <c r="G18" s="90">
        <v>2.0799999237060547</v>
      </c>
      <c r="H18" s="54">
        <v>0.89</v>
      </c>
      <c r="I18" s="54">
        <v>0.54</v>
      </c>
      <c r="J18" s="54">
        <v>7.9000000000000001E-2</v>
      </c>
      <c r="K18" s="40" t="str">
        <f t="shared" si="5"/>
        <v>RWY</v>
      </c>
      <c r="L18" s="40">
        <f t="shared" si="1"/>
        <v>2</v>
      </c>
      <c r="M18" s="40">
        <f t="shared" si="2"/>
        <v>1</v>
      </c>
      <c r="N18" s="91">
        <f>IF('Amputation Summary'!$Q$33=2, RANK(I18,I$8:I$82,1)+COUNTIF($I$8:I18,I18)-1, IF('Amputation Summary'!$Q$33=1, RANK(H18,H$8:H$82,1)+COUNTIF($H$8:H18,H18)-1))</f>
        <v>31</v>
      </c>
      <c r="O18" s="92">
        <f>IF('Amputation Summary'!$Q$33=2, I18, IF('Amputation Summary'!$Q$33=1, H18))</f>
        <v>0.89</v>
      </c>
      <c r="P18" s="91">
        <v>16</v>
      </c>
      <c r="Q18" s="91">
        <v>3</v>
      </c>
      <c r="R18" s="91">
        <f t="shared" si="6"/>
        <v>13</v>
      </c>
      <c r="S18" s="91">
        <v>33</v>
      </c>
      <c r="T18" s="91">
        <f t="shared" si="7"/>
        <v>17</v>
      </c>
      <c r="U18" s="91">
        <v>62</v>
      </c>
      <c r="V18" s="90">
        <v>1.0450226068496704</v>
      </c>
      <c r="W18" s="90">
        <v>4.1400060653686523</v>
      </c>
      <c r="X18" s="90">
        <f t="shared" si="8"/>
        <v>1.0349773168563843</v>
      </c>
      <c r="Y18" s="90">
        <f t="shared" si="9"/>
        <v>2.0600061416625977</v>
      </c>
      <c r="Z18" s="91">
        <f>IF('Amputation Summary'!$Q$4=3, RANK(G18,G$8:G$82,1)+COUNTIF($G$8:G18,G18)-1, IF('Amputation Summary'!$Q$4&lt;3, RANK(U18,U$8:U$82,1)+COUNTIF($U$8:U18,U18)-1))</f>
        <v>72</v>
      </c>
      <c r="AA18" s="91">
        <f>IF('Amputation Summary'!$Q$4=3,G18, IF( 'Amputation Summary'!$Q$4=1, P18, IF('Amputation Summary'!$Q$4=2, F18)))</f>
        <v>2.0799999237060547</v>
      </c>
      <c r="AB18" s="91">
        <f>IF('Amputation Summary'!$Q$4=3, V18, IF('Amputation Summary'!$Q$4=1, R18, IF('Amputation Summary'!$Q$4=2, AF18)))</f>
        <v>1.0450226068496704</v>
      </c>
      <c r="AC18" s="91">
        <f>IF('Amputation Summary'!$Q$4=3, Y18, IF('Amputation Summary'!$Q$4=1, T18, IF('Amputation Summary'!$Q$4=2, AG18)))</f>
        <v>2.0600061416625977</v>
      </c>
      <c r="AD18">
        <v>62</v>
      </c>
      <c r="AE18">
        <v>98</v>
      </c>
      <c r="AF18">
        <f t="shared" si="3"/>
        <v>26</v>
      </c>
      <c r="AG18">
        <f t="shared" si="4"/>
        <v>10</v>
      </c>
      <c r="AH18">
        <v>7</v>
      </c>
      <c r="AI18">
        <v>75</v>
      </c>
      <c r="AJ18">
        <v>1</v>
      </c>
      <c r="AK18" s="91">
        <f>IF('Amputation Summary'!$Q$4=3, AJ18, IF('Amputation Summary'!$Q$4=1, AH18, IF('Amputation Summary'!$Q$4=2, AI18)))</f>
        <v>1</v>
      </c>
      <c r="AL18" s="124">
        <v>0.88</v>
      </c>
    </row>
    <row r="19" spans="1:38" x14ac:dyDescent="0.25">
      <c r="A19" s="88" t="s">
        <v>54</v>
      </c>
      <c r="B19" s="88" t="s">
        <v>55</v>
      </c>
      <c r="C19" s="89">
        <v>207</v>
      </c>
      <c r="D19" s="89" t="s">
        <v>680</v>
      </c>
      <c r="E19" s="89" t="s">
        <v>681</v>
      </c>
      <c r="F19">
        <v>88</v>
      </c>
      <c r="G19" s="90">
        <v>0.80000001192092896</v>
      </c>
      <c r="H19" s="54">
        <v>0.98</v>
      </c>
      <c r="I19" s="54">
        <v>0.43</v>
      </c>
      <c r="J19" s="54">
        <v>6.2E-2</v>
      </c>
      <c r="K19" s="40" t="str">
        <f t="shared" si="5"/>
        <v>RGT</v>
      </c>
      <c r="L19" s="40">
        <f t="shared" si="1"/>
        <v>4</v>
      </c>
      <c r="M19" s="40">
        <f t="shared" si="2"/>
        <v>1</v>
      </c>
      <c r="N19" s="91">
        <f>IF('Amputation Summary'!$Q$33=2, RANK(I19,I$8:I$82,1)+COUNTIF($I$8:I19,I19)-1, IF('Amputation Summary'!$Q$33=1, RANK(H19,H$8:H$82,1)+COUNTIF($H$8:H19,H19)-1))</f>
        <v>58</v>
      </c>
      <c r="O19" s="92">
        <f>IF('Amputation Summary'!$Q$33=2, I19, IF('Amputation Summary'!$Q$33=1, H19))</f>
        <v>0.98</v>
      </c>
      <c r="P19" s="91">
        <v>9</v>
      </c>
      <c r="Q19" s="91">
        <v>4</v>
      </c>
      <c r="R19" s="91">
        <f t="shared" si="6"/>
        <v>5</v>
      </c>
      <c r="S19" s="91">
        <v>18</v>
      </c>
      <c r="T19" s="91">
        <f t="shared" si="7"/>
        <v>9</v>
      </c>
      <c r="U19" s="91">
        <v>30</v>
      </c>
      <c r="V19" s="90">
        <v>0.60817050933837891</v>
      </c>
      <c r="W19" s="90">
        <v>1.0523364543914795</v>
      </c>
      <c r="X19" s="90">
        <f t="shared" si="8"/>
        <v>0.19182950258255005</v>
      </c>
      <c r="Y19" s="90">
        <f t="shared" si="9"/>
        <v>0.25233644247055054</v>
      </c>
      <c r="Z19" s="91">
        <f>IF('Amputation Summary'!$Q$4=3, RANK(G19,G$8:G$82,1)+COUNTIF($G$8:G19,G19)-1, IF('Amputation Summary'!$Q$4&lt;3, RANK(U19,U$8:U$82,1)+COUNTIF($U$8:U19,U19)-1))</f>
        <v>32</v>
      </c>
      <c r="AA19" s="91">
        <f>IF('Amputation Summary'!$Q$4=3,G19, IF( 'Amputation Summary'!$Q$4=1, P19, IF('Amputation Summary'!$Q$4=2, F19)))</f>
        <v>0.80000001192092896</v>
      </c>
      <c r="AB19" s="91">
        <f>IF('Amputation Summary'!$Q$4=3, V19, IF('Amputation Summary'!$Q$4=1, R19, IF('Amputation Summary'!$Q$4=2, AF19)))</f>
        <v>0.60817050933837891</v>
      </c>
      <c r="AC19" s="91">
        <f>IF('Amputation Summary'!$Q$4=3, Y19, IF('Amputation Summary'!$Q$4=1, T19, IF('Amputation Summary'!$Q$4=2, AG19)))</f>
        <v>0.25233644247055054</v>
      </c>
      <c r="AD19">
        <v>80</v>
      </c>
      <c r="AE19">
        <v>94</v>
      </c>
      <c r="AF19">
        <f t="shared" si="3"/>
        <v>8</v>
      </c>
      <c r="AG19">
        <f t="shared" si="4"/>
        <v>6</v>
      </c>
      <c r="AH19">
        <v>7</v>
      </c>
      <c r="AI19">
        <v>75</v>
      </c>
      <c r="AJ19">
        <v>1</v>
      </c>
      <c r="AK19" s="91">
        <f>IF('Amputation Summary'!$Q$4=3, AJ19, IF('Amputation Summary'!$Q$4=1, AH19, IF('Amputation Summary'!$Q$4=2, AI19)))</f>
        <v>1</v>
      </c>
      <c r="AL19" s="124">
        <v>0.88</v>
      </c>
    </row>
    <row r="20" spans="1:38" x14ac:dyDescent="0.25">
      <c r="A20" s="88" t="s">
        <v>5</v>
      </c>
      <c r="B20" s="88" t="s">
        <v>6</v>
      </c>
      <c r="C20" s="89">
        <v>113</v>
      </c>
      <c r="D20" s="89" t="s">
        <v>682</v>
      </c>
      <c r="E20" s="89" t="s">
        <v>683</v>
      </c>
      <c r="F20">
        <v>81</v>
      </c>
      <c r="G20" s="90">
        <v>0.74000000953674316</v>
      </c>
      <c r="H20" s="54">
        <v>0.99</v>
      </c>
      <c r="I20" s="54">
        <v>0.68</v>
      </c>
      <c r="J20" s="54">
        <v>3.7999999999999999E-2</v>
      </c>
      <c r="K20" s="40" t="str">
        <f t="shared" si="5"/>
        <v>7A4</v>
      </c>
      <c r="L20" s="40">
        <f t="shared" si="1"/>
        <v>4</v>
      </c>
      <c r="M20" s="40">
        <f t="shared" si="2"/>
        <v>2</v>
      </c>
      <c r="N20" s="91">
        <f>IF('Amputation Summary'!$Q$33=2, RANK(I20,I$8:I$82,1)+COUNTIF($I$8:I20,I20)-1, IF('Amputation Summary'!$Q$33=1, RANK(H20,H$8:H$82,1)+COUNTIF($H$8:H20,H20)-1))</f>
        <v>62</v>
      </c>
      <c r="O20" s="92">
        <f>IF('Amputation Summary'!$Q$33=2, I20, IF('Amputation Summary'!$Q$33=1, H20))</f>
        <v>0.99</v>
      </c>
      <c r="P20" s="91">
        <v>10</v>
      </c>
      <c r="Q20" s="91">
        <v>4</v>
      </c>
      <c r="R20" s="91">
        <f t="shared" si="6"/>
        <v>6</v>
      </c>
      <c r="S20" s="91">
        <v>25</v>
      </c>
      <c r="T20" s="91">
        <f t="shared" si="7"/>
        <v>15</v>
      </c>
      <c r="U20" s="91">
        <v>40</v>
      </c>
      <c r="V20" s="90">
        <v>0.50960826873779297</v>
      </c>
      <c r="W20" s="90">
        <v>1.0745508670806885</v>
      </c>
      <c r="X20" s="90">
        <f t="shared" si="8"/>
        <v>0.2303917407989502</v>
      </c>
      <c r="Y20" s="90">
        <f t="shared" si="9"/>
        <v>0.33455085754394531</v>
      </c>
      <c r="Z20" s="91">
        <f>IF('Amputation Summary'!$Q$4=3, RANK(G20,G$8:G$82,1)+COUNTIF($G$8:G20,G20)-1, IF('Amputation Summary'!$Q$4&lt;3, RANK(U20,U$8:U$82,1)+COUNTIF($U$8:U20,U20)-1))</f>
        <v>24</v>
      </c>
      <c r="AA20" s="91">
        <f>IF('Amputation Summary'!$Q$4=3,G20, IF( 'Amputation Summary'!$Q$4=1, P20, IF('Amputation Summary'!$Q$4=2, F20)))</f>
        <v>0.74000000953674316</v>
      </c>
      <c r="AB20" s="91">
        <f>IF('Amputation Summary'!$Q$4=3, V20, IF('Amputation Summary'!$Q$4=1, R20, IF('Amputation Summary'!$Q$4=2, AF20)))</f>
        <v>0.50960826873779297</v>
      </c>
      <c r="AC20" s="91">
        <f>IF('Amputation Summary'!$Q$4=3, Y20, IF('Amputation Summary'!$Q$4=1, T20, IF('Amputation Summary'!$Q$4=2, AG20)))</f>
        <v>0.33455085754394531</v>
      </c>
      <c r="AD20">
        <v>70</v>
      </c>
      <c r="AE20">
        <v>89</v>
      </c>
      <c r="AF20">
        <f t="shared" si="3"/>
        <v>11</v>
      </c>
      <c r="AG20">
        <f t="shared" si="4"/>
        <v>8</v>
      </c>
      <c r="AH20">
        <v>7</v>
      </c>
      <c r="AI20">
        <v>75</v>
      </c>
      <c r="AJ20">
        <v>1</v>
      </c>
      <c r="AK20" s="91">
        <f>IF('Amputation Summary'!$Q$4=3, AJ20, IF('Amputation Summary'!$Q$4=1, AH20, IF('Amputation Summary'!$Q$4=2, AI20)))</f>
        <v>1</v>
      </c>
      <c r="AL20" s="124">
        <v>0.81</v>
      </c>
    </row>
    <row r="21" spans="1:38" x14ac:dyDescent="0.25">
      <c r="A21" s="88" t="s">
        <v>81</v>
      </c>
      <c r="B21" s="88" t="s">
        <v>82</v>
      </c>
      <c r="C21" s="89">
        <v>150</v>
      </c>
      <c r="D21" s="89" t="s">
        <v>684</v>
      </c>
      <c r="E21" s="89" t="s">
        <v>685</v>
      </c>
      <c r="F21">
        <v>88</v>
      </c>
      <c r="G21" s="90">
        <v>1.4199999570846558</v>
      </c>
      <c r="H21" s="54">
        <v>0.82</v>
      </c>
      <c r="I21" s="54">
        <v>0.75</v>
      </c>
      <c r="J21" s="54">
        <v>2.9000000000000001E-2</v>
      </c>
      <c r="K21" s="40" t="str">
        <f t="shared" si="5"/>
        <v>RLN</v>
      </c>
      <c r="L21" s="40">
        <f t="shared" si="1"/>
        <v>2</v>
      </c>
      <c r="M21" s="40">
        <f t="shared" si="2"/>
        <v>2</v>
      </c>
      <c r="N21" s="91">
        <f>IF('Amputation Summary'!$Q$33=2, RANK(I21,I$8:I$82,1)+COUNTIF($I$8:I21,I21)-1, IF('Amputation Summary'!$Q$33=1, RANK(H21,H$8:H$82,1)+COUNTIF($H$8:H21,H21)-1))</f>
        <v>24</v>
      </c>
      <c r="O21" s="92">
        <f>IF('Amputation Summary'!$Q$33=2, I21, IF('Amputation Summary'!$Q$33=1, H21))</f>
        <v>0.82</v>
      </c>
      <c r="P21" s="91">
        <v>9</v>
      </c>
      <c r="Q21" s="91">
        <v>3</v>
      </c>
      <c r="R21" s="91">
        <f t="shared" si="6"/>
        <v>6</v>
      </c>
      <c r="S21" s="91">
        <v>29</v>
      </c>
      <c r="T21" s="91">
        <f t="shared" si="7"/>
        <v>20</v>
      </c>
      <c r="U21" s="91">
        <v>28</v>
      </c>
      <c r="V21" s="90">
        <v>1.0260032415390015</v>
      </c>
      <c r="W21" s="90">
        <v>1.965295672416687</v>
      </c>
      <c r="X21" s="90">
        <f t="shared" si="8"/>
        <v>0.3939967155456543</v>
      </c>
      <c r="Y21" s="90">
        <f t="shared" si="9"/>
        <v>0.54529571533203125</v>
      </c>
      <c r="Z21" s="91">
        <f>IF('Amputation Summary'!$Q$4=3, RANK(G21,G$8:G$82,1)+COUNTIF($G$8:G21,G21)-1, IF('Amputation Summary'!$Q$4&lt;3, RANK(U21,U$8:U$82,1)+COUNTIF($U$8:U21,U21)-1))</f>
        <v>63</v>
      </c>
      <c r="AA21" s="91">
        <f>IF('Amputation Summary'!$Q$4=3,G21, IF( 'Amputation Summary'!$Q$4=1, P21, IF('Amputation Summary'!$Q$4=2, F21)))</f>
        <v>1.4199999570846558</v>
      </c>
      <c r="AB21" s="91">
        <f>IF('Amputation Summary'!$Q$4=3, V21, IF('Amputation Summary'!$Q$4=1, R21, IF('Amputation Summary'!$Q$4=2, AF21)))</f>
        <v>1.0260032415390015</v>
      </c>
      <c r="AC21" s="91">
        <f>IF('Amputation Summary'!$Q$4=3, Y21, IF('Amputation Summary'!$Q$4=1, T21, IF('Amputation Summary'!$Q$4=2, AG21)))</f>
        <v>0.54529571533203125</v>
      </c>
      <c r="AD21">
        <v>80</v>
      </c>
      <c r="AE21">
        <v>94</v>
      </c>
      <c r="AF21">
        <f t="shared" si="3"/>
        <v>8</v>
      </c>
      <c r="AG21">
        <f t="shared" si="4"/>
        <v>6</v>
      </c>
      <c r="AH21">
        <v>7</v>
      </c>
      <c r="AI21">
        <v>75</v>
      </c>
      <c r="AJ21">
        <v>1</v>
      </c>
      <c r="AK21" s="91">
        <f>IF('Amputation Summary'!$Q$4=3, AJ21, IF('Amputation Summary'!$Q$4=1, AH21, IF('Amputation Summary'!$Q$4=2, AI21)))</f>
        <v>1</v>
      </c>
      <c r="AL21" s="124">
        <v>0.88</v>
      </c>
    </row>
    <row r="22" spans="1:38" x14ac:dyDescent="0.25">
      <c r="A22" s="88" t="s">
        <v>72</v>
      </c>
      <c r="B22" s="88" t="s">
        <v>73</v>
      </c>
      <c r="C22" s="89">
        <v>206</v>
      </c>
      <c r="D22" s="89" t="s">
        <v>686</v>
      </c>
      <c r="E22" s="89" t="s">
        <v>687</v>
      </c>
      <c r="F22">
        <v>86</v>
      </c>
      <c r="G22" s="90">
        <v>1.2899999618530273</v>
      </c>
      <c r="H22" s="54">
        <v>0.78</v>
      </c>
      <c r="I22" s="54">
        <v>0.71</v>
      </c>
      <c r="J22" s="54">
        <v>3.5999999999999997E-2</v>
      </c>
      <c r="K22" s="40" t="str">
        <f t="shared" si="5"/>
        <v>RJR</v>
      </c>
      <c r="L22" s="40">
        <f t="shared" si="1"/>
        <v>1</v>
      </c>
      <c r="M22" s="40">
        <f t="shared" si="2"/>
        <v>2</v>
      </c>
      <c r="N22" s="91">
        <f>IF('Amputation Summary'!$Q$33=2, RANK(I22,I$8:I$82,1)+COUNTIF($I$8:I22,I22)-1, IF('Amputation Summary'!$Q$33=1, RANK(H22,H$8:H$82,1)+COUNTIF($H$8:H22,H22)-1))</f>
        <v>15</v>
      </c>
      <c r="O22" s="92">
        <f>IF('Amputation Summary'!$Q$33=2, I22, IF('Amputation Summary'!$Q$33=1, H22))</f>
        <v>0.78</v>
      </c>
      <c r="P22" s="91">
        <v>10</v>
      </c>
      <c r="Q22" s="91">
        <v>4</v>
      </c>
      <c r="R22" s="91">
        <f t="shared" si="6"/>
        <v>6</v>
      </c>
      <c r="S22" s="91">
        <v>22</v>
      </c>
      <c r="T22" s="91">
        <f t="shared" si="7"/>
        <v>12</v>
      </c>
      <c r="U22" s="91">
        <v>38</v>
      </c>
      <c r="V22" s="90">
        <v>0.97953349351882935</v>
      </c>
      <c r="W22" s="90">
        <v>1.6988698244094849</v>
      </c>
      <c r="X22" s="90">
        <f t="shared" si="8"/>
        <v>0.310466468334198</v>
      </c>
      <c r="Y22" s="90">
        <f t="shared" si="9"/>
        <v>0.40886986255645752</v>
      </c>
      <c r="Z22" s="91">
        <f>IF('Amputation Summary'!$Q$4=3, RANK(G22,G$8:G$82,1)+COUNTIF($G$8:G22,G22)-1, IF('Amputation Summary'!$Q$4&lt;3, RANK(U22,U$8:U$82,1)+COUNTIF($U$8:U22,U22)-1))</f>
        <v>60</v>
      </c>
      <c r="AA22" s="91">
        <f>IF('Amputation Summary'!$Q$4=3,G22, IF( 'Amputation Summary'!$Q$4=1, P22, IF('Amputation Summary'!$Q$4=2, F22)))</f>
        <v>1.2899999618530273</v>
      </c>
      <c r="AB22" s="91">
        <f>IF('Amputation Summary'!$Q$4=3, V22, IF('Amputation Summary'!$Q$4=1, R22, IF('Amputation Summary'!$Q$4=2, AF22)))</f>
        <v>0.97953349351882935</v>
      </c>
      <c r="AC22" s="91">
        <f>IF('Amputation Summary'!$Q$4=3, Y22, IF('Amputation Summary'!$Q$4=1, T22, IF('Amputation Summary'!$Q$4=2, AG22)))</f>
        <v>0.40886986255645752</v>
      </c>
      <c r="AD22">
        <v>80</v>
      </c>
      <c r="AE22">
        <v>91</v>
      </c>
      <c r="AF22">
        <f t="shared" si="3"/>
        <v>6</v>
      </c>
      <c r="AG22">
        <f t="shared" si="4"/>
        <v>5</v>
      </c>
      <c r="AH22">
        <v>7</v>
      </c>
      <c r="AI22">
        <v>75</v>
      </c>
      <c r="AJ22">
        <v>1</v>
      </c>
      <c r="AK22" s="91">
        <f>IF('Amputation Summary'!$Q$4=3, AJ22, IF('Amputation Summary'!$Q$4=1, AH22, IF('Amputation Summary'!$Q$4=2, AI22)))</f>
        <v>1</v>
      </c>
      <c r="AL22" s="124">
        <v>0.86</v>
      </c>
    </row>
    <row r="23" spans="1:38" x14ac:dyDescent="0.25">
      <c r="A23" s="88" t="s">
        <v>7</v>
      </c>
      <c r="B23" s="88" t="s">
        <v>616</v>
      </c>
      <c r="C23" s="89">
        <v>86</v>
      </c>
      <c r="D23" s="89" t="s">
        <v>688</v>
      </c>
      <c r="E23" s="89" t="s">
        <v>689</v>
      </c>
      <c r="F23">
        <v>39</v>
      </c>
      <c r="G23" s="90">
        <v>0.62000000476837158</v>
      </c>
      <c r="H23" s="54">
        <v>1</v>
      </c>
      <c r="I23" s="54">
        <v>0.91</v>
      </c>
      <c r="J23" s="54">
        <v>0.04</v>
      </c>
      <c r="K23" s="40" t="str">
        <f t="shared" si="5"/>
        <v>7A5</v>
      </c>
      <c r="L23" s="40">
        <f t="shared" si="1"/>
        <v>4</v>
      </c>
      <c r="M23" s="40">
        <f t="shared" si="2"/>
        <v>4</v>
      </c>
      <c r="N23" s="91">
        <f>IF('Amputation Summary'!$Q$33=2, RANK(I23,I$8:I$82,1)+COUNTIF($I$8:I23,I23)-1, IF('Amputation Summary'!$Q$33=1, RANK(H23,H$8:H$82,1)+COUNTIF($H$8:H23,H23)-1))</f>
        <v>67</v>
      </c>
      <c r="O23" s="92">
        <f>IF('Amputation Summary'!$Q$33=2, I23, IF('Amputation Summary'!$Q$33=1, H23))</f>
        <v>1</v>
      </c>
      <c r="P23" s="91">
        <v>37</v>
      </c>
      <c r="Q23" s="91">
        <v>19</v>
      </c>
      <c r="R23" s="91">
        <f t="shared" si="6"/>
        <v>18</v>
      </c>
      <c r="S23" s="91">
        <v>117</v>
      </c>
      <c r="T23" s="91">
        <f t="shared" si="7"/>
        <v>80</v>
      </c>
      <c r="U23" s="91">
        <v>73</v>
      </c>
      <c r="V23" s="90">
        <v>0.40145635604858398</v>
      </c>
      <c r="W23" s="90">
        <v>0.95751386880874634</v>
      </c>
      <c r="X23" s="90">
        <f t="shared" si="8"/>
        <v>0.2185436487197876</v>
      </c>
      <c r="Y23" s="90">
        <f t="shared" si="9"/>
        <v>0.33751386404037476</v>
      </c>
      <c r="Z23" s="91">
        <f>IF('Amputation Summary'!$Q$4=3, RANK(G23,G$8:G$82,1)+COUNTIF($G$8:G23,G23)-1, IF('Amputation Summary'!$Q$4&lt;3, RANK(U23,U$8:U$82,1)+COUNTIF($U$8:U23,U23)-1))</f>
        <v>18</v>
      </c>
      <c r="AA23" s="91">
        <f>IF('Amputation Summary'!$Q$4=3,G23, IF( 'Amputation Summary'!$Q$4=1, P23, IF('Amputation Summary'!$Q$4=2, F23)))</f>
        <v>0.62000000476837158</v>
      </c>
      <c r="AB23" s="91">
        <f>IF('Amputation Summary'!$Q$4=3, V23, IF('Amputation Summary'!$Q$4=1, R23, IF('Amputation Summary'!$Q$4=2, AF23)))</f>
        <v>0.40145635604858398</v>
      </c>
      <c r="AC23" s="91">
        <f>IF('Amputation Summary'!$Q$4=3, Y23, IF('Amputation Summary'!$Q$4=1, T23, IF('Amputation Summary'!$Q$4=2, AG23)))</f>
        <v>0.33751386404037476</v>
      </c>
      <c r="AD23">
        <v>25</v>
      </c>
      <c r="AE23">
        <v>54</v>
      </c>
      <c r="AF23">
        <f t="shared" si="3"/>
        <v>14</v>
      </c>
      <c r="AG23">
        <f t="shared" si="4"/>
        <v>15</v>
      </c>
      <c r="AH23">
        <v>7</v>
      </c>
      <c r="AI23">
        <v>75</v>
      </c>
      <c r="AJ23">
        <v>1</v>
      </c>
      <c r="AK23" s="91">
        <f>IF('Amputation Summary'!$Q$4=3, AJ23, IF('Amputation Summary'!$Q$4=1, AH23, IF('Amputation Summary'!$Q$4=2, AI23)))</f>
        <v>1</v>
      </c>
      <c r="AL23" s="124">
        <v>0.39</v>
      </c>
    </row>
    <row r="24" spans="1:38" x14ac:dyDescent="0.25">
      <c r="A24" s="88" t="s">
        <v>93</v>
      </c>
      <c r="B24" s="88" t="s">
        <v>617</v>
      </c>
      <c r="C24" s="89">
        <v>88</v>
      </c>
      <c r="D24" s="89" t="s">
        <v>690</v>
      </c>
      <c r="E24" s="89" t="s">
        <v>691</v>
      </c>
      <c r="F24">
        <v>76</v>
      </c>
      <c r="G24" s="90">
        <v>0.80000001192092896</v>
      </c>
      <c r="H24" s="54">
        <v>0.97</v>
      </c>
      <c r="I24" s="54">
        <v>0.92</v>
      </c>
      <c r="J24" s="54">
        <v>0.106</v>
      </c>
      <c r="K24" s="40" t="str">
        <f t="shared" si="5"/>
        <v>RP5</v>
      </c>
      <c r="L24" s="40">
        <f t="shared" si="1"/>
        <v>4</v>
      </c>
      <c r="M24" s="40">
        <f t="shared" si="2"/>
        <v>4</v>
      </c>
      <c r="N24" s="91">
        <f>IF('Amputation Summary'!$Q$33=2, RANK(I24,I$8:I$82,1)+COUNTIF($I$8:I24,I24)-1, IF('Amputation Summary'!$Q$33=1, RANK(H24,H$8:H$82,1)+COUNTIF($H$8:H24,H24)-1))</f>
        <v>53</v>
      </c>
      <c r="O24" s="92">
        <f>IF('Amputation Summary'!$Q$33=2, I24, IF('Amputation Summary'!$Q$33=1, H24))</f>
        <v>0.97</v>
      </c>
      <c r="P24" s="91">
        <v>24</v>
      </c>
      <c r="Q24" s="91">
        <v>8</v>
      </c>
      <c r="R24" s="91">
        <f t="shared" si="6"/>
        <v>16</v>
      </c>
      <c r="S24" s="91">
        <v>49</v>
      </c>
      <c r="T24" s="91">
        <f t="shared" si="7"/>
        <v>25</v>
      </c>
      <c r="U24" s="91">
        <v>69</v>
      </c>
      <c r="V24" s="90">
        <v>0.52532333135604858</v>
      </c>
      <c r="W24" s="90">
        <v>1.2182973623275757</v>
      </c>
      <c r="X24" s="90">
        <f t="shared" si="8"/>
        <v>0.27467668056488037</v>
      </c>
      <c r="Y24" s="90">
        <f t="shared" si="9"/>
        <v>0.41829735040664673</v>
      </c>
      <c r="Z24" s="91">
        <f>IF('Amputation Summary'!$Q$4=3, RANK(G24,G$8:G$82,1)+COUNTIF($G$8:G24,G24)-1, IF('Amputation Summary'!$Q$4&lt;3, RANK(U24,U$8:U$82,1)+COUNTIF($U$8:U24,U24)-1))</f>
        <v>33</v>
      </c>
      <c r="AA24" s="91">
        <f>IF('Amputation Summary'!$Q$4=3,G24, IF( 'Amputation Summary'!$Q$4=1, P24, IF('Amputation Summary'!$Q$4=2, F24)))</f>
        <v>0.80000001192092896</v>
      </c>
      <c r="AB24" s="91">
        <f>IF('Amputation Summary'!$Q$4=3, V24, IF('Amputation Summary'!$Q$4=1, R24, IF('Amputation Summary'!$Q$4=2, AF24)))</f>
        <v>0.52532333135604858</v>
      </c>
      <c r="AC24" s="91">
        <f>IF('Amputation Summary'!$Q$4=3, Y24, IF('Amputation Summary'!$Q$4=1, T24, IF('Amputation Summary'!$Q$4=2, AG24)))</f>
        <v>0.41829735040664673</v>
      </c>
      <c r="AD24">
        <v>60</v>
      </c>
      <c r="AE24">
        <v>87</v>
      </c>
      <c r="AF24">
        <f t="shared" si="3"/>
        <v>16</v>
      </c>
      <c r="AG24">
        <f t="shared" si="4"/>
        <v>11</v>
      </c>
      <c r="AH24">
        <v>7</v>
      </c>
      <c r="AI24">
        <v>75</v>
      </c>
      <c r="AJ24">
        <v>1</v>
      </c>
      <c r="AK24" s="91">
        <f>IF('Amputation Summary'!$Q$4=3, AJ24, IF('Amputation Summary'!$Q$4=1, AH24, IF('Amputation Summary'!$Q$4=2, AI24)))</f>
        <v>1</v>
      </c>
      <c r="AL24" s="124">
        <v>0.76</v>
      </c>
    </row>
    <row r="25" spans="1:38" x14ac:dyDescent="0.25">
      <c r="A25" s="88" t="s">
        <v>138</v>
      </c>
      <c r="B25" s="88" t="s">
        <v>139</v>
      </c>
      <c r="C25" s="89">
        <v>39</v>
      </c>
      <c r="D25" s="89" t="s">
        <v>692</v>
      </c>
      <c r="E25" s="89" t="s">
        <v>693</v>
      </c>
      <c r="F25">
        <v>88</v>
      </c>
      <c r="G25" s="90">
        <v>0.18000000715255737</v>
      </c>
      <c r="H25" s="54">
        <v>0.9</v>
      </c>
      <c r="I25" s="54">
        <v>0.72</v>
      </c>
      <c r="J25" s="54">
        <v>0</v>
      </c>
      <c r="K25" s="40" t="str">
        <f t="shared" si="5"/>
        <v>RWH</v>
      </c>
      <c r="L25" s="40">
        <f t="shared" si="1"/>
        <v>2</v>
      </c>
      <c r="M25" s="40">
        <f t="shared" si="2"/>
        <v>2</v>
      </c>
      <c r="N25" s="91">
        <f>IF('Amputation Summary'!$Q$33=2, RANK(I25,I$8:I$82,1)+COUNTIF($I$8:I25,I25)-1, IF('Amputation Summary'!$Q$33=1, RANK(H25,H$8:H$82,1)+COUNTIF($H$8:H25,H25)-1))</f>
        <v>34</v>
      </c>
      <c r="O25" s="92">
        <f>IF('Amputation Summary'!$Q$33=2, I25, IF('Amputation Summary'!$Q$33=1, H25))</f>
        <v>0.9</v>
      </c>
      <c r="P25" s="91">
        <v>7</v>
      </c>
      <c r="Q25" s="91">
        <v>3</v>
      </c>
      <c r="R25" s="91">
        <f t="shared" si="6"/>
        <v>4</v>
      </c>
      <c r="S25" s="91">
        <v>20</v>
      </c>
      <c r="T25" s="91">
        <f t="shared" si="7"/>
        <v>13</v>
      </c>
      <c r="U25" s="91">
        <v>15</v>
      </c>
      <c r="V25" s="90">
        <v>7.5420871376991272E-2</v>
      </c>
      <c r="W25" s="90">
        <v>0.42958933115005493</v>
      </c>
      <c r="X25" s="90">
        <f t="shared" si="8"/>
        <v>0.1045791357755661</v>
      </c>
      <c r="Y25" s="90">
        <f t="shared" si="9"/>
        <v>0.24958932399749756</v>
      </c>
      <c r="Z25" s="91">
        <f>IF('Amputation Summary'!$Q$4=3, RANK(G25,G$8:G$82,1)+COUNTIF($G$8:G25,G25)-1, IF('Amputation Summary'!$Q$4&lt;3, RANK(U25,U$8:U$82,1)+COUNTIF($U$8:U25,U25)-1))</f>
        <v>3</v>
      </c>
      <c r="AA25" s="91">
        <f>IF('Amputation Summary'!$Q$4=3,G25, IF( 'Amputation Summary'!$Q$4=1, P25, IF('Amputation Summary'!$Q$4=2, F25)))</f>
        <v>0.18000000715255737</v>
      </c>
      <c r="AB25" s="91">
        <f>IF('Amputation Summary'!$Q$4=3, V25, IF('Amputation Summary'!$Q$4=1, R25, IF('Amputation Summary'!$Q$4=2, AF25)))</f>
        <v>7.5420871376991272E-2</v>
      </c>
      <c r="AC25" s="91">
        <f>IF('Amputation Summary'!$Q$4=3, Y25, IF('Amputation Summary'!$Q$4=1, T25, IF('Amputation Summary'!$Q$4=2, AG25)))</f>
        <v>0.24958932399749756</v>
      </c>
      <c r="AD25">
        <v>70</v>
      </c>
      <c r="AE25">
        <v>98</v>
      </c>
      <c r="AF25">
        <f t="shared" si="3"/>
        <v>18</v>
      </c>
      <c r="AG25">
        <f t="shared" si="4"/>
        <v>10</v>
      </c>
      <c r="AH25">
        <v>7</v>
      </c>
      <c r="AI25">
        <v>75</v>
      </c>
      <c r="AJ25">
        <v>1</v>
      </c>
      <c r="AK25" s="91">
        <f>IF('Amputation Summary'!$Q$4=3, AJ25, IF('Amputation Summary'!$Q$4=1, AH25, IF('Amputation Summary'!$Q$4=2, AI25)))</f>
        <v>1</v>
      </c>
      <c r="AL25" s="124">
        <v>0.88</v>
      </c>
    </row>
    <row r="26" spans="1:38" x14ac:dyDescent="0.25">
      <c r="A26" s="88" t="s">
        <v>126</v>
      </c>
      <c r="B26" s="88" t="s">
        <v>127</v>
      </c>
      <c r="C26" s="89">
        <v>113</v>
      </c>
      <c r="D26" s="89" t="s">
        <v>694</v>
      </c>
      <c r="E26" s="89" t="s">
        <v>695</v>
      </c>
      <c r="F26">
        <v>87</v>
      </c>
      <c r="G26" s="90">
        <v>0.94999998807907104</v>
      </c>
      <c r="H26" s="54">
        <v>0.9</v>
      </c>
      <c r="I26" s="54">
        <v>0.82</v>
      </c>
      <c r="J26" s="54">
        <v>2.7E-2</v>
      </c>
      <c r="K26" s="40" t="str">
        <f t="shared" si="5"/>
        <v>RVV</v>
      </c>
      <c r="L26" s="40">
        <f t="shared" si="1"/>
        <v>2</v>
      </c>
      <c r="M26" s="40">
        <f t="shared" si="2"/>
        <v>3</v>
      </c>
      <c r="N26" s="91">
        <f>IF('Amputation Summary'!$Q$33=2, RANK(I26,I$8:I$82,1)+COUNTIF($I$8:I26,I26)-1, IF('Amputation Summary'!$Q$33=1, RANK(H26,H$8:H$82,1)+COUNTIF($H$8:H26,H26)-1))</f>
        <v>35</v>
      </c>
      <c r="O26" s="92">
        <f>IF('Amputation Summary'!$Q$33=2, I26, IF('Amputation Summary'!$Q$33=1, H26))</f>
        <v>0.9</v>
      </c>
      <c r="P26" s="91">
        <v>14</v>
      </c>
      <c r="Q26" s="91">
        <v>4</v>
      </c>
      <c r="R26" s="91">
        <f t="shared" si="6"/>
        <v>10</v>
      </c>
      <c r="S26" s="91">
        <v>34</v>
      </c>
      <c r="T26" s="91">
        <f t="shared" si="7"/>
        <v>20</v>
      </c>
      <c r="U26" s="91">
        <v>57</v>
      </c>
      <c r="V26" s="90">
        <v>0.65692466497421265</v>
      </c>
      <c r="W26" s="90">
        <v>1.3738256692886353</v>
      </c>
      <c r="X26" s="90">
        <f t="shared" si="8"/>
        <v>0.2930753231048584</v>
      </c>
      <c r="Y26" s="90">
        <f t="shared" si="9"/>
        <v>0.42382568120956421</v>
      </c>
      <c r="Z26" s="91">
        <f>IF('Amputation Summary'!$Q$4=3, RANK(G26,G$8:G$82,1)+COUNTIF($G$8:G26,G26)-1, IF('Amputation Summary'!$Q$4&lt;3, RANK(U26,U$8:U$82,1)+COUNTIF($U$8:U26,U26)-1))</f>
        <v>44</v>
      </c>
      <c r="AA26" s="91">
        <f>IF('Amputation Summary'!$Q$4=3,G26, IF( 'Amputation Summary'!$Q$4=1, P26, IF('Amputation Summary'!$Q$4=2, F26)))</f>
        <v>0.94999998807907104</v>
      </c>
      <c r="AB26" s="91">
        <f>IF('Amputation Summary'!$Q$4=3, V26, IF('Amputation Summary'!$Q$4=1, R26, IF('Amputation Summary'!$Q$4=2, AF26)))</f>
        <v>0.65692466497421265</v>
      </c>
      <c r="AC26" s="91">
        <f>IF('Amputation Summary'!$Q$4=3, Y26, IF('Amputation Summary'!$Q$4=1, T26, IF('Amputation Summary'!$Q$4=2, AG26)))</f>
        <v>0.42382568120956421</v>
      </c>
      <c r="AD26">
        <v>78</v>
      </c>
      <c r="AE26">
        <v>94</v>
      </c>
      <c r="AF26">
        <f t="shared" si="3"/>
        <v>9</v>
      </c>
      <c r="AG26">
        <f t="shared" si="4"/>
        <v>7</v>
      </c>
      <c r="AH26">
        <v>7</v>
      </c>
      <c r="AI26">
        <v>75</v>
      </c>
      <c r="AJ26">
        <v>1</v>
      </c>
      <c r="AK26" s="91">
        <f>IF('Amputation Summary'!$Q$4=3, AJ26, IF('Amputation Summary'!$Q$4=1, AH26, IF('Amputation Summary'!$Q$4=2, AI26)))</f>
        <v>1</v>
      </c>
      <c r="AL26" s="124">
        <v>0.87</v>
      </c>
    </row>
    <row r="27" spans="1:38" x14ac:dyDescent="0.25">
      <c r="A27" s="88" t="s">
        <v>154</v>
      </c>
      <c r="B27" s="88" t="s">
        <v>155</v>
      </c>
      <c r="C27" s="89">
        <v>147</v>
      </c>
      <c r="D27" s="89" t="s">
        <v>696</v>
      </c>
      <c r="E27" s="89" t="s">
        <v>697</v>
      </c>
      <c r="F27">
        <v>89</v>
      </c>
      <c r="G27" s="90">
        <v>1.3300000429153442</v>
      </c>
      <c r="H27" s="54">
        <v>0.8</v>
      </c>
      <c r="I27" s="54">
        <v>0.12</v>
      </c>
      <c r="J27" s="54">
        <v>5.8999999999999997E-2</v>
      </c>
      <c r="K27" s="40" t="str">
        <f t="shared" si="5"/>
        <v>RXR</v>
      </c>
      <c r="L27" s="40">
        <f t="shared" si="1"/>
        <v>2</v>
      </c>
      <c r="M27" s="40">
        <f t="shared" si="2"/>
        <v>1</v>
      </c>
      <c r="N27" s="91">
        <f>IF('Amputation Summary'!$Q$33=2, RANK(I27,I$8:I$82,1)+COUNTIF($I$8:I27,I27)-1, IF('Amputation Summary'!$Q$33=1, RANK(H27,H$8:H$82,1)+COUNTIF($H$8:H27,H27)-1))</f>
        <v>20</v>
      </c>
      <c r="O27" s="92">
        <f>IF('Amputation Summary'!$Q$33=2, I27, IF('Amputation Summary'!$Q$33=1, H27))</f>
        <v>0.8</v>
      </c>
      <c r="P27" s="91">
        <v>10</v>
      </c>
      <c r="Q27" s="91">
        <v>4</v>
      </c>
      <c r="R27" s="91">
        <f t="shared" si="6"/>
        <v>6</v>
      </c>
      <c r="S27" s="91">
        <v>24</v>
      </c>
      <c r="T27" s="91">
        <f t="shared" si="7"/>
        <v>14</v>
      </c>
      <c r="U27" s="91">
        <v>39</v>
      </c>
      <c r="V27" s="90">
        <v>0.95936113595962524</v>
      </c>
      <c r="W27" s="90">
        <v>1.8438314199447632</v>
      </c>
      <c r="X27" s="90">
        <f t="shared" si="8"/>
        <v>0.37063890695571899</v>
      </c>
      <c r="Y27" s="90">
        <f t="shared" si="9"/>
        <v>0.51383137702941895</v>
      </c>
      <c r="Z27" s="91">
        <f>IF('Amputation Summary'!$Q$4=3, RANK(G27,G$8:G$82,1)+COUNTIF($G$8:G27,G27)-1, IF('Amputation Summary'!$Q$4&lt;3, RANK(U27,U$8:U$82,1)+COUNTIF($U$8:U27,U27)-1))</f>
        <v>61</v>
      </c>
      <c r="AA27" s="91">
        <f>IF('Amputation Summary'!$Q$4=3,G27, IF( 'Amputation Summary'!$Q$4=1, P27, IF('Amputation Summary'!$Q$4=2, F27)))</f>
        <v>1.3300000429153442</v>
      </c>
      <c r="AB27" s="91">
        <f>IF('Amputation Summary'!$Q$4=3, V27, IF('Amputation Summary'!$Q$4=1, R27, IF('Amputation Summary'!$Q$4=2, AF27)))</f>
        <v>0.95936113595962524</v>
      </c>
      <c r="AC27" s="91">
        <f>IF('Amputation Summary'!$Q$4=3, Y27, IF('Amputation Summary'!$Q$4=1, T27, IF('Amputation Summary'!$Q$4=2, AG27)))</f>
        <v>0.51383137702941895</v>
      </c>
      <c r="AD27">
        <v>81</v>
      </c>
      <c r="AE27">
        <v>95</v>
      </c>
      <c r="AF27">
        <f t="shared" si="3"/>
        <v>8</v>
      </c>
      <c r="AG27">
        <f t="shared" si="4"/>
        <v>6</v>
      </c>
      <c r="AH27">
        <v>7</v>
      </c>
      <c r="AI27">
        <v>75</v>
      </c>
      <c r="AJ27">
        <v>1</v>
      </c>
      <c r="AK27" s="91">
        <f>IF('Amputation Summary'!$Q$4=3, AJ27, IF('Amputation Summary'!$Q$4=1, AH27, IF('Amputation Summary'!$Q$4=2, AI27)))</f>
        <v>1</v>
      </c>
      <c r="AL27" s="124">
        <v>0.89</v>
      </c>
    </row>
    <row r="28" spans="1:38" x14ac:dyDescent="0.25">
      <c r="A28" s="88" t="s">
        <v>39</v>
      </c>
      <c r="B28" s="88" t="s">
        <v>215</v>
      </c>
      <c r="C28" s="89">
        <v>95</v>
      </c>
      <c r="D28" s="89" t="s">
        <v>698</v>
      </c>
      <c r="E28" s="89" t="s">
        <v>699</v>
      </c>
      <c r="F28">
        <v>79</v>
      </c>
      <c r="G28" s="90">
        <v>1.1100000143051147</v>
      </c>
      <c r="H28" s="54">
        <v>0.33</v>
      </c>
      <c r="I28" s="54">
        <v>0.8</v>
      </c>
      <c r="J28" s="54">
        <v>4.1000000000000002E-2</v>
      </c>
      <c r="K28" s="40" t="str">
        <f t="shared" si="5"/>
        <v>RDE</v>
      </c>
      <c r="L28" s="40">
        <f t="shared" si="1"/>
        <v>1</v>
      </c>
      <c r="M28" s="40">
        <f t="shared" si="2"/>
        <v>3</v>
      </c>
      <c r="N28" s="91">
        <f>IF('Amputation Summary'!$Q$33=2, RANK(I28,I$8:I$82,1)+COUNTIF($I$8:I28,I28)-1, IF('Amputation Summary'!$Q$33=1, RANK(H28,H$8:H$82,1)+COUNTIF($H$8:H28,H28)-1))</f>
        <v>1</v>
      </c>
      <c r="O28" s="92">
        <f>IF('Amputation Summary'!$Q$33=2, I28, IF('Amputation Summary'!$Q$33=1, H28))</f>
        <v>0.33</v>
      </c>
      <c r="P28" s="91">
        <v>11</v>
      </c>
      <c r="Q28" s="91">
        <v>4</v>
      </c>
      <c r="R28" s="91">
        <f t="shared" si="6"/>
        <v>7</v>
      </c>
      <c r="S28" s="91">
        <v>28</v>
      </c>
      <c r="T28" s="91">
        <f t="shared" si="7"/>
        <v>17</v>
      </c>
      <c r="U28" s="91">
        <v>48</v>
      </c>
      <c r="V28" s="90">
        <v>0.74201804399490356</v>
      </c>
      <c r="W28" s="90">
        <v>1.6604717969894409</v>
      </c>
      <c r="X28" s="90">
        <f t="shared" si="8"/>
        <v>0.36798197031021118</v>
      </c>
      <c r="Y28" s="90">
        <f t="shared" si="9"/>
        <v>0.55047178268432617</v>
      </c>
      <c r="Z28" s="91">
        <f>IF('Amputation Summary'!$Q$4=3, RANK(G28,G$8:G$82,1)+COUNTIF($G$8:G28,G28)-1, IF('Amputation Summary'!$Q$4&lt;3, RANK(U28,U$8:U$82,1)+COUNTIF($U$8:U28,U28)-1))</f>
        <v>53</v>
      </c>
      <c r="AA28" s="91">
        <f>IF('Amputation Summary'!$Q$4=3,G28, IF( 'Amputation Summary'!$Q$4=1, P28, IF('Amputation Summary'!$Q$4=2, F28)))</f>
        <v>1.1100000143051147</v>
      </c>
      <c r="AB28" s="91">
        <f>IF('Amputation Summary'!$Q$4=3, V28, IF('Amputation Summary'!$Q$4=1, R28, IF('Amputation Summary'!$Q$4=2, AF28)))</f>
        <v>0.74201804399490356</v>
      </c>
      <c r="AC28" s="91">
        <f>IF('Amputation Summary'!$Q$4=3, Y28, IF('Amputation Summary'!$Q$4=1, T28, IF('Amputation Summary'!$Q$4=2, AG28)))</f>
        <v>0.55047178268432617</v>
      </c>
      <c r="AD28">
        <v>66</v>
      </c>
      <c r="AE28">
        <v>88</v>
      </c>
      <c r="AF28">
        <f t="shared" si="3"/>
        <v>13</v>
      </c>
      <c r="AG28">
        <f t="shared" si="4"/>
        <v>9</v>
      </c>
      <c r="AH28">
        <v>7</v>
      </c>
      <c r="AI28">
        <v>75</v>
      </c>
      <c r="AJ28">
        <v>1</v>
      </c>
      <c r="AK28" s="91">
        <f>IF('Amputation Summary'!$Q$4=3, AJ28, IF('Amputation Summary'!$Q$4=1, AH28, IF('Amputation Summary'!$Q$4=2, AI28)))</f>
        <v>1</v>
      </c>
      <c r="AL28" s="124">
        <v>0.79</v>
      </c>
    </row>
    <row r="29" spans="1:38" x14ac:dyDescent="0.25">
      <c r="A29" s="88" t="s">
        <v>40</v>
      </c>
      <c r="B29" s="88" t="s">
        <v>41</v>
      </c>
      <c r="C29" s="89">
        <v>176</v>
      </c>
      <c r="D29" s="89" t="s">
        <v>700</v>
      </c>
      <c r="E29" s="89" t="s">
        <v>701</v>
      </c>
      <c r="F29">
        <v>79</v>
      </c>
      <c r="G29" s="90">
        <v>0.44999998807907104</v>
      </c>
      <c r="H29" s="54">
        <v>0.99</v>
      </c>
      <c r="I29" s="54">
        <v>0.49</v>
      </c>
      <c r="J29" s="54">
        <v>3.9E-2</v>
      </c>
      <c r="K29" s="40" t="str">
        <f t="shared" si="5"/>
        <v>RDU</v>
      </c>
      <c r="L29" s="40">
        <f t="shared" si="1"/>
        <v>4</v>
      </c>
      <c r="M29" s="40">
        <f t="shared" si="2"/>
        <v>1</v>
      </c>
      <c r="N29" s="91">
        <f>IF('Amputation Summary'!$Q$33=2, RANK(I29,I$8:I$82,1)+COUNTIF($I$8:I29,I29)-1, IF('Amputation Summary'!$Q$33=1, RANK(H29,H$8:H$82,1)+COUNTIF($H$8:H29,H29)-1))</f>
        <v>63</v>
      </c>
      <c r="O29" s="92">
        <f>IF('Amputation Summary'!$Q$33=2, I29, IF('Amputation Summary'!$Q$33=1, H29))</f>
        <v>0.99</v>
      </c>
      <c r="P29" s="91">
        <v>14</v>
      </c>
      <c r="Q29" s="91">
        <v>4</v>
      </c>
      <c r="R29" s="91">
        <f t="shared" si="6"/>
        <v>10</v>
      </c>
      <c r="S29" s="91">
        <v>43</v>
      </c>
      <c r="T29" s="91">
        <f t="shared" si="7"/>
        <v>29</v>
      </c>
      <c r="U29" s="91">
        <v>58</v>
      </c>
      <c r="V29" s="90">
        <v>0.32717862725257874</v>
      </c>
      <c r="W29" s="90">
        <v>0.61892795562744141</v>
      </c>
      <c r="X29" s="90">
        <f t="shared" si="8"/>
        <v>0.12282136082649231</v>
      </c>
      <c r="Y29" s="90">
        <f t="shared" si="9"/>
        <v>0.16892796754837036</v>
      </c>
      <c r="Z29" s="91">
        <f>IF('Amputation Summary'!$Q$4=3, RANK(G29,G$8:G$82,1)+COUNTIF($G$8:G29,G29)-1, IF('Amputation Summary'!$Q$4&lt;3, RANK(U29,U$8:U$82,1)+COUNTIF($U$8:U29,U29)-1))</f>
        <v>6</v>
      </c>
      <c r="AA29" s="91">
        <f>IF('Amputation Summary'!$Q$4=3,G29, IF( 'Amputation Summary'!$Q$4=1, P29, IF('Amputation Summary'!$Q$4=2, F29)))</f>
        <v>0.44999998807907104</v>
      </c>
      <c r="AB29" s="91">
        <f>IF('Amputation Summary'!$Q$4=3, V29, IF('Amputation Summary'!$Q$4=1, R29, IF('Amputation Summary'!$Q$4=2, AF29)))</f>
        <v>0.32717862725257874</v>
      </c>
      <c r="AC29" s="91">
        <f>IF('Amputation Summary'!$Q$4=3, Y29, IF('Amputation Summary'!$Q$4=1, T29, IF('Amputation Summary'!$Q$4=2, AG29)))</f>
        <v>0.16892796754837036</v>
      </c>
      <c r="AD29">
        <v>71</v>
      </c>
      <c r="AE29">
        <v>86</v>
      </c>
      <c r="AF29">
        <f t="shared" si="3"/>
        <v>8</v>
      </c>
      <c r="AG29">
        <f t="shared" si="4"/>
        <v>7</v>
      </c>
      <c r="AH29">
        <v>7</v>
      </c>
      <c r="AI29">
        <v>75</v>
      </c>
      <c r="AJ29">
        <v>1</v>
      </c>
      <c r="AK29" s="91">
        <f>IF('Amputation Summary'!$Q$4=3, AJ29, IF('Amputation Summary'!$Q$4=1, AH29, IF('Amputation Summary'!$Q$4=2, AI29)))</f>
        <v>1</v>
      </c>
      <c r="AL29" s="124">
        <v>0.79</v>
      </c>
    </row>
    <row r="30" spans="1:38" x14ac:dyDescent="0.25">
      <c r="A30" s="88" t="s">
        <v>115</v>
      </c>
      <c r="B30" s="88" t="s">
        <v>116</v>
      </c>
      <c r="C30" s="89">
        <v>144</v>
      </c>
      <c r="D30" s="89" t="s">
        <v>702</v>
      </c>
      <c r="E30" s="89" t="s">
        <v>703</v>
      </c>
      <c r="F30">
        <v>89</v>
      </c>
      <c r="G30" s="90">
        <v>0.85000002384185791</v>
      </c>
      <c r="H30" s="54">
        <v>0.89</v>
      </c>
      <c r="I30" s="54">
        <v>0.76</v>
      </c>
      <c r="J30" s="54">
        <v>0.05</v>
      </c>
      <c r="K30" s="40" t="str">
        <f t="shared" si="5"/>
        <v>RTE</v>
      </c>
      <c r="L30" s="40">
        <f t="shared" si="1"/>
        <v>2</v>
      </c>
      <c r="M30" s="40">
        <f t="shared" si="2"/>
        <v>2</v>
      </c>
      <c r="N30" s="91">
        <f>IF('Amputation Summary'!$Q$33=2, RANK(I30,I$8:I$82,1)+COUNTIF($I$8:I30,I30)-1, IF('Amputation Summary'!$Q$33=1, RANK(H30,H$8:H$82,1)+COUNTIF($H$8:H30,H30)-1))</f>
        <v>32</v>
      </c>
      <c r="O30" s="92">
        <f>IF('Amputation Summary'!$Q$33=2, I30, IF('Amputation Summary'!$Q$33=1, H30))</f>
        <v>0.89</v>
      </c>
      <c r="P30" s="91">
        <v>7</v>
      </c>
      <c r="Q30" s="91">
        <v>4</v>
      </c>
      <c r="R30" s="91">
        <f t="shared" si="6"/>
        <v>3</v>
      </c>
      <c r="S30" s="91">
        <v>24</v>
      </c>
      <c r="T30" s="91">
        <f t="shared" si="7"/>
        <v>17</v>
      </c>
      <c r="U30" s="91">
        <v>16</v>
      </c>
      <c r="V30" s="90">
        <v>0.61242687702178955</v>
      </c>
      <c r="W30" s="90">
        <v>1.1797327995300293</v>
      </c>
      <c r="X30" s="90">
        <f t="shared" si="8"/>
        <v>0.23757314682006836</v>
      </c>
      <c r="Y30" s="90">
        <f t="shared" si="9"/>
        <v>0.32973277568817139</v>
      </c>
      <c r="Z30" s="91">
        <f>IF('Amputation Summary'!$Q$4=3, RANK(G30,G$8:G$82,1)+COUNTIF($G$8:G30,G30)-1, IF('Amputation Summary'!$Q$4&lt;3, RANK(U30,U$8:U$82,1)+COUNTIF($U$8:U30,U30)-1))</f>
        <v>37</v>
      </c>
      <c r="AA30" s="91">
        <f>IF('Amputation Summary'!$Q$4=3,G30, IF( 'Amputation Summary'!$Q$4=1, P30, IF('Amputation Summary'!$Q$4=2, F30)))</f>
        <v>0.85000002384185791</v>
      </c>
      <c r="AB30" s="91">
        <f>IF('Amputation Summary'!$Q$4=3, V30, IF('Amputation Summary'!$Q$4=1, R30, IF('Amputation Summary'!$Q$4=2, AF30)))</f>
        <v>0.61242687702178955</v>
      </c>
      <c r="AC30" s="91">
        <f>IF('Amputation Summary'!$Q$4=3, Y30, IF('Amputation Summary'!$Q$4=1, T30, IF('Amputation Summary'!$Q$4=2, AG30)))</f>
        <v>0.32973277568817139</v>
      </c>
      <c r="AD30">
        <v>80</v>
      </c>
      <c r="AE30">
        <v>95</v>
      </c>
      <c r="AF30">
        <f t="shared" si="3"/>
        <v>9</v>
      </c>
      <c r="AG30">
        <f t="shared" si="4"/>
        <v>6</v>
      </c>
      <c r="AH30">
        <v>7</v>
      </c>
      <c r="AI30">
        <v>75</v>
      </c>
      <c r="AJ30">
        <v>1</v>
      </c>
      <c r="AK30" s="91">
        <f>IF('Amputation Summary'!$Q$4=3, AJ30, IF('Amputation Summary'!$Q$4=1, AH30, IF('Amputation Summary'!$Q$4=2, AI30)))</f>
        <v>1</v>
      </c>
      <c r="AL30" s="124">
        <v>0.89</v>
      </c>
    </row>
    <row r="31" spans="1:38" x14ac:dyDescent="0.25">
      <c r="A31" s="88" t="s">
        <v>66</v>
      </c>
      <c r="B31" s="88" t="s">
        <v>67</v>
      </c>
      <c r="C31" s="89">
        <v>162</v>
      </c>
      <c r="D31" s="89" t="s">
        <v>704</v>
      </c>
      <c r="E31" s="89" t="s">
        <v>705</v>
      </c>
      <c r="F31">
        <v>83</v>
      </c>
      <c r="G31" s="90">
        <v>0.74000000953674316</v>
      </c>
      <c r="H31" s="54">
        <v>0.46</v>
      </c>
      <c r="I31" s="54">
        <v>0.48</v>
      </c>
      <c r="J31" s="54">
        <v>6.5000000000000002E-2</v>
      </c>
      <c r="K31" s="40" t="str">
        <f t="shared" si="5"/>
        <v>RJ1</v>
      </c>
      <c r="L31" s="40">
        <f t="shared" si="1"/>
        <v>1</v>
      </c>
      <c r="M31" s="40">
        <f t="shared" si="2"/>
        <v>1</v>
      </c>
      <c r="N31" s="91">
        <f>IF('Amputation Summary'!$Q$33=2, RANK(I31,I$8:I$82,1)+COUNTIF($I$8:I31,I31)-1, IF('Amputation Summary'!$Q$33=1, RANK(H31,H$8:H$82,1)+COUNTIF($H$8:H31,H31)-1))</f>
        <v>5</v>
      </c>
      <c r="O31" s="92">
        <f>IF('Amputation Summary'!$Q$33=2, I31, IF('Amputation Summary'!$Q$33=1, H31))</f>
        <v>0.46</v>
      </c>
      <c r="P31" s="91">
        <v>8</v>
      </c>
      <c r="Q31" s="91">
        <v>2</v>
      </c>
      <c r="R31" s="91">
        <f t="shared" si="6"/>
        <v>6</v>
      </c>
      <c r="S31" s="91">
        <v>29</v>
      </c>
      <c r="T31" s="91">
        <f t="shared" si="7"/>
        <v>21</v>
      </c>
      <c r="U31" s="91">
        <v>17</v>
      </c>
      <c r="V31" s="90">
        <v>0.54198020696640015</v>
      </c>
      <c r="W31" s="90">
        <v>1.0103690624237061</v>
      </c>
      <c r="X31" s="90">
        <f t="shared" si="8"/>
        <v>0.19801980257034302</v>
      </c>
      <c r="Y31" s="90">
        <f t="shared" si="9"/>
        <v>0.27036905288696289</v>
      </c>
      <c r="Z31" s="91">
        <f>IF('Amputation Summary'!$Q$4=3, RANK(G31,G$8:G$82,1)+COUNTIF($G$8:G31,G31)-1, IF('Amputation Summary'!$Q$4&lt;3, RANK(U31,U$8:U$82,1)+COUNTIF($U$8:U31,U31)-1))</f>
        <v>25</v>
      </c>
      <c r="AA31" s="91">
        <f>IF('Amputation Summary'!$Q$4=3,G31, IF( 'Amputation Summary'!$Q$4=1, P31, IF('Amputation Summary'!$Q$4=2, F31)))</f>
        <v>0.74000000953674316</v>
      </c>
      <c r="AB31" s="91">
        <f>IF('Amputation Summary'!$Q$4=3, V31, IF('Amputation Summary'!$Q$4=1, R31, IF('Amputation Summary'!$Q$4=2, AF31)))</f>
        <v>0.54198020696640015</v>
      </c>
      <c r="AC31" s="91">
        <f>IF('Amputation Summary'!$Q$4=3, Y31, IF('Amputation Summary'!$Q$4=1, T31, IF('Amputation Summary'!$Q$4=2, AG31)))</f>
        <v>0.27036905288696289</v>
      </c>
      <c r="AD31">
        <v>73</v>
      </c>
      <c r="AE31">
        <v>91</v>
      </c>
      <c r="AF31">
        <f t="shared" si="3"/>
        <v>10</v>
      </c>
      <c r="AG31">
        <f t="shared" si="4"/>
        <v>8</v>
      </c>
      <c r="AH31">
        <v>7</v>
      </c>
      <c r="AI31">
        <v>75</v>
      </c>
      <c r="AJ31">
        <v>1</v>
      </c>
      <c r="AK31" s="91">
        <f>IF('Amputation Summary'!$Q$4=3, AJ31, IF('Amputation Summary'!$Q$4=1, AH31, IF('Amputation Summary'!$Q$4=2, AI31)))</f>
        <v>1</v>
      </c>
      <c r="AL31" s="124">
        <v>0.83</v>
      </c>
    </row>
    <row r="32" spans="1:38" x14ac:dyDescent="0.25">
      <c r="A32" s="88" t="s">
        <v>130</v>
      </c>
      <c r="B32" s="88" t="s">
        <v>618</v>
      </c>
      <c r="C32" s="89">
        <v>237</v>
      </c>
      <c r="D32" s="89" t="s">
        <v>706</v>
      </c>
      <c r="E32" s="89" t="s">
        <v>707</v>
      </c>
      <c r="F32">
        <v>69</v>
      </c>
      <c r="G32" s="90">
        <v>0.44999998807907104</v>
      </c>
      <c r="H32" s="54">
        <v>0.74</v>
      </c>
      <c r="I32" s="54">
        <v>0.41</v>
      </c>
      <c r="J32" s="54">
        <v>8.5000000000000006E-2</v>
      </c>
      <c r="K32" s="40" t="str">
        <f t="shared" si="5"/>
        <v>RWA</v>
      </c>
      <c r="L32" s="40">
        <f t="shared" si="1"/>
        <v>1</v>
      </c>
      <c r="M32" s="40">
        <f t="shared" si="2"/>
        <v>1</v>
      </c>
      <c r="N32" s="91">
        <f>IF('Amputation Summary'!$Q$33=2, RANK(I32,I$8:I$82,1)+COUNTIF($I$8:I32,I32)-1, IF('Amputation Summary'!$Q$33=1, RANK(H32,H$8:H$82,1)+COUNTIF($H$8:H32,H32)-1))</f>
        <v>14</v>
      </c>
      <c r="O32" s="92">
        <f>IF('Amputation Summary'!$Q$33=2, I32, IF('Amputation Summary'!$Q$33=1, H32))</f>
        <v>0.74</v>
      </c>
      <c r="P32" s="91">
        <v>16</v>
      </c>
      <c r="Q32" s="91">
        <v>6</v>
      </c>
      <c r="R32" s="91">
        <f t="shared" si="6"/>
        <v>10</v>
      </c>
      <c r="S32" s="91">
        <v>46</v>
      </c>
      <c r="T32" s="91">
        <f t="shared" si="7"/>
        <v>30</v>
      </c>
      <c r="U32" s="91">
        <v>63</v>
      </c>
      <c r="V32" s="90">
        <v>0.34154438972473145</v>
      </c>
      <c r="W32" s="90">
        <v>0.59289509057998657</v>
      </c>
      <c r="X32" s="90">
        <f t="shared" si="8"/>
        <v>0.1084555983543396</v>
      </c>
      <c r="Y32" s="90">
        <f t="shared" si="9"/>
        <v>0.14289510250091553</v>
      </c>
      <c r="Z32" s="91">
        <f>IF('Amputation Summary'!$Q$4=3, RANK(G32,G$8:G$82,1)+COUNTIF($G$8:G32,G32)-1, IF('Amputation Summary'!$Q$4&lt;3, RANK(U32,U$8:U$82,1)+COUNTIF($U$8:U32,U32)-1))</f>
        <v>7</v>
      </c>
      <c r="AA32" s="91">
        <f>IF('Amputation Summary'!$Q$4=3,G32, IF( 'Amputation Summary'!$Q$4=1, P32, IF('Amputation Summary'!$Q$4=2, F32)))</f>
        <v>0.44999998807907104</v>
      </c>
      <c r="AB32" s="91">
        <f>IF('Amputation Summary'!$Q$4=3, V32, IF('Amputation Summary'!$Q$4=1, R32, IF('Amputation Summary'!$Q$4=2, AF32)))</f>
        <v>0.34154438972473145</v>
      </c>
      <c r="AC32" s="91">
        <f>IF('Amputation Summary'!$Q$4=3, Y32, IF('Amputation Summary'!$Q$4=1, T32, IF('Amputation Summary'!$Q$4=2, AG32)))</f>
        <v>0.14289510250091553</v>
      </c>
      <c r="AD32">
        <v>59</v>
      </c>
      <c r="AE32">
        <v>77</v>
      </c>
      <c r="AF32">
        <f t="shared" si="3"/>
        <v>10</v>
      </c>
      <c r="AG32">
        <f t="shared" si="4"/>
        <v>8</v>
      </c>
      <c r="AH32">
        <v>7</v>
      </c>
      <c r="AI32">
        <v>75</v>
      </c>
      <c r="AJ32">
        <v>1</v>
      </c>
      <c r="AK32" s="91">
        <f>IF('Amputation Summary'!$Q$4=3, AJ32, IF('Amputation Summary'!$Q$4=1, AH32, IF('Amputation Summary'!$Q$4=2, AI32)))</f>
        <v>1</v>
      </c>
      <c r="AL32" s="124">
        <v>0.69</v>
      </c>
    </row>
    <row r="33" spans="1:38" x14ac:dyDescent="0.25">
      <c r="A33" s="88" t="s">
        <v>158</v>
      </c>
      <c r="B33" s="88" t="s">
        <v>159</v>
      </c>
      <c r="C33" s="89">
        <v>98</v>
      </c>
      <c r="D33" s="89" t="s">
        <v>708</v>
      </c>
      <c r="E33" s="89" t="s">
        <v>709</v>
      </c>
      <c r="F33">
        <v>82</v>
      </c>
      <c r="G33" s="90">
        <v>0.77999997138977051</v>
      </c>
      <c r="H33" s="54">
        <v>0.79</v>
      </c>
      <c r="I33" s="54">
        <v>0.01</v>
      </c>
      <c r="J33" s="54">
        <v>2.7E-2</v>
      </c>
      <c r="K33" s="40" t="str">
        <f t="shared" si="5"/>
        <v>RYJ</v>
      </c>
      <c r="L33" s="40">
        <f t="shared" si="1"/>
        <v>1</v>
      </c>
      <c r="M33" s="40">
        <f t="shared" si="2"/>
        <v>1</v>
      </c>
      <c r="N33" s="91">
        <f>IF('Amputation Summary'!$Q$33=2, RANK(I33,I$8:I$82,1)+COUNTIF($I$8:I33,I33)-1, IF('Amputation Summary'!$Q$33=1, RANK(H33,H$8:H$82,1)+COUNTIF($H$8:H33,H33)-1))</f>
        <v>18</v>
      </c>
      <c r="O33" s="92">
        <f>IF('Amputation Summary'!$Q$33=2, I33, IF('Amputation Summary'!$Q$33=1, H33))</f>
        <v>0.79</v>
      </c>
      <c r="P33" s="91">
        <v>11</v>
      </c>
      <c r="Q33" s="91">
        <v>6</v>
      </c>
      <c r="R33" s="91">
        <f t="shared" si="6"/>
        <v>5</v>
      </c>
      <c r="S33" s="91">
        <v>27</v>
      </c>
      <c r="T33" s="91">
        <f t="shared" si="7"/>
        <v>16</v>
      </c>
      <c r="U33" s="91">
        <v>52</v>
      </c>
      <c r="V33" s="90">
        <v>0.52338206768035889</v>
      </c>
      <c r="W33" s="90">
        <v>1.1624394655227661</v>
      </c>
      <c r="X33" s="90">
        <f t="shared" si="8"/>
        <v>0.25661790370941162</v>
      </c>
      <c r="Y33" s="90">
        <f t="shared" si="9"/>
        <v>0.38243949413299561</v>
      </c>
      <c r="Z33" s="91">
        <f>IF('Amputation Summary'!$Q$4=3, RANK(G33,G$8:G$82,1)+COUNTIF($G$8:G33,G33)-1, IF('Amputation Summary'!$Q$4&lt;3, RANK(U33,U$8:U$82,1)+COUNTIF($U$8:U33,U33)-1))</f>
        <v>30</v>
      </c>
      <c r="AA33" s="91">
        <f>IF('Amputation Summary'!$Q$4=3,G33, IF( 'Amputation Summary'!$Q$4=1, P33, IF('Amputation Summary'!$Q$4=2, F33)))</f>
        <v>0.77999997138977051</v>
      </c>
      <c r="AB33" s="91">
        <f>IF('Amputation Summary'!$Q$4=3, V33, IF('Amputation Summary'!$Q$4=1, R33, IF('Amputation Summary'!$Q$4=2, AF33)))</f>
        <v>0.52338206768035889</v>
      </c>
      <c r="AC33" s="91">
        <f>IF('Amputation Summary'!$Q$4=3, Y33, IF('Amputation Summary'!$Q$4=1, T33, IF('Amputation Summary'!$Q$4=2, AG33)))</f>
        <v>0.38243949413299561</v>
      </c>
      <c r="AD33">
        <v>69</v>
      </c>
      <c r="AE33">
        <v>91</v>
      </c>
      <c r="AF33">
        <f t="shared" si="3"/>
        <v>13</v>
      </c>
      <c r="AG33">
        <f t="shared" si="4"/>
        <v>9</v>
      </c>
      <c r="AH33">
        <v>7</v>
      </c>
      <c r="AI33">
        <v>75</v>
      </c>
      <c r="AJ33">
        <v>1</v>
      </c>
      <c r="AK33" s="91">
        <f>IF('Amputation Summary'!$Q$4=3, AJ33, IF('Amputation Summary'!$Q$4=1, AH33, IF('Amputation Summary'!$Q$4=2, AI33)))</f>
        <v>1</v>
      </c>
      <c r="AL33" s="124">
        <v>0.82</v>
      </c>
    </row>
    <row r="34" spans="1:38" x14ac:dyDescent="0.25">
      <c r="A34" s="88" t="s">
        <v>74</v>
      </c>
      <c r="B34" s="88" t="s">
        <v>75</v>
      </c>
      <c r="C34" s="89">
        <v>24</v>
      </c>
      <c r="D34" s="89" t="s">
        <v>710</v>
      </c>
      <c r="E34" s="89" t="s">
        <v>711</v>
      </c>
      <c r="F34">
        <v>63</v>
      </c>
      <c r="G34" s="90">
        <v>1.1799999475479126</v>
      </c>
      <c r="H34" s="54">
        <v>0.96</v>
      </c>
      <c r="I34" s="54">
        <v>0.46</v>
      </c>
      <c r="J34" s="54">
        <v>0</v>
      </c>
      <c r="K34" s="40" t="str">
        <f t="shared" si="5"/>
        <v>RJZ</v>
      </c>
      <c r="L34" s="40">
        <f t="shared" si="1"/>
        <v>3</v>
      </c>
      <c r="M34" s="40">
        <f t="shared" si="2"/>
        <v>1</v>
      </c>
      <c r="N34" s="91">
        <f>IF('Amputation Summary'!$Q$33=2, RANK(I34,I$8:I$82,1)+COUNTIF($I$8:I34,I34)-1, IF('Amputation Summary'!$Q$33=1, RANK(H34,H$8:H$82,1)+COUNTIF($H$8:H34,H34)-1))</f>
        <v>47</v>
      </c>
      <c r="O34" s="92">
        <f>IF('Amputation Summary'!$Q$33=2, I34, IF('Amputation Summary'!$Q$33=1, H34))</f>
        <v>0.96</v>
      </c>
      <c r="P34" s="91">
        <v>17</v>
      </c>
      <c r="Q34" s="91">
        <v>5</v>
      </c>
      <c r="R34" s="91">
        <f t="shared" si="6"/>
        <v>12</v>
      </c>
      <c r="S34" s="91">
        <v>55</v>
      </c>
      <c r="T34" s="91">
        <f t="shared" si="7"/>
        <v>38</v>
      </c>
      <c r="U34" s="91">
        <v>66</v>
      </c>
      <c r="V34" s="90">
        <v>0.52864128351211548</v>
      </c>
      <c r="W34" s="90">
        <v>2.6339218616485596</v>
      </c>
      <c r="X34" s="90">
        <f t="shared" si="8"/>
        <v>0.65135866403579712</v>
      </c>
      <c r="Y34" s="90">
        <f t="shared" si="9"/>
        <v>1.453921914100647</v>
      </c>
      <c r="Z34" s="91">
        <f>IF('Amputation Summary'!$Q$4=3, RANK(G34,G$8:G$82,1)+COUNTIF($G$8:G34,G34)-1, IF('Amputation Summary'!$Q$4&lt;3, RANK(U34,U$8:U$82,1)+COUNTIF($U$8:U34,U34)-1))</f>
        <v>57</v>
      </c>
      <c r="AA34" s="91">
        <f>IF('Amputation Summary'!$Q$4=3,G34, IF( 'Amputation Summary'!$Q$4=1, P34, IF('Amputation Summary'!$Q$4=2, F34)))</f>
        <v>1.1799999475479126</v>
      </c>
      <c r="AB34" s="91">
        <f>IF('Amputation Summary'!$Q$4=3, V34, IF('Amputation Summary'!$Q$4=1, R34, IF('Amputation Summary'!$Q$4=2, AF34)))</f>
        <v>0.52864128351211548</v>
      </c>
      <c r="AC34" s="91">
        <f>IF('Amputation Summary'!$Q$4=3, Y34, IF('Amputation Summary'!$Q$4=1, T34, IF('Amputation Summary'!$Q$4=2, AG34)))</f>
        <v>1.453921914100647</v>
      </c>
      <c r="AD34">
        <v>35</v>
      </c>
      <c r="AE34">
        <v>85</v>
      </c>
      <c r="AF34">
        <f t="shared" si="3"/>
        <v>28</v>
      </c>
      <c r="AG34">
        <f t="shared" si="4"/>
        <v>22</v>
      </c>
      <c r="AH34">
        <v>7</v>
      </c>
      <c r="AI34">
        <v>75</v>
      </c>
      <c r="AJ34">
        <v>1</v>
      </c>
      <c r="AK34" s="91">
        <f>IF('Amputation Summary'!$Q$4=3, AJ34, IF('Amputation Summary'!$Q$4=1, AH34, IF('Amputation Summary'!$Q$4=2, AI34)))</f>
        <v>1</v>
      </c>
      <c r="AL34" s="124">
        <v>0.63</v>
      </c>
    </row>
    <row r="35" spans="1:38" x14ac:dyDescent="0.25">
      <c r="A35" s="88" t="s">
        <v>150</v>
      </c>
      <c r="B35" s="88" t="s">
        <v>151</v>
      </c>
      <c r="C35" s="89">
        <v>169</v>
      </c>
      <c r="D35" s="89" t="s">
        <v>712</v>
      </c>
      <c r="E35" s="89" t="s">
        <v>713</v>
      </c>
      <c r="F35">
        <v>85</v>
      </c>
      <c r="G35" s="90">
        <v>1.1699999570846558</v>
      </c>
      <c r="H35" s="54">
        <v>0.96</v>
      </c>
      <c r="I35" s="54">
        <v>0.8</v>
      </c>
      <c r="J35" s="54">
        <v>1.7999999999999999E-2</v>
      </c>
      <c r="K35" s="40" t="str">
        <f t="shared" si="5"/>
        <v>RXN</v>
      </c>
      <c r="L35" s="40">
        <f t="shared" si="1"/>
        <v>3</v>
      </c>
      <c r="M35" s="40">
        <f t="shared" si="2"/>
        <v>3</v>
      </c>
      <c r="N35" s="91">
        <f>IF('Amputation Summary'!$Q$33=2, RANK(I35,I$8:I$82,1)+COUNTIF($I$8:I35,I35)-1, IF('Amputation Summary'!$Q$33=1, RANK(H35,H$8:H$82,1)+COUNTIF($H$8:H35,H35)-1))</f>
        <v>48</v>
      </c>
      <c r="O35" s="92">
        <f>IF('Amputation Summary'!$Q$33=2, I35, IF('Amputation Summary'!$Q$33=1, H35))</f>
        <v>0.96</v>
      </c>
      <c r="P35" s="91">
        <v>10</v>
      </c>
      <c r="Q35" s="91">
        <v>5</v>
      </c>
      <c r="R35" s="91">
        <f t="shared" si="6"/>
        <v>5</v>
      </c>
      <c r="S35" s="91">
        <v>20</v>
      </c>
      <c r="T35" s="91">
        <f t="shared" si="7"/>
        <v>10</v>
      </c>
      <c r="U35" s="91">
        <v>45</v>
      </c>
      <c r="V35" s="90">
        <v>0.86464965343475342</v>
      </c>
      <c r="W35" s="90">
        <v>1.5831844806671143</v>
      </c>
      <c r="X35" s="90">
        <f t="shared" si="8"/>
        <v>0.30535030364990234</v>
      </c>
      <c r="Y35" s="90">
        <f t="shared" si="9"/>
        <v>0.4131845235824585</v>
      </c>
      <c r="Z35" s="91">
        <f>IF('Amputation Summary'!$Q$4=3, RANK(G35,G$8:G$82,1)+COUNTIF($G$8:G35,G35)-1, IF('Amputation Summary'!$Q$4&lt;3, RANK(U35,U$8:U$82,1)+COUNTIF($U$8:U35,U35)-1))</f>
        <v>56</v>
      </c>
      <c r="AA35" s="91">
        <f>IF('Amputation Summary'!$Q$4=3,G35, IF( 'Amputation Summary'!$Q$4=1, P35, IF('Amputation Summary'!$Q$4=2, F35)))</f>
        <v>1.1699999570846558</v>
      </c>
      <c r="AB35" s="91">
        <f>IF('Amputation Summary'!$Q$4=3, V35, IF('Amputation Summary'!$Q$4=1, R35, IF('Amputation Summary'!$Q$4=2, AF35)))</f>
        <v>0.86464965343475342</v>
      </c>
      <c r="AC35" s="91">
        <f>IF('Amputation Summary'!$Q$4=3, Y35, IF('Amputation Summary'!$Q$4=1, T35, IF('Amputation Summary'!$Q$4=2, AG35)))</f>
        <v>0.4131845235824585</v>
      </c>
      <c r="AD35">
        <v>77</v>
      </c>
      <c r="AE35">
        <v>91</v>
      </c>
      <c r="AF35">
        <f t="shared" si="3"/>
        <v>8</v>
      </c>
      <c r="AG35">
        <f t="shared" si="4"/>
        <v>6</v>
      </c>
      <c r="AH35">
        <v>7</v>
      </c>
      <c r="AI35">
        <v>75</v>
      </c>
      <c r="AJ35">
        <v>1</v>
      </c>
      <c r="AK35" s="91">
        <f>IF('Amputation Summary'!$Q$4=3, AJ35, IF('Amputation Summary'!$Q$4=1, AH35, IF('Amputation Summary'!$Q$4=2, AI35)))</f>
        <v>1</v>
      </c>
      <c r="AL35" s="124">
        <v>0.85</v>
      </c>
    </row>
    <row r="36" spans="1:38" x14ac:dyDescent="0.25">
      <c r="A36" s="88" t="s">
        <v>105</v>
      </c>
      <c r="B36" s="88" t="s">
        <v>106</v>
      </c>
      <c r="C36" s="89">
        <v>236</v>
      </c>
      <c r="D36" s="89" t="s">
        <v>714</v>
      </c>
      <c r="E36" s="89" t="s">
        <v>715</v>
      </c>
      <c r="F36">
        <v>79</v>
      </c>
      <c r="G36" s="90">
        <v>1.2100000381469727</v>
      </c>
      <c r="H36" s="54">
        <v>0.93</v>
      </c>
      <c r="I36" s="54">
        <v>0.83</v>
      </c>
      <c r="J36" s="54">
        <v>6.2E-2</v>
      </c>
      <c r="K36" s="40" t="str">
        <f t="shared" si="5"/>
        <v>RR8</v>
      </c>
      <c r="L36" s="40">
        <f t="shared" si="1"/>
        <v>3</v>
      </c>
      <c r="M36" s="40">
        <f t="shared" si="2"/>
        <v>3</v>
      </c>
      <c r="N36" s="91">
        <f>IF('Amputation Summary'!$Q$33=2, RANK(I36,I$8:I$82,1)+COUNTIF($I$8:I36,I36)-1, IF('Amputation Summary'!$Q$33=1, RANK(H36,H$8:H$82,1)+COUNTIF($H$8:H36,H36)-1))</f>
        <v>41</v>
      </c>
      <c r="O36" s="92">
        <f>IF('Amputation Summary'!$Q$33=2, I36, IF('Amputation Summary'!$Q$33=1, H36))</f>
        <v>0.93</v>
      </c>
      <c r="P36" s="91">
        <v>9</v>
      </c>
      <c r="Q36" s="91">
        <v>3</v>
      </c>
      <c r="R36" s="91">
        <f t="shared" si="6"/>
        <v>6</v>
      </c>
      <c r="S36" s="91">
        <v>46</v>
      </c>
      <c r="T36" s="91">
        <f t="shared" si="7"/>
        <v>37</v>
      </c>
      <c r="U36" s="91">
        <v>29</v>
      </c>
      <c r="V36" s="90">
        <v>0.93644368648529053</v>
      </c>
      <c r="W36" s="90">
        <v>1.563468337059021</v>
      </c>
      <c r="X36" s="90">
        <f t="shared" si="8"/>
        <v>0.27355635166168213</v>
      </c>
      <c r="Y36" s="90">
        <f t="shared" si="9"/>
        <v>0.35346829891204834</v>
      </c>
      <c r="Z36" s="91">
        <f>IF('Amputation Summary'!$Q$4=3, RANK(G36,G$8:G$82,1)+COUNTIF($G$8:G36,G36)-1, IF('Amputation Summary'!$Q$4&lt;3, RANK(U36,U$8:U$82,1)+COUNTIF($U$8:U36,U36)-1))</f>
        <v>59</v>
      </c>
      <c r="AA36" s="91">
        <f>IF('Amputation Summary'!$Q$4=3,G36, IF( 'Amputation Summary'!$Q$4=1, P36, IF('Amputation Summary'!$Q$4=2, F36)))</f>
        <v>1.2100000381469727</v>
      </c>
      <c r="AB36" s="91">
        <f>IF('Amputation Summary'!$Q$4=3, V36, IF('Amputation Summary'!$Q$4=1, R36, IF('Amputation Summary'!$Q$4=2, AF36)))</f>
        <v>0.93644368648529053</v>
      </c>
      <c r="AC36" s="91">
        <f>IF('Amputation Summary'!$Q$4=3, Y36, IF('Amputation Summary'!$Q$4=1, T36, IF('Amputation Summary'!$Q$4=2, AG36)))</f>
        <v>0.35346829891204834</v>
      </c>
      <c r="AD36">
        <v>72</v>
      </c>
      <c r="AE36">
        <v>86</v>
      </c>
      <c r="AF36">
        <f t="shared" si="3"/>
        <v>7</v>
      </c>
      <c r="AG36">
        <f t="shared" si="4"/>
        <v>7</v>
      </c>
      <c r="AH36">
        <v>7</v>
      </c>
      <c r="AI36">
        <v>75</v>
      </c>
      <c r="AJ36">
        <v>1</v>
      </c>
      <c r="AK36" s="91">
        <f>IF('Amputation Summary'!$Q$4=3, AJ36, IF('Amputation Summary'!$Q$4=1, AH36, IF('Amputation Summary'!$Q$4=2, AI36)))</f>
        <v>1</v>
      </c>
      <c r="AL36" s="124">
        <v>0.79</v>
      </c>
    </row>
    <row r="37" spans="1:38" x14ac:dyDescent="0.25">
      <c r="A37" s="88" t="s">
        <v>46</v>
      </c>
      <c r="B37" s="88" t="s">
        <v>619</v>
      </c>
      <c r="C37" s="89">
        <v>217</v>
      </c>
      <c r="D37" s="89" t="s">
        <v>716</v>
      </c>
      <c r="E37" s="89" t="s">
        <v>717</v>
      </c>
      <c r="F37">
        <v>87</v>
      </c>
      <c r="G37" s="90">
        <v>1.5199999809265137</v>
      </c>
      <c r="H37" s="54">
        <v>0.78</v>
      </c>
      <c r="I37" s="54">
        <v>0.72</v>
      </c>
      <c r="J37" s="54">
        <v>6.0999999999999999E-2</v>
      </c>
      <c r="K37" s="40" t="str">
        <f t="shared" si="5"/>
        <v>REM</v>
      </c>
      <c r="L37" s="40">
        <f t="shared" si="1"/>
        <v>1</v>
      </c>
      <c r="M37" s="40">
        <f t="shared" si="2"/>
        <v>2</v>
      </c>
      <c r="N37" s="91">
        <f>IF('Amputation Summary'!$Q$33=2, RANK(I37,I$8:I$82,1)+COUNTIF($I$8:I37,I37)-1, IF('Amputation Summary'!$Q$33=1, RANK(H37,H$8:H$82,1)+COUNTIF($H$8:H37,H37)-1))</f>
        <v>16</v>
      </c>
      <c r="O37" s="92">
        <f>IF('Amputation Summary'!$Q$33=2, I37, IF('Amputation Summary'!$Q$33=1, H37))</f>
        <v>0.78</v>
      </c>
      <c r="P37" s="91">
        <v>11</v>
      </c>
      <c r="Q37" s="91">
        <v>4</v>
      </c>
      <c r="R37" s="91">
        <f t="shared" si="6"/>
        <v>7</v>
      </c>
      <c r="S37" s="91">
        <v>22</v>
      </c>
      <c r="T37" s="91">
        <f t="shared" si="7"/>
        <v>11</v>
      </c>
      <c r="U37" s="91">
        <v>47</v>
      </c>
      <c r="V37" s="90">
        <v>1.1579951047897339</v>
      </c>
      <c r="W37" s="90">
        <v>1.995172381401062</v>
      </c>
      <c r="X37" s="90">
        <f t="shared" si="8"/>
        <v>0.36200487613677979</v>
      </c>
      <c r="Y37" s="90">
        <f t="shared" si="9"/>
        <v>0.47517240047454834</v>
      </c>
      <c r="Z37" s="91">
        <f>IF('Amputation Summary'!$Q$4=3, RANK(G37,G$8:G$82,1)+COUNTIF($G$8:G37,G37)-1, IF('Amputation Summary'!$Q$4&lt;3, RANK(U37,U$8:U$82,1)+COUNTIF($U$8:U37,U37)-1))</f>
        <v>65</v>
      </c>
      <c r="AA37" s="91">
        <f>IF('Amputation Summary'!$Q$4=3,G37, IF( 'Amputation Summary'!$Q$4=1, P37, IF('Amputation Summary'!$Q$4=2, F37)))</f>
        <v>1.5199999809265137</v>
      </c>
      <c r="AB37" s="91">
        <f>IF('Amputation Summary'!$Q$4=3, V37, IF('Amputation Summary'!$Q$4=1, R37, IF('Amputation Summary'!$Q$4=2, AF37)))</f>
        <v>1.1579951047897339</v>
      </c>
      <c r="AC37" s="91">
        <f>IF('Amputation Summary'!$Q$4=3, Y37, IF('Amputation Summary'!$Q$4=1, T37, IF('Amputation Summary'!$Q$4=2, AG37)))</f>
        <v>0.47517240047454834</v>
      </c>
      <c r="AD37">
        <v>80</v>
      </c>
      <c r="AE37">
        <v>92</v>
      </c>
      <c r="AF37">
        <f t="shared" si="3"/>
        <v>7</v>
      </c>
      <c r="AG37">
        <f t="shared" si="4"/>
        <v>5</v>
      </c>
      <c r="AH37">
        <v>7</v>
      </c>
      <c r="AI37">
        <v>75</v>
      </c>
      <c r="AJ37">
        <v>1</v>
      </c>
      <c r="AK37" s="91">
        <f>IF('Amputation Summary'!$Q$4=3, AJ37, IF('Amputation Summary'!$Q$4=1, AH37, IF('Amputation Summary'!$Q$4=2, AI37)))</f>
        <v>1</v>
      </c>
      <c r="AL37" s="124">
        <v>0.87</v>
      </c>
    </row>
    <row r="38" spans="1:38" x14ac:dyDescent="0.25">
      <c r="A38" s="88" t="s">
        <v>15</v>
      </c>
      <c r="B38" s="88" t="s">
        <v>620</v>
      </c>
      <c r="C38" s="89">
        <v>76</v>
      </c>
      <c r="D38" s="89" t="s">
        <v>718</v>
      </c>
      <c r="E38" s="89" t="s">
        <v>719</v>
      </c>
      <c r="F38">
        <v>85</v>
      </c>
      <c r="G38" s="90">
        <v>0.55000001192092896</v>
      </c>
      <c r="H38" s="54">
        <v>0.95</v>
      </c>
      <c r="I38" s="54">
        <v>0.59</v>
      </c>
      <c r="J38" s="54">
        <v>4.4999999999999998E-2</v>
      </c>
      <c r="K38" s="40" t="str">
        <f t="shared" si="5"/>
        <v>R1K</v>
      </c>
      <c r="L38" s="40">
        <f t="shared" ref="L38:L67" si="10">+IF(H38&lt;H$2,1,IF(H38&lt;H$3,2,IF(H38&lt;H$4,3,4)))</f>
        <v>3</v>
      </c>
      <c r="M38" s="40">
        <f t="shared" ref="M38:M67" si="11">+IF(I38&lt;I$2,1,IF(I38&lt;I$3,2,IF(I38&lt;I$4,3,4)))</f>
        <v>1</v>
      </c>
      <c r="N38" s="91">
        <f>IF('Amputation Summary'!$Q$33=2, RANK(I38,I$8:I$82,1)+COUNTIF($I$8:I38,I38)-1, IF('Amputation Summary'!$Q$33=1, RANK(H38,H$8:H$82,1)+COUNTIF($H$8:H38,H38)-1))</f>
        <v>43</v>
      </c>
      <c r="O38" s="92">
        <f>IF('Amputation Summary'!$Q$33=2, I38, IF('Amputation Summary'!$Q$33=1, H38))</f>
        <v>0.95</v>
      </c>
      <c r="P38" s="91">
        <v>10</v>
      </c>
      <c r="Q38" s="91">
        <v>4</v>
      </c>
      <c r="R38" s="91">
        <f t="shared" si="6"/>
        <v>6</v>
      </c>
      <c r="S38" s="91">
        <v>21</v>
      </c>
      <c r="T38" s="91">
        <f t="shared" si="7"/>
        <v>11</v>
      </c>
      <c r="U38" s="91">
        <v>37</v>
      </c>
      <c r="V38" s="90">
        <v>0.34383121132850647</v>
      </c>
      <c r="W38" s="90">
        <v>0.87979221343994141</v>
      </c>
      <c r="X38" s="90">
        <f t="shared" si="8"/>
        <v>0.20616880059242249</v>
      </c>
      <c r="Y38" s="90">
        <f t="shared" si="9"/>
        <v>0.32979220151901245</v>
      </c>
      <c r="Z38" s="91">
        <f>IF('Amputation Summary'!$Q$4=3, RANK(G38,G$8:G$82,1)+COUNTIF($G$8:G38,G38)-1, IF('Amputation Summary'!$Q$4&lt;3, RANK(U38,U$8:U$82,1)+COUNTIF($U$8:U38,U38)-1))</f>
        <v>11</v>
      </c>
      <c r="AA38" s="91">
        <f>IF('Amputation Summary'!$Q$4=3,G38, IF( 'Amputation Summary'!$Q$4=1, P38, IF('Amputation Summary'!$Q$4=2, F38)))</f>
        <v>0.55000001192092896</v>
      </c>
      <c r="AB38" s="91">
        <f>IF('Amputation Summary'!$Q$4=3, V38, IF('Amputation Summary'!$Q$4=1, R38, IF('Amputation Summary'!$Q$4=2, AF38)))</f>
        <v>0.34383121132850647</v>
      </c>
      <c r="AC38" s="91">
        <f>IF('Amputation Summary'!$Q$4=3, Y38, IF('Amputation Summary'!$Q$4=1, T38, IF('Amputation Summary'!$Q$4=2, AG38)))</f>
        <v>0.32979220151901245</v>
      </c>
      <c r="AD38">
        <v>74</v>
      </c>
      <c r="AE38">
        <v>93</v>
      </c>
      <c r="AF38">
        <f t="shared" si="3"/>
        <v>11</v>
      </c>
      <c r="AG38">
        <f t="shared" si="4"/>
        <v>8</v>
      </c>
      <c r="AH38">
        <v>7</v>
      </c>
      <c r="AI38">
        <v>75</v>
      </c>
      <c r="AJ38">
        <v>1</v>
      </c>
      <c r="AK38" s="91">
        <f>IF('Amputation Summary'!$Q$4=3, AJ38, IF('Amputation Summary'!$Q$4=1, AH38, IF('Amputation Summary'!$Q$4=2, AI38)))</f>
        <v>1</v>
      </c>
      <c r="AL38" s="124">
        <v>0.85</v>
      </c>
    </row>
    <row r="39" spans="1:38" x14ac:dyDescent="0.25">
      <c r="A39" s="88" t="s">
        <v>11</v>
      </c>
      <c r="B39" s="88" t="s">
        <v>12</v>
      </c>
      <c r="C39" s="89">
        <v>47</v>
      </c>
      <c r="D39" s="89" t="s">
        <v>720</v>
      </c>
      <c r="E39" s="89" t="s">
        <v>721</v>
      </c>
      <c r="F39">
        <v>85</v>
      </c>
      <c r="G39" s="90">
        <v>0.74000000953674316</v>
      </c>
      <c r="H39" s="54">
        <v>0.49</v>
      </c>
      <c r="I39" s="54">
        <v>0.87</v>
      </c>
      <c r="J39" s="54">
        <v>4.2999999999999997E-2</v>
      </c>
      <c r="K39" s="40" t="str">
        <f t="shared" si="5"/>
        <v>R0A</v>
      </c>
      <c r="L39" s="40">
        <f t="shared" si="10"/>
        <v>1</v>
      </c>
      <c r="M39" s="40">
        <f t="shared" si="11"/>
        <v>3</v>
      </c>
      <c r="N39" s="91">
        <f>IF('Amputation Summary'!$Q$33=2, RANK(I39,I$8:I$82,1)+COUNTIF($I$8:I39,I39)-1, IF('Amputation Summary'!$Q$33=1, RANK(H39,H$8:H$82,1)+COUNTIF($H$8:H39,H39)-1))</f>
        <v>7</v>
      </c>
      <c r="O39" s="92">
        <f>IF('Amputation Summary'!$Q$33=2, I39, IF('Amputation Summary'!$Q$33=1, H39))</f>
        <v>0.49</v>
      </c>
      <c r="P39" s="91">
        <v>11</v>
      </c>
      <c r="Q39" s="91">
        <v>3</v>
      </c>
      <c r="R39" s="91">
        <f t="shared" si="6"/>
        <v>8</v>
      </c>
      <c r="S39" s="91">
        <v>21</v>
      </c>
      <c r="T39" s="91">
        <f t="shared" si="7"/>
        <v>10</v>
      </c>
      <c r="U39" s="91">
        <v>46</v>
      </c>
      <c r="V39" s="90">
        <v>0.41505464911460876</v>
      </c>
      <c r="W39" s="90">
        <v>1.3193442821502686</v>
      </c>
      <c r="X39" s="90">
        <f t="shared" si="8"/>
        <v>0.3249453604221344</v>
      </c>
      <c r="Y39" s="90">
        <f t="shared" si="9"/>
        <v>0.57934427261352539</v>
      </c>
      <c r="Z39" s="91">
        <f>IF('Amputation Summary'!$Q$4=3, RANK(G39,G$8:G$82,1)+COUNTIF($G$8:G39,G39)-1, IF('Amputation Summary'!$Q$4&lt;3, RANK(U39,U$8:U$82,1)+COUNTIF($U$8:U39,U39)-1))</f>
        <v>26</v>
      </c>
      <c r="AA39" s="91">
        <f>IF('Amputation Summary'!$Q$4=3,G39, IF( 'Amputation Summary'!$Q$4=1, P39, IF('Amputation Summary'!$Q$4=2, F39)))</f>
        <v>0.74000000953674316</v>
      </c>
      <c r="AB39" s="91">
        <f>IF('Amputation Summary'!$Q$4=3, V39, IF('Amputation Summary'!$Q$4=1, R39, IF('Amputation Summary'!$Q$4=2, AF39)))</f>
        <v>0.41505464911460876</v>
      </c>
      <c r="AC39" s="91">
        <f>IF('Amputation Summary'!$Q$4=3, Y39, IF('Amputation Summary'!$Q$4=1, T39, IF('Amputation Summary'!$Q$4=2, AG39)))</f>
        <v>0.57934427261352539</v>
      </c>
      <c r="AD39">
        <v>69</v>
      </c>
      <c r="AE39">
        <v>94</v>
      </c>
      <c r="AF39">
        <f t="shared" si="3"/>
        <v>16</v>
      </c>
      <c r="AG39">
        <f t="shared" si="4"/>
        <v>9</v>
      </c>
      <c r="AH39">
        <v>7</v>
      </c>
      <c r="AI39">
        <v>75</v>
      </c>
      <c r="AJ39">
        <v>1</v>
      </c>
      <c r="AK39" s="91">
        <f>IF('Amputation Summary'!$Q$4=3, AJ39, IF('Amputation Summary'!$Q$4=1, AH39, IF('Amputation Summary'!$Q$4=2, AI39)))</f>
        <v>1</v>
      </c>
      <c r="AL39" s="124">
        <v>0.85</v>
      </c>
    </row>
    <row r="40" spans="1:38" x14ac:dyDescent="0.25">
      <c r="A40" s="88" t="s">
        <v>95</v>
      </c>
      <c r="B40" s="88" t="s">
        <v>96</v>
      </c>
      <c r="C40" s="89">
        <v>39</v>
      </c>
      <c r="D40" s="89" t="s">
        <v>722</v>
      </c>
      <c r="E40" s="89" t="s">
        <v>723</v>
      </c>
      <c r="F40">
        <v>96</v>
      </c>
      <c r="G40" s="90">
        <v>1.440000057220459</v>
      </c>
      <c r="H40" s="54">
        <v>0.97</v>
      </c>
      <c r="I40" s="54">
        <v>0.69</v>
      </c>
      <c r="J40" s="54">
        <v>0</v>
      </c>
      <c r="K40" s="40" t="str">
        <f t="shared" si="5"/>
        <v>RPA</v>
      </c>
      <c r="L40" s="40">
        <f t="shared" si="10"/>
        <v>4</v>
      </c>
      <c r="M40" s="40">
        <f t="shared" si="11"/>
        <v>2</v>
      </c>
      <c r="N40" s="91">
        <f>IF('Amputation Summary'!$Q$33=2, RANK(I40,I$8:I$82,1)+COUNTIF($I$8:I40,I40)-1, IF('Amputation Summary'!$Q$33=1, RANK(H40,H$8:H$82,1)+COUNTIF($H$8:H40,H40)-1))</f>
        <v>54</v>
      </c>
      <c r="O40" s="92">
        <f>IF('Amputation Summary'!$Q$33=2, I40, IF('Amputation Summary'!$Q$33=1, H40))</f>
        <v>0.97</v>
      </c>
      <c r="P40" s="91">
        <v>9</v>
      </c>
      <c r="Q40" s="91">
        <v>3</v>
      </c>
      <c r="R40" s="91">
        <f t="shared" si="6"/>
        <v>6</v>
      </c>
      <c r="S40" s="91">
        <v>15</v>
      </c>
      <c r="T40" s="91">
        <f t="shared" si="7"/>
        <v>6</v>
      </c>
      <c r="U40" s="91">
        <v>27</v>
      </c>
      <c r="V40" s="90">
        <v>0.76077228784561157</v>
      </c>
      <c r="W40" s="90">
        <v>2.7256515026092529</v>
      </c>
      <c r="X40" s="90">
        <f t="shared" si="8"/>
        <v>0.67922776937484741</v>
      </c>
      <c r="Y40" s="90">
        <f t="shared" si="9"/>
        <v>1.2856514453887939</v>
      </c>
      <c r="Z40" s="91">
        <f>IF('Amputation Summary'!$Q$4=3, RANK(G40,G$8:G$82,1)+COUNTIF($G$8:G40,G40)-1, IF('Amputation Summary'!$Q$4&lt;3, RANK(U40,U$8:U$82,1)+COUNTIF($U$8:U40,U40)-1))</f>
        <v>64</v>
      </c>
      <c r="AA40" s="91">
        <f>IF('Amputation Summary'!$Q$4=3,G40, IF( 'Amputation Summary'!$Q$4=1, P40, IF('Amputation Summary'!$Q$4=2, F40)))</f>
        <v>1.440000057220459</v>
      </c>
      <c r="AB40" s="91">
        <f>IF('Amputation Summary'!$Q$4=3, V40, IF('Amputation Summary'!$Q$4=1, R40, IF('Amputation Summary'!$Q$4=2, AF40)))</f>
        <v>0.76077228784561157</v>
      </c>
      <c r="AC40" s="91">
        <f>IF('Amputation Summary'!$Q$4=3, Y40, IF('Amputation Summary'!$Q$4=1, T40, IF('Amputation Summary'!$Q$4=2, AG40)))</f>
        <v>1.2856514453887939</v>
      </c>
      <c r="AD40">
        <v>81</v>
      </c>
      <c r="AE40">
        <v>100</v>
      </c>
      <c r="AF40">
        <f t="shared" ref="AF40:AF71" si="12">F40-AD40</f>
        <v>15</v>
      </c>
      <c r="AG40">
        <f t="shared" ref="AG40:AG71" si="13">AE40-F40</f>
        <v>4</v>
      </c>
      <c r="AH40">
        <v>7</v>
      </c>
      <c r="AI40">
        <v>75</v>
      </c>
      <c r="AJ40">
        <v>1</v>
      </c>
      <c r="AK40" s="91">
        <f>IF('Amputation Summary'!$Q$4=3, AJ40, IF('Amputation Summary'!$Q$4=1, AH40, IF('Amputation Summary'!$Q$4=2, AI40)))</f>
        <v>1</v>
      </c>
      <c r="AL40" s="124">
        <v>0.96</v>
      </c>
    </row>
    <row r="41" spans="1:38" x14ac:dyDescent="0.25">
      <c r="A41" s="88" t="s">
        <v>99</v>
      </c>
      <c r="B41" s="88" t="s">
        <v>100</v>
      </c>
      <c r="C41" s="89">
        <v>61</v>
      </c>
      <c r="D41" s="89" t="s">
        <v>724</v>
      </c>
      <c r="E41" s="89" t="s">
        <v>725</v>
      </c>
      <c r="F41">
        <v>90</v>
      </c>
      <c r="G41" s="90">
        <v>0.56000000238418579</v>
      </c>
      <c r="H41" s="54">
        <v>0.79</v>
      </c>
      <c r="I41" s="54">
        <v>0.26</v>
      </c>
      <c r="J41" s="54">
        <v>0.05</v>
      </c>
      <c r="K41" s="40" t="str">
        <f t="shared" si="5"/>
        <v>RQ8</v>
      </c>
      <c r="L41" s="40">
        <f t="shared" si="10"/>
        <v>1</v>
      </c>
      <c r="M41" s="40">
        <f t="shared" si="11"/>
        <v>1</v>
      </c>
      <c r="N41" s="91">
        <f>IF('Amputation Summary'!$Q$33=2, RANK(I41,I$8:I$82,1)+COUNTIF($I$8:I41,I41)-1, IF('Amputation Summary'!$Q$33=1, RANK(H41,H$8:H$82,1)+COUNTIF($H$8:H41,H41)-1))</f>
        <v>19</v>
      </c>
      <c r="O41" s="92">
        <f>IF('Amputation Summary'!$Q$33=2, I41, IF('Amputation Summary'!$Q$33=1, H41))</f>
        <v>0.79</v>
      </c>
      <c r="P41" s="91">
        <v>7</v>
      </c>
      <c r="Q41" s="91">
        <v>3</v>
      </c>
      <c r="R41" s="91">
        <f t="shared" si="6"/>
        <v>4</v>
      </c>
      <c r="S41" s="91">
        <v>14</v>
      </c>
      <c r="T41" s="91">
        <f t="shared" si="7"/>
        <v>7</v>
      </c>
      <c r="U41" s="91">
        <v>12</v>
      </c>
      <c r="V41" s="90">
        <v>0.33206382393836975</v>
      </c>
      <c r="W41" s="90">
        <v>0.9443967342376709</v>
      </c>
      <c r="X41" s="90">
        <f t="shared" si="8"/>
        <v>0.22793617844581604</v>
      </c>
      <c r="Y41" s="90">
        <f t="shared" si="9"/>
        <v>0.38439673185348511</v>
      </c>
      <c r="Z41" s="91">
        <f>IF('Amputation Summary'!$Q$4=3, RANK(G41,G$8:G$82,1)+COUNTIF($G$8:G41,G41)-1, IF('Amputation Summary'!$Q$4&lt;3, RANK(U41,U$8:U$82,1)+COUNTIF($U$8:U41,U41)-1))</f>
        <v>13</v>
      </c>
      <c r="AA41" s="91">
        <f>IF('Amputation Summary'!$Q$4=3,G41, IF( 'Amputation Summary'!$Q$4=1, P41, IF('Amputation Summary'!$Q$4=2, F41)))</f>
        <v>0.56000000238418579</v>
      </c>
      <c r="AB41" s="91">
        <f>IF('Amputation Summary'!$Q$4=3, V41, IF('Amputation Summary'!$Q$4=1, R41, IF('Amputation Summary'!$Q$4=2, AF41)))</f>
        <v>0.33206382393836975</v>
      </c>
      <c r="AC41" s="91">
        <f>IF('Amputation Summary'!$Q$4=3, Y41, IF('Amputation Summary'!$Q$4=1, T41, IF('Amputation Summary'!$Q$4=2, AG41)))</f>
        <v>0.38439673185348511</v>
      </c>
      <c r="AD41">
        <v>73</v>
      </c>
      <c r="AE41">
        <v>98</v>
      </c>
      <c r="AF41">
        <f t="shared" si="12"/>
        <v>17</v>
      </c>
      <c r="AG41">
        <f t="shared" si="13"/>
        <v>8</v>
      </c>
      <c r="AH41">
        <v>7</v>
      </c>
      <c r="AI41">
        <v>75</v>
      </c>
      <c r="AJ41">
        <v>1</v>
      </c>
      <c r="AK41" s="91">
        <f>IF('Amputation Summary'!$Q$4=3, AJ41, IF('Amputation Summary'!$Q$4=1, AH41, IF('Amputation Summary'!$Q$4=2, AI41)))</f>
        <v>1</v>
      </c>
      <c r="AL41" s="124">
        <v>0.9</v>
      </c>
    </row>
    <row r="42" spans="1:38" x14ac:dyDescent="0.25">
      <c r="A42" s="88" t="s">
        <v>113</v>
      </c>
      <c r="B42" s="88" t="s">
        <v>114</v>
      </c>
      <c r="C42" s="89">
        <v>352</v>
      </c>
      <c r="D42" s="89" t="s">
        <v>726</v>
      </c>
      <c r="E42" s="89" t="s">
        <v>727</v>
      </c>
      <c r="F42">
        <v>74</v>
      </c>
      <c r="G42" s="90">
        <v>1.8200000524520874</v>
      </c>
      <c r="H42" s="54">
        <v>0.37</v>
      </c>
      <c r="I42" s="54">
        <v>0.36</v>
      </c>
      <c r="J42" s="54">
        <v>5.2999999999999999E-2</v>
      </c>
      <c r="K42" s="40" t="str">
        <f t="shared" si="5"/>
        <v>RTD</v>
      </c>
      <c r="L42" s="40">
        <f t="shared" si="10"/>
        <v>1</v>
      </c>
      <c r="M42" s="40">
        <f t="shared" si="11"/>
        <v>1</v>
      </c>
      <c r="N42" s="91">
        <f>IF('Amputation Summary'!$Q$33=2, RANK(I42,I$8:I$82,1)+COUNTIF($I$8:I42,I42)-1, IF('Amputation Summary'!$Q$33=1, RANK(H42,H$8:H$82,1)+COUNTIF($H$8:H42,H42)-1))</f>
        <v>3</v>
      </c>
      <c r="O42" s="92">
        <f>IF('Amputation Summary'!$Q$33=2, I42, IF('Amputation Summary'!$Q$33=1, H42))</f>
        <v>0.37</v>
      </c>
      <c r="P42" s="91">
        <v>14</v>
      </c>
      <c r="Q42" s="91">
        <v>5</v>
      </c>
      <c r="R42" s="91">
        <f t="shared" si="6"/>
        <v>9</v>
      </c>
      <c r="S42" s="91">
        <v>33</v>
      </c>
      <c r="T42" s="91">
        <f t="shared" si="7"/>
        <v>19</v>
      </c>
      <c r="U42" s="91">
        <v>59</v>
      </c>
      <c r="V42" s="90">
        <v>1.4630651473999023</v>
      </c>
      <c r="W42" s="90">
        <v>2.2640140056610107</v>
      </c>
      <c r="X42" s="90">
        <f t="shared" si="8"/>
        <v>0.35693490505218506</v>
      </c>
      <c r="Y42" s="90">
        <f t="shared" si="9"/>
        <v>0.44401395320892334</v>
      </c>
      <c r="Z42" s="91">
        <f>IF('Amputation Summary'!$Q$4=3, RANK(G42,G$8:G$82,1)+COUNTIF($G$8:G42,G42)-1, IF('Amputation Summary'!$Q$4&lt;3, RANK(U42,U$8:U$82,1)+COUNTIF($U$8:U42,U42)-1))</f>
        <v>69</v>
      </c>
      <c r="AA42" s="91">
        <f>IF('Amputation Summary'!$Q$4=3,G42, IF( 'Amputation Summary'!$Q$4=1, P42, IF('Amputation Summary'!$Q$4=2, F42)))</f>
        <v>1.8200000524520874</v>
      </c>
      <c r="AB42" s="91">
        <f>IF('Amputation Summary'!$Q$4=3, V42, IF('Amputation Summary'!$Q$4=1, R42, IF('Amputation Summary'!$Q$4=2, AF42)))</f>
        <v>1.4630651473999023</v>
      </c>
      <c r="AC42" s="91">
        <f>IF('Amputation Summary'!$Q$4=3, Y42, IF('Amputation Summary'!$Q$4=1, T42, IF('Amputation Summary'!$Q$4=2, AG42)))</f>
        <v>0.44401395320892334</v>
      </c>
      <c r="AD42">
        <v>49</v>
      </c>
      <c r="AE42">
        <v>91</v>
      </c>
      <c r="AF42">
        <f t="shared" si="12"/>
        <v>25</v>
      </c>
      <c r="AG42">
        <f t="shared" si="13"/>
        <v>17</v>
      </c>
      <c r="AH42">
        <v>7</v>
      </c>
      <c r="AI42">
        <v>75</v>
      </c>
      <c r="AJ42">
        <v>1</v>
      </c>
      <c r="AK42" s="91">
        <f>IF('Amputation Summary'!$Q$4=3, AJ42, IF('Amputation Summary'!$Q$4=1, AH42, IF('Amputation Summary'!$Q$4=2, AI42)))</f>
        <v>1</v>
      </c>
      <c r="AL42" s="124">
        <v>0.74</v>
      </c>
    </row>
    <row r="43" spans="1:38" x14ac:dyDescent="0.25">
      <c r="A43" s="88" t="s">
        <v>160</v>
      </c>
      <c r="B43" s="88" t="s">
        <v>161</v>
      </c>
      <c r="C43" s="89">
        <v>7</v>
      </c>
      <c r="D43" s="89" t="s">
        <v>728</v>
      </c>
      <c r="E43" s="89" t="s">
        <v>729</v>
      </c>
      <c r="F43">
        <v>100</v>
      </c>
      <c r="G43" s="90">
        <v>0.75</v>
      </c>
      <c r="H43" s="54">
        <v>1</v>
      </c>
      <c r="I43" s="54">
        <v>0.43</v>
      </c>
      <c r="J43" s="54">
        <v>0.26400000000000001</v>
      </c>
      <c r="K43" s="40" t="str">
        <f t="shared" si="5"/>
        <v>SA999</v>
      </c>
      <c r="L43" s="40">
        <f t="shared" si="10"/>
        <v>4</v>
      </c>
      <c r="M43" s="40">
        <f t="shared" si="11"/>
        <v>1</v>
      </c>
      <c r="N43" s="91">
        <f>IF('Amputation Summary'!$Q$33=2, RANK(I43,I$8:I$82,1)+COUNTIF($I$8:I43,I43)-1, IF('Amputation Summary'!$Q$33=1, RANK(H43,H$8:H$82,1)+COUNTIF($H$8:H43,H43)-1))</f>
        <v>68</v>
      </c>
      <c r="O43" s="92">
        <f>IF('Amputation Summary'!$Q$33=2, I43, IF('Amputation Summary'!$Q$33=1, H43))</f>
        <v>1</v>
      </c>
      <c r="P43" s="91">
        <v>9</v>
      </c>
      <c r="Q43" s="91">
        <v>5</v>
      </c>
      <c r="R43" s="91">
        <f t="shared" si="6"/>
        <v>4</v>
      </c>
      <c r="S43" s="91">
        <v>23</v>
      </c>
      <c r="T43" s="91">
        <f t="shared" si="7"/>
        <v>14</v>
      </c>
      <c r="U43" s="91">
        <v>34</v>
      </c>
      <c r="V43" s="90">
        <v>0.1678546667098999</v>
      </c>
      <c r="W43" s="90">
        <v>3.3511133193969727</v>
      </c>
      <c r="X43" s="90">
        <f t="shared" si="8"/>
        <v>0.5821453332901001</v>
      </c>
      <c r="Y43" s="90">
        <f t="shared" si="9"/>
        <v>2.6011133193969727</v>
      </c>
      <c r="Z43" s="91">
        <f>IF('Amputation Summary'!$Q$4=3, RANK(G43,G$8:G$82,1)+COUNTIF($G$8:G43,G43)-1, IF('Amputation Summary'!$Q$4&lt;3, RANK(U43,U$8:U$82,1)+COUNTIF($U$8:U43,U43)-1))</f>
        <v>27</v>
      </c>
      <c r="AA43" s="91">
        <f>IF('Amputation Summary'!$Q$4=3,G43, IF( 'Amputation Summary'!$Q$4=1, P43, IF('Amputation Summary'!$Q$4=2, F43)))</f>
        <v>0.75</v>
      </c>
      <c r="AB43" s="91">
        <f>IF('Amputation Summary'!$Q$4=3, V43, IF('Amputation Summary'!$Q$4=1, R43, IF('Amputation Summary'!$Q$4=2, AF43)))</f>
        <v>0.1678546667098999</v>
      </c>
      <c r="AC43" s="91">
        <f>IF('Amputation Summary'!$Q$4=3, Y43, IF('Amputation Summary'!$Q$4=1, T43, IF('Amputation Summary'!$Q$4=2, AG43)))</f>
        <v>2.6011133193969727</v>
      </c>
      <c r="AD43">
        <v>54</v>
      </c>
      <c r="AE43">
        <v>100</v>
      </c>
      <c r="AF43">
        <f t="shared" si="12"/>
        <v>46</v>
      </c>
      <c r="AG43">
        <f t="shared" si="13"/>
        <v>0</v>
      </c>
      <c r="AH43">
        <v>7</v>
      </c>
      <c r="AI43">
        <v>75</v>
      </c>
      <c r="AJ43">
        <v>1</v>
      </c>
      <c r="AK43" s="91">
        <f>IF('Amputation Summary'!$Q$4=3, AJ43, IF('Amputation Summary'!$Q$4=1, AH43, IF('Amputation Summary'!$Q$4=2, AI43)))</f>
        <v>1</v>
      </c>
      <c r="AL43" s="124">
        <v>1</v>
      </c>
    </row>
    <row r="44" spans="1:38" x14ac:dyDescent="0.25">
      <c r="A44" s="88" t="s">
        <v>170</v>
      </c>
      <c r="B44" s="88" t="s">
        <v>171</v>
      </c>
      <c r="C44" s="89">
        <v>28</v>
      </c>
      <c r="D44" s="89" t="s">
        <v>730</v>
      </c>
      <c r="E44" s="89" t="s">
        <v>731</v>
      </c>
      <c r="F44">
        <v>88</v>
      </c>
      <c r="G44" s="90">
        <v>1.3300000429153442</v>
      </c>
      <c r="H44" s="54">
        <v>0.96</v>
      </c>
      <c r="I44" s="54">
        <v>0.89</v>
      </c>
      <c r="J44" s="54">
        <v>8.2000000000000003E-2</v>
      </c>
      <c r="K44" s="40" t="str">
        <f t="shared" si="5"/>
        <v>SN999</v>
      </c>
      <c r="L44" s="40">
        <f t="shared" si="10"/>
        <v>3</v>
      </c>
      <c r="M44" s="40">
        <f t="shared" si="11"/>
        <v>3</v>
      </c>
      <c r="N44" s="91">
        <f>IF('Amputation Summary'!$Q$33=2, RANK(I44,I$8:I$82,1)+COUNTIF($I$8:I44,I44)-1, IF('Amputation Summary'!$Q$33=1, RANK(H44,H$8:H$82,1)+COUNTIF($H$8:H44,H44)-1))</f>
        <v>49</v>
      </c>
      <c r="O44" s="92">
        <f>IF('Amputation Summary'!$Q$33=2, I44, IF('Amputation Summary'!$Q$33=1, H44))</f>
        <v>0.96</v>
      </c>
      <c r="P44" s="91">
        <v>5</v>
      </c>
      <c r="Q44" s="91">
        <v>2</v>
      </c>
      <c r="R44" s="91">
        <f t="shared" si="6"/>
        <v>3</v>
      </c>
      <c r="S44" s="91">
        <v>10</v>
      </c>
      <c r="T44" s="91">
        <f t="shared" si="7"/>
        <v>5</v>
      </c>
      <c r="U44" s="91">
        <v>3</v>
      </c>
      <c r="V44" s="90">
        <v>0.62919855117797852</v>
      </c>
      <c r="W44" s="90">
        <v>2.811354398727417</v>
      </c>
      <c r="X44" s="90">
        <f t="shared" si="8"/>
        <v>0.70080149173736572</v>
      </c>
      <c r="Y44" s="90">
        <f t="shared" si="9"/>
        <v>1.4813543558120728</v>
      </c>
      <c r="Z44" s="91">
        <f>IF('Amputation Summary'!$Q$4=3, RANK(G44,G$8:G$82,1)+COUNTIF($G$8:G44,G44)-1, IF('Amputation Summary'!$Q$4&lt;3, RANK(U44,U$8:U$82,1)+COUNTIF($U$8:U44,U44)-1))</f>
        <v>62</v>
      </c>
      <c r="AA44" s="91">
        <f>IF('Amputation Summary'!$Q$4=3,G44, IF( 'Amputation Summary'!$Q$4=1, P44, IF('Amputation Summary'!$Q$4=2, F44)))</f>
        <v>1.3300000429153442</v>
      </c>
      <c r="AB44" s="91">
        <f>IF('Amputation Summary'!$Q$4=3, V44, IF('Amputation Summary'!$Q$4=1, R44, IF('Amputation Summary'!$Q$4=2, AF44)))</f>
        <v>0.62919855117797852</v>
      </c>
      <c r="AC44" s="91">
        <f>IF('Amputation Summary'!$Q$4=3, Y44, IF('Amputation Summary'!$Q$4=1, T44, IF('Amputation Summary'!$Q$4=2, AG44)))</f>
        <v>1.4813543558120728</v>
      </c>
      <c r="AD44">
        <v>62</v>
      </c>
      <c r="AE44">
        <v>98</v>
      </c>
      <c r="AF44">
        <f t="shared" si="12"/>
        <v>26</v>
      </c>
      <c r="AG44">
        <f t="shared" si="13"/>
        <v>10</v>
      </c>
      <c r="AH44">
        <v>7</v>
      </c>
      <c r="AI44">
        <v>75</v>
      </c>
      <c r="AJ44">
        <v>1</v>
      </c>
      <c r="AK44" s="91">
        <f>IF('Amputation Summary'!$Q$4=3, AJ44, IF('Amputation Summary'!$Q$4=1, AH44, IF('Amputation Summary'!$Q$4=2, AI44)))</f>
        <v>1</v>
      </c>
      <c r="AL44" s="124">
        <v>0.88</v>
      </c>
    </row>
    <row r="45" spans="1:38" x14ac:dyDescent="0.25">
      <c r="A45" s="88" t="s">
        <v>164</v>
      </c>
      <c r="B45" s="88" t="s">
        <v>165</v>
      </c>
      <c r="C45" s="89">
        <v>52</v>
      </c>
      <c r="D45" s="89" t="s">
        <v>732</v>
      </c>
      <c r="E45" s="89" t="s">
        <v>733</v>
      </c>
      <c r="F45">
        <v>84</v>
      </c>
      <c r="G45" s="90">
        <v>0.49000000953674316</v>
      </c>
      <c r="H45" s="54">
        <v>1</v>
      </c>
      <c r="I45" s="54">
        <v>0.98</v>
      </c>
      <c r="J45" s="54">
        <v>1.9E-2</v>
      </c>
      <c r="K45" s="40" t="str">
        <f t="shared" si="5"/>
        <v>SG999</v>
      </c>
      <c r="L45" s="40">
        <f t="shared" si="10"/>
        <v>4</v>
      </c>
      <c r="M45" s="40">
        <f t="shared" si="11"/>
        <v>4</v>
      </c>
      <c r="N45" s="91">
        <f>IF('Amputation Summary'!$Q$33=2, RANK(I45,I$8:I$82,1)+COUNTIF($I$8:I45,I45)-1, IF('Amputation Summary'!$Q$33=1, RANK(H45,H$8:H$82,1)+COUNTIF($H$8:H45,H45)-1))</f>
        <v>69</v>
      </c>
      <c r="O45" s="92">
        <f>IF('Amputation Summary'!$Q$33=2, I45, IF('Amputation Summary'!$Q$33=1, H45))</f>
        <v>1</v>
      </c>
      <c r="P45" s="91">
        <v>9</v>
      </c>
      <c r="Q45" s="91">
        <v>4</v>
      </c>
      <c r="R45" s="91">
        <f t="shared" si="6"/>
        <v>5</v>
      </c>
      <c r="S45" s="91">
        <v>23</v>
      </c>
      <c r="T45" s="91">
        <f t="shared" si="7"/>
        <v>14</v>
      </c>
      <c r="U45" s="91">
        <v>31</v>
      </c>
      <c r="V45" s="90">
        <v>0.27450725436210632</v>
      </c>
      <c r="W45" s="90">
        <v>0.87465810775756836</v>
      </c>
      <c r="X45" s="90">
        <f t="shared" si="8"/>
        <v>0.21549275517463684</v>
      </c>
      <c r="Y45" s="90">
        <f t="shared" si="9"/>
        <v>0.3846580982208252</v>
      </c>
      <c r="Z45" s="91">
        <f>IF('Amputation Summary'!$Q$4=3, RANK(G45,G$8:G$82,1)+COUNTIF($G$8:G45,G45)-1, IF('Amputation Summary'!$Q$4&lt;3, RANK(U45,U$8:U$82,1)+COUNTIF($U$8:U45,U45)-1))</f>
        <v>8</v>
      </c>
      <c r="AA45" s="91">
        <f>IF('Amputation Summary'!$Q$4=3,G45, IF( 'Amputation Summary'!$Q$4=1, P45, IF('Amputation Summary'!$Q$4=2, F45)))</f>
        <v>0.49000000953674316</v>
      </c>
      <c r="AB45" s="91">
        <f>IF('Amputation Summary'!$Q$4=3, V45, IF('Amputation Summary'!$Q$4=1, R45, IF('Amputation Summary'!$Q$4=2, AF45)))</f>
        <v>0.27450725436210632</v>
      </c>
      <c r="AC45" s="91">
        <f>IF('Amputation Summary'!$Q$4=3, Y45, IF('Amputation Summary'!$Q$4=1, T45, IF('Amputation Summary'!$Q$4=2, AG45)))</f>
        <v>0.3846580982208252</v>
      </c>
      <c r="AD45">
        <v>66</v>
      </c>
      <c r="AE45">
        <v>95</v>
      </c>
      <c r="AF45">
        <f t="shared" si="12"/>
        <v>18</v>
      </c>
      <c r="AG45">
        <f t="shared" si="13"/>
        <v>11</v>
      </c>
      <c r="AH45">
        <v>7</v>
      </c>
      <c r="AI45">
        <v>75</v>
      </c>
      <c r="AJ45">
        <v>1</v>
      </c>
      <c r="AK45" s="91">
        <f>IF('Amputation Summary'!$Q$4=3, AJ45, IF('Amputation Summary'!$Q$4=1, AH45, IF('Amputation Summary'!$Q$4=2, AI45)))</f>
        <v>1</v>
      </c>
      <c r="AL45" s="124">
        <v>0.84</v>
      </c>
    </row>
    <row r="46" spans="1:38" x14ac:dyDescent="0.25">
      <c r="A46" s="88" t="s">
        <v>166</v>
      </c>
      <c r="B46" s="88" t="s">
        <v>167</v>
      </c>
      <c r="C46" s="89">
        <v>83</v>
      </c>
      <c r="D46" s="89" t="s">
        <v>734</v>
      </c>
      <c r="E46" s="89" t="s">
        <v>735</v>
      </c>
      <c r="F46">
        <v>89</v>
      </c>
      <c r="G46" s="90">
        <v>0.23999999463558197</v>
      </c>
      <c r="H46" s="54">
        <v>0.95</v>
      </c>
      <c r="I46" s="54">
        <v>0.86</v>
      </c>
      <c r="J46" s="54">
        <v>9.9000000000000005E-2</v>
      </c>
      <c r="K46" s="40" t="str">
        <f t="shared" si="5"/>
        <v>SH999</v>
      </c>
      <c r="L46" s="40">
        <f t="shared" si="10"/>
        <v>3</v>
      </c>
      <c r="M46" s="40">
        <f t="shared" si="11"/>
        <v>3</v>
      </c>
      <c r="N46" s="91">
        <f>IF('Amputation Summary'!$Q$33=2, RANK(I46,I$8:I$82,1)+COUNTIF($I$8:I46,I46)-1, IF('Amputation Summary'!$Q$33=1, RANK(H46,H$8:H$82,1)+COUNTIF($H$8:H46,H46)-1))</f>
        <v>44</v>
      </c>
      <c r="O46" s="92">
        <f>IF('Amputation Summary'!$Q$33=2, I46, IF('Amputation Summary'!$Q$33=1, H46))</f>
        <v>0.95</v>
      </c>
      <c r="P46" s="91">
        <v>7</v>
      </c>
      <c r="Q46" s="91">
        <v>2</v>
      </c>
      <c r="R46" s="91">
        <f t="shared" si="6"/>
        <v>5</v>
      </c>
      <c r="S46" s="91">
        <v>11</v>
      </c>
      <c r="T46" s="91">
        <f t="shared" si="7"/>
        <v>4</v>
      </c>
      <c r="U46" s="91">
        <v>11</v>
      </c>
      <c r="V46" s="90">
        <v>0.13910941779613495</v>
      </c>
      <c r="W46" s="90">
        <v>0.41406252980232239</v>
      </c>
      <c r="X46" s="90">
        <f t="shared" si="8"/>
        <v>0.10089057683944702</v>
      </c>
      <c r="Y46" s="90">
        <f t="shared" si="9"/>
        <v>0.17406253516674042</v>
      </c>
      <c r="Z46" s="91">
        <f>IF('Amputation Summary'!$Q$4=3, RANK(G46,G$8:G$82,1)+COUNTIF($G$8:G46,G46)-1, IF('Amputation Summary'!$Q$4&lt;3, RANK(U46,U$8:U$82,1)+COUNTIF($U$8:U46,U46)-1))</f>
        <v>4</v>
      </c>
      <c r="AA46" s="91">
        <f>IF('Amputation Summary'!$Q$4=3,G46, IF( 'Amputation Summary'!$Q$4=1, P46, IF('Amputation Summary'!$Q$4=2, F46)))</f>
        <v>0.23999999463558197</v>
      </c>
      <c r="AB46" s="91">
        <f>IF('Amputation Summary'!$Q$4=3, V46, IF('Amputation Summary'!$Q$4=1, R46, IF('Amputation Summary'!$Q$4=2, AF46)))</f>
        <v>0.13910941779613495</v>
      </c>
      <c r="AC46" s="91">
        <f>IF('Amputation Summary'!$Q$4=3, Y46, IF('Amputation Summary'!$Q$4=1, T46, IF('Amputation Summary'!$Q$4=2, AG46)))</f>
        <v>0.17406253516674042</v>
      </c>
      <c r="AD46">
        <v>78</v>
      </c>
      <c r="AE46">
        <v>95</v>
      </c>
      <c r="AF46">
        <f t="shared" si="12"/>
        <v>11</v>
      </c>
      <c r="AG46">
        <f t="shared" si="13"/>
        <v>6</v>
      </c>
      <c r="AH46">
        <v>7</v>
      </c>
      <c r="AI46">
        <v>75</v>
      </c>
      <c r="AJ46">
        <v>1</v>
      </c>
      <c r="AK46" s="91">
        <f>IF('Amputation Summary'!$Q$4=3, AJ46, IF('Amputation Summary'!$Q$4=1, AH46, IF('Amputation Summary'!$Q$4=2, AI46)))</f>
        <v>1</v>
      </c>
      <c r="AL46" s="124">
        <v>0.89</v>
      </c>
    </row>
    <row r="47" spans="1:38" x14ac:dyDescent="0.25">
      <c r="A47" s="88" t="s">
        <v>168</v>
      </c>
      <c r="B47" s="88" t="s">
        <v>169</v>
      </c>
      <c r="C47" s="89">
        <v>276</v>
      </c>
      <c r="D47" s="89" t="s">
        <v>736</v>
      </c>
      <c r="E47" s="89" t="s">
        <v>737</v>
      </c>
      <c r="F47">
        <v>59</v>
      </c>
      <c r="G47" s="90">
        <v>0.97000002861022949</v>
      </c>
      <c r="H47" s="54">
        <v>0.48</v>
      </c>
      <c r="I47" s="54">
        <v>0</v>
      </c>
      <c r="J47" s="54">
        <v>3.4000000000000002E-2</v>
      </c>
      <c r="K47" s="40" t="str">
        <f t="shared" si="5"/>
        <v>SL999</v>
      </c>
      <c r="L47" s="40">
        <f t="shared" si="10"/>
        <v>1</v>
      </c>
      <c r="M47" s="40">
        <f t="shared" si="11"/>
        <v>1</v>
      </c>
      <c r="N47" s="91">
        <f>IF('Amputation Summary'!$Q$33=2, RANK(I47,I$8:I$82,1)+COUNTIF($I$8:I47,I47)-1, IF('Amputation Summary'!$Q$33=1, RANK(H47,H$8:H$82,1)+COUNTIF($H$8:H47,H47)-1))</f>
        <v>6</v>
      </c>
      <c r="O47" s="92">
        <f>IF('Amputation Summary'!$Q$33=2, I47, IF('Amputation Summary'!$Q$33=1, H47))</f>
        <v>0.48</v>
      </c>
      <c r="P47" s="91">
        <v>28</v>
      </c>
      <c r="Q47" s="91">
        <v>9</v>
      </c>
      <c r="R47" s="91">
        <f t="shared" si="6"/>
        <v>19</v>
      </c>
      <c r="S47" s="91">
        <v>78</v>
      </c>
      <c r="T47" s="91">
        <f t="shared" si="7"/>
        <v>50</v>
      </c>
      <c r="U47" s="91">
        <v>71</v>
      </c>
      <c r="V47" s="90">
        <v>0.76610177755355835</v>
      </c>
      <c r="W47" s="90">
        <v>1.228165864944458</v>
      </c>
      <c r="X47" s="90">
        <f t="shared" si="8"/>
        <v>0.20389825105667114</v>
      </c>
      <c r="Y47" s="90">
        <f t="shared" si="9"/>
        <v>0.25816583633422852</v>
      </c>
      <c r="Z47" s="91">
        <f>IF('Amputation Summary'!$Q$4=3, RANK(G47,G$8:G$82,1)+COUNTIF($G$8:G47,G47)-1, IF('Amputation Summary'!$Q$4&lt;3, RANK(U47,U$8:U$82,1)+COUNTIF($U$8:U47,U47)-1))</f>
        <v>45</v>
      </c>
      <c r="AA47" s="91">
        <f>IF('Amputation Summary'!$Q$4=3,G47, IF( 'Amputation Summary'!$Q$4=1, P47, IF('Amputation Summary'!$Q$4=2, F47)))</f>
        <v>0.97000002861022949</v>
      </c>
      <c r="AB47" s="91">
        <f>IF('Amputation Summary'!$Q$4=3, V47, IF('Amputation Summary'!$Q$4=1, R47, IF('Amputation Summary'!$Q$4=2, AF47)))</f>
        <v>0.76610177755355835</v>
      </c>
      <c r="AC47" s="91">
        <f>IF('Amputation Summary'!$Q$4=3, Y47, IF('Amputation Summary'!$Q$4=1, T47, IF('Amputation Summary'!$Q$4=2, AG47)))</f>
        <v>0.25816583633422852</v>
      </c>
      <c r="AD47">
        <v>49</v>
      </c>
      <c r="AE47">
        <v>68</v>
      </c>
      <c r="AF47">
        <f t="shared" si="12"/>
        <v>10</v>
      </c>
      <c r="AG47">
        <f t="shared" si="13"/>
        <v>9</v>
      </c>
      <c r="AH47">
        <v>7</v>
      </c>
      <c r="AI47">
        <v>75</v>
      </c>
      <c r="AJ47">
        <v>1</v>
      </c>
      <c r="AK47" s="91">
        <f>IF('Amputation Summary'!$Q$4=3, AJ47, IF('Amputation Summary'!$Q$4=1, AH47, IF('Amputation Summary'!$Q$4=2, AI47)))</f>
        <v>1</v>
      </c>
      <c r="AL47" s="124">
        <v>0.59</v>
      </c>
    </row>
    <row r="48" spans="1:38" x14ac:dyDescent="0.25">
      <c r="A48" s="88" t="s">
        <v>174</v>
      </c>
      <c r="B48" s="88" t="s">
        <v>175</v>
      </c>
      <c r="C48" s="89">
        <v>27</v>
      </c>
      <c r="D48" s="89" t="s">
        <v>738</v>
      </c>
      <c r="E48" s="89" t="s">
        <v>739</v>
      </c>
      <c r="F48">
        <v>100</v>
      </c>
      <c r="G48" s="90">
        <v>0.80000001192092896</v>
      </c>
      <c r="H48" s="54">
        <v>1</v>
      </c>
      <c r="I48" s="54">
        <v>0.96</v>
      </c>
      <c r="J48" s="54">
        <v>5.6000000000000001E-2</v>
      </c>
      <c r="K48" s="40" t="str">
        <f t="shared" si="5"/>
        <v>ST999</v>
      </c>
      <c r="L48" s="40">
        <f t="shared" si="10"/>
        <v>4</v>
      </c>
      <c r="M48" s="40">
        <f t="shared" si="11"/>
        <v>4</v>
      </c>
      <c r="N48" s="91">
        <f>IF('Amputation Summary'!$Q$33=2, RANK(I48,I$8:I$82,1)+COUNTIF($I$8:I48,I48)-1, IF('Amputation Summary'!$Q$33=1, RANK(H48,H$8:H$82,1)+COUNTIF($H$8:H48,H48)-1))</f>
        <v>70</v>
      </c>
      <c r="O48" s="92">
        <f>IF('Amputation Summary'!$Q$33=2, I48, IF('Amputation Summary'!$Q$33=1, H48))</f>
        <v>1</v>
      </c>
      <c r="P48" s="91">
        <v>10</v>
      </c>
      <c r="Q48" s="91">
        <v>5</v>
      </c>
      <c r="R48" s="91">
        <f t="shared" si="6"/>
        <v>5</v>
      </c>
      <c r="S48" s="91">
        <v>18</v>
      </c>
      <c r="T48" s="91">
        <f t="shared" si="7"/>
        <v>8</v>
      </c>
      <c r="U48" s="91">
        <v>44</v>
      </c>
      <c r="V48" s="90">
        <v>0.37446823716163635</v>
      </c>
      <c r="W48" s="90">
        <v>1.7090902328491211</v>
      </c>
      <c r="X48" s="90">
        <f t="shared" si="8"/>
        <v>0.4255317747592926</v>
      </c>
      <c r="Y48" s="90">
        <f t="shared" si="9"/>
        <v>0.90909022092819214</v>
      </c>
      <c r="Z48" s="91">
        <f>IF('Amputation Summary'!$Q$4=3, RANK(G48,G$8:G$82,1)+COUNTIF($G$8:G48,G48)-1, IF('Amputation Summary'!$Q$4&lt;3, RANK(U48,U$8:U$82,1)+COUNTIF($U$8:U48,U48)-1))</f>
        <v>34</v>
      </c>
      <c r="AA48" s="91">
        <f>IF('Amputation Summary'!$Q$4=3,G48, IF( 'Amputation Summary'!$Q$4=1, P48, IF('Amputation Summary'!$Q$4=2, F48)))</f>
        <v>0.80000001192092896</v>
      </c>
      <c r="AB48" s="91">
        <f>IF('Amputation Summary'!$Q$4=3, V48, IF('Amputation Summary'!$Q$4=1, R48, IF('Amputation Summary'!$Q$4=2, AF48)))</f>
        <v>0.37446823716163635</v>
      </c>
      <c r="AC48" s="91">
        <f>IF('Amputation Summary'!$Q$4=3, Y48, IF('Amputation Summary'!$Q$4=1, T48, IF('Amputation Summary'!$Q$4=2, AG48)))</f>
        <v>0.90909022092819214</v>
      </c>
      <c r="AD48">
        <v>66</v>
      </c>
      <c r="AE48">
        <v>100</v>
      </c>
      <c r="AF48">
        <f t="shared" si="12"/>
        <v>34</v>
      </c>
      <c r="AG48">
        <f t="shared" si="13"/>
        <v>0</v>
      </c>
      <c r="AH48">
        <v>7</v>
      </c>
      <c r="AI48">
        <v>75</v>
      </c>
      <c r="AJ48">
        <v>1</v>
      </c>
      <c r="AK48" s="91">
        <f>IF('Amputation Summary'!$Q$4=3, AJ48, IF('Amputation Summary'!$Q$4=1, AH48, IF('Amputation Summary'!$Q$4=2, AI48)))</f>
        <v>1</v>
      </c>
      <c r="AL48" s="124">
        <v>1</v>
      </c>
    </row>
    <row r="49" spans="1:38" x14ac:dyDescent="0.25">
      <c r="A49" s="88" t="s">
        <v>83</v>
      </c>
      <c r="B49" s="88" t="s">
        <v>84</v>
      </c>
      <c r="C49" s="89">
        <v>183</v>
      </c>
      <c r="D49" s="89" t="s">
        <v>740</v>
      </c>
      <c r="E49" s="89" t="s">
        <v>741</v>
      </c>
      <c r="F49">
        <v>95</v>
      </c>
      <c r="G49" s="90">
        <v>0.88999998569488525</v>
      </c>
      <c r="H49" s="54">
        <v>0.34</v>
      </c>
      <c r="I49" s="54">
        <v>0.74</v>
      </c>
      <c r="J49" s="54">
        <v>1.6E-2</v>
      </c>
      <c r="K49" s="40" t="str">
        <f t="shared" si="5"/>
        <v>RM1</v>
      </c>
      <c r="L49" s="40">
        <f t="shared" si="10"/>
        <v>1</v>
      </c>
      <c r="M49" s="40">
        <f t="shared" si="11"/>
        <v>2</v>
      </c>
      <c r="N49" s="91">
        <f>IF('Amputation Summary'!$Q$33=2, RANK(I49,I$8:I$82,1)+COUNTIF($I$8:I49,I49)-1, IF('Amputation Summary'!$Q$33=1, RANK(H49,H$8:H$82,1)+COUNTIF($H$8:H49,H49)-1))</f>
        <v>2</v>
      </c>
      <c r="O49" s="92">
        <f>IF('Amputation Summary'!$Q$33=2, I49, IF('Amputation Summary'!$Q$33=1, H49))</f>
        <v>0.34</v>
      </c>
      <c r="P49" s="91">
        <v>6</v>
      </c>
      <c r="Q49" s="91">
        <v>2</v>
      </c>
      <c r="R49" s="91">
        <f t="shared" si="6"/>
        <v>4</v>
      </c>
      <c r="S49" s="91">
        <v>14</v>
      </c>
      <c r="T49" s="91">
        <f t="shared" si="7"/>
        <v>8</v>
      </c>
      <c r="U49" s="91">
        <v>7</v>
      </c>
      <c r="V49" s="90">
        <v>0.66575503349304199</v>
      </c>
      <c r="W49" s="90">
        <v>1.1897768974304199</v>
      </c>
      <c r="X49" s="90">
        <f t="shared" si="8"/>
        <v>0.22424495220184326</v>
      </c>
      <c r="Y49" s="90">
        <f t="shared" si="9"/>
        <v>0.29977691173553467</v>
      </c>
      <c r="Z49" s="91">
        <f>IF('Amputation Summary'!$Q$4=3, RANK(G49,G$8:G$82,1)+COUNTIF($G$8:G49,G49)-1, IF('Amputation Summary'!$Q$4&lt;3, RANK(U49,U$8:U$82,1)+COUNTIF($U$8:U49,U49)-1))</f>
        <v>39</v>
      </c>
      <c r="AA49" s="91">
        <f>IF('Amputation Summary'!$Q$4=3,G49, IF( 'Amputation Summary'!$Q$4=1, P49, IF('Amputation Summary'!$Q$4=2, F49)))</f>
        <v>0.88999998569488525</v>
      </c>
      <c r="AB49" s="91">
        <f>IF('Amputation Summary'!$Q$4=3, V49, IF('Amputation Summary'!$Q$4=1, R49, IF('Amputation Summary'!$Q$4=2, AF49)))</f>
        <v>0.66575503349304199</v>
      </c>
      <c r="AC49" s="91">
        <f>IF('Amputation Summary'!$Q$4=3, Y49, IF('Amputation Summary'!$Q$4=1, T49, IF('Amputation Summary'!$Q$4=2, AG49)))</f>
        <v>0.29977691173553467</v>
      </c>
      <c r="AD49">
        <v>90</v>
      </c>
      <c r="AE49">
        <v>98</v>
      </c>
      <c r="AF49">
        <f t="shared" si="12"/>
        <v>5</v>
      </c>
      <c r="AG49">
        <f t="shared" si="13"/>
        <v>3</v>
      </c>
      <c r="AH49">
        <v>7</v>
      </c>
      <c r="AI49">
        <v>75</v>
      </c>
      <c r="AJ49">
        <v>1</v>
      </c>
      <c r="AK49" s="91">
        <f>IF('Amputation Summary'!$Q$4=3, AJ49, IF('Amputation Summary'!$Q$4=1, AH49, IF('Amputation Summary'!$Q$4=2, AI49)))</f>
        <v>1</v>
      </c>
      <c r="AL49" s="124">
        <v>0.95</v>
      </c>
    </row>
    <row r="50" spans="1:38" x14ac:dyDescent="0.25">
      <c r="A50" s="88" t="s">
        <v>124</v>
      </c>
      <c r="B50" s="88" t="s">
        <v>125</v>
      </c>
      <c r="C50" s="89">
        <v>225</v>
      </c>
      <c r="D50" s="89" t="s">
        <v>742</v>
      </c>
      <c r="E50" s="89" t="s">
        <v>743</v>
      </c>
      <c r="F50">
        <v>89</v>
      </c>
      <c r="G50" s="90">
        <v>0.79000002145767212</v>
      </c>
      <c r="H50" s="54">
        <v>0.95</v>
      </c>
      <c r="I50" s="54">
        <v>0.88</v>
      </c>
      <c r="J50" s="54">
        <v>2.3E-2</v>
      </c>
      <c r="K50" s="40" t="str">
        <f t="shared" si="5"/>
        <v>RVJ</v>
      </c>
      <c r="L50" s="40">
        <f t="shared" si="10"/>
        <v>3</v>
      </c>
      <c r="M50" s="40">
        <f t="shared" si="11"/>
        <v>3</v>
      </c>
      <c r="N50" s="91">
        <f>IF('Amputation Summary'!$Q$33=2, RANK(I50,I$8:I$82,1)+COUNTIF($I$8:I50,I50)-1, IF('Amputation Summary'!$Q$33=1, RANK(H50,H$8:H$82,1)+COUNTIF($H$8:H50,H50)-1))</f>
        <v>45</v>
      </c>
      <c r="O50" s="92">
        <f>IF('Amputation Summary'!$Q$33=2, I50, IF('Amputation Summary'!$Q$33=1, H50))</f>
        <v>0.95</v>
      </c>
      <c r="P50" s="91">
        <v>8</v>
      </c>
      <c r="Q50" s="91">
        <v>4</v>
      </c>
      <c r="R50" s="91">
        <f t="shared" si="6"/>
        <v>4</v>
      </c>
      <c r="S50" s="91">
        <v>14</v>
      </c>
      <c r="T50" s="91">
        <f t="shared" si="7"/>
        <v>6</v>
      </c>
      <c r="U50" s="91">
        <v>21</v>
      </c>
      <c r="V50" s="90">
        <v>0.60716313123703003</v>
      </c>
      <c r="W50" s="90">
        <v>1.0278952121734619</v>
      </c>
      <c r="X50" s="90">
        <f t="shared" si="8"/>
        <v>0.18283689022064209</v>
      </c>
      <c r="Y50" s="90">
        <f t="shared" si="9"/>
        <v>0.23789519071578979</v>
      </c>
      <c r="Z50" s="91">
        <f>IF('Amputation Summary'!$Q$4=3, RANK(G50,G$8:G$82,1)+COUNTIF($G$8:G50,G50)-1, IF('Amputation Summary'!$Q$4&lt;3, RANK(U50,U$8:U$82,1)+COUNTIF($U$8:U50,U50)-1))</f>
        <v>31</v>
      </c>
      <c r="AA50" s="91">
        <f>IF('Amputation Summary'!$Q$4=3,G50, IF( 'Amputation Summary'!$Q$4=1, P50, IF('Amputation Summary'!$Q$4=2, F50)))</f>
        <v>0.79000002145767212</v>
      </c>
      <c r="AB50" s="91">
        <f>IF('Amputation Summary'!$Q$4=3, V50, IF('Amputation Summary'!$Q$4=1, R50, IF('Amputation Summary'!$Q$4=2, AF50)))</f>
        <v>0.60716313123703003</v>
      </c>
      <c r="AC50" s="91">
        <f>IF('Amputation Summary'!$Q$4=3, Y50, IF('Amputation Summary'!$Q$4=1, T50, IF('Amputation Summary'!$Q$4=2, AG50)))</f>
        <v>0.23789519071578979</v>
      </c>
      <c r="AD50">
        <v>82</v>
      </c>
      <c r="AE50">
        <v>94</v>
      </c>
      <c r="AF50">
        <f t="shared" si="12"/>
        <v>7</v>
      </c>
      <c r="AG50">
        <f t="shared" si="13"/>
        <v>5</v>
      </c>
      <c r="AH50">
        <v>7</v>
      </c>
      <c r="AI50">
        <v>75</v>
      </c>
      <c r="AJ50">
        <v>1</v>
      </c>
      <c r="AK50" s="91">
        <f>IF('Amputation Summary'!$Q$4=3, AJ50, IF('Amputation Summary'!$Q$4=1, AH50, IF('Amputation Summary'!$Q$4=2, AI50)))</f>
        <v>1</v>
      </c>
      <c r="AL50" s="124">
        <v>0.89</v>
      </c>
    </row>
    <row r="51" spans="1:38" x14ac:dyDescent="0.25">
      <c r="A51" s="88" t="s">
        <v>89</v>
      </c>
      <c r="B51" s="88" t="s">
        <v>90</v>
      </c>
      <c r="C51" s="89">
        <v>147</v>
      </c>
      <c r="D51" s="89" t="s">
        <v>744</v>
      </c>
      <c r="E51" s="89" t="s">
        <v>745</v>
      </c>
      <c r="F51">
        <v>86</v>
      </c>
      <c r="G51" s="90">
        <v>0.99000000953674316</v>
      </c>
      <c r="H51" s="54">
        <v>0.97</v>
      </c>
      <c r="I51" s="54">
        <v>0.19</v>
      </c>
      <c r="J51" s="54">
        <v>2.4E-2</v>
      </c>
      <c r="K51" s="40" t="str">
        <f t="shared" si="5"/>
        <v>RNL</v>
      </c>
      <c r="L51" s="40">
        <f t="shared" si="10"/>
        <v>4</v>
      </c>
      <c r="M51" s="40">
        <f t="shared" si="11"/>
        <v>1</v>
      </c>
      <c r="N51" s="91">
        <f>IF('Amputation Summary'!$Q$33=2, RANK(I51,I$8:I$82,1)+COUNTIF($I$8:I51,I51)-1, IF('Amputation Summary'!$Q$33=1, RANK(H51,H$8:H$82,1)+COUNTIF($H$8:H51,H51)-1))</f>
        <v>55</v>
      </c>
      <c r="O51" s="92">
        <f>IF('Amputation Summary'!$Q$33=2, I51, IF('Amputation Summary'!$Q$33=1, H51))</f>
        <v>0.97</v>
      </c>
      <c r="P51" s="91">
        <v>8</v>
      </c>
      <c r="Q51" s="91">
        <v>4</v>
      </c>
      <c r="R51" s="91">
        <f t="shared" si="6"/>
        <v>4</v>
      </c>
      <c r="S51" s="91">
        <v>23</v>
      </c>
      <c r="T51" s="91">
        <f t="shared" si="7"/>
        <v>15</v>
      </c>
      <c r="U51" s="91">
        <v>23</v>
      </c>
      <c r="V51" s="90">
        <v>0.71650218963623047</v>
      </c>
      <c r="W51" s="90">
        <v>1.3678953647613525</v>
      </c>
      <c r="X51" s="90">
        <f t="shared" si="8"/>
        <v>0.2734978199005127</v>
      </c>
      <c r="Y51" s="90">
        <f t="shared" si="9"/>
        <v>0.37789535522460938</v>
      </c>
      <c r="Z51" s="91">
        <f>IF('Amputation Summary'!$Q$4=3, RANK(G51,G$8:G$82,1)+COUNTIF($G$8:G51,G51)-1, IF('Amputation Summary'!$Q$4&lt;3, RANK(U51,U$8:U$82,1)+COUNTIF($U$8:U51,U51)-1))</f>
        <v>47</v>
      </c>
      <c r="AA51" s="91">
        <f>IF('Amputation Summary'!$Q$4=3,G51, IF( 'Amputation Summary'!$Q$4=1, P51, IF('Amputation Summary'!$Q$4=2, F51)))</f>
        <v>0.99000000953674316</v>
      </c>
      <c r="AB51" s="91">
        <f>IF('Amputation Summary'!$Q$4=3, V51, IF('Amputation Summary'!$Q$4=1, R51, IF('Amputation Summary'!$Q$4=2, AF51)))</f>
        <v>0.71650218963623047</v>
      </c>
      <c r="AC51" s="91">
        <f>IF('Amputation Summary'!$Q$4=3, Y51, IF('Amputation Summary'!$Q$4=1, T51, IF('Amputation Summary'!$Q$4=2, AG51)))</f>
        <v>0.37789535522460938</v>
      </c>
      <c r="AD51">
        <v>77</v>
      </c>
      <c r="AE51">
        <v>93</v>
      </c>
      <c r="AF51">
        <f t="shared" si="12"/>
        <v>9</v>
      </c>
      <c r="AG51">
        <f t="shared" si="13"/>
        <v>7</v>
      </c>
      <c r="AH51">
        <v>7</v>
      </c>
      <c r="AI51">
        <v>75</v>
      </c>
      <c r="AJ51">
        <v>1</v>
      </c>
      <c r="AK51" s="91">
        <f>IF('Amputation Summary'!$Q$4=3, AJ51, IF('Amputation Summary'!$Q$4=1, AH51, IF('Amputation Summary'!$Q$4=2, AI51)))</f>
        <v>1</v>
      </c>
      <c r="AL51" s="124">
        <v>0.86</v>
      </c>
    </row>
    <row r="52" spans="1:38" x14ac:dyDescent="0.25">
      <c r="A52" s="88" t="s">
        <v>91</v>
      </c>
      <c r="B52" s="88" t="s">
        <v>92</v>
      </c>
      <c r="C52" s="89">
        <v>108</v>
      </c>
      <c r="D52" s="89" t="s">
        <v>746</v>
      </c>
      <c r="E52" s="89" t="s">
        <v>747</v>
      </c>
      <c r="F52">
        <v>90</v>
      </c>
      <c r="G52" s="90">
        <v>0.56999999284744263</v>
      </c>
      <c r="H52" s="54">
        <v>0.78</v>
      </c>
      <c r="I52" s="54">
        <v>0.81</v>
      </c>
      <c r="J52" s="54">
        <v>3.1E-2</v>
      </c>
      <c r="K52" s="40" t="str">
        <f t="shared" si="5"/>
        <v>RNS</v>
      </c>
      <c r="L52" s="40">
        <f t="shared" si="10"/>
        <v>1</v>
      </c>
      <c r="M52" s="40">
        <f t="shared" si="11"/>
        <v>3</v>
      </c>
      <c r="N52" s="91">
        <f>IF('Amputation Summary'!$Q$33=2, RANK(I52,I$8:I$82,1)+COUNTIF($I$8:I52,I52)-1, IF('Amputation Summary'!$Q$33=1, RANK(H52,H$8:H$82,1)+COUNTIF($H$8:H52,H52)-1))</f>
        <v>17</v>
      </c>
      <c r="O52" s="92">
        <f>IF('Amputation Summary'!$Q$33=2, I52, IF('Amputation Summary'!$Q$33=1, H52))</f>
        <v>0.78</v>
      </c>
      <c r="P52" s="91">
        <v>5</v>
      </c>
      <c r="Q52" s="91">
        <v>2</v>
      </c>
      <c r="R52" s="91">
        <f t="shared" si="6"/>
        <v>3</v>
      </c>
      <c r="S52" s="91">
        <v>14</v>
      </c>
      <c r="T52" s="91">
        <f t="shared" si="7"/>
        <v>9</v>
      </c>
      <c r="U52" s="91">
        <v>5</v>
      </c>
      <c r="V52" s="90">
        <v>0.38489916920661926</v>
      </c>
      <c r="W52" s="90">
        <v>0.84411716461181641</v>
      </c>
      <c r="X52" s="90">
        <f t="shared" si="8"/>
        <v>0.18510082364082336</v>
      </c>
      <c r="Y52" s="90">
        <f t="shared" si="9"/>
        <v>0.27411717176437378</v>
      </c>
      <c r="Z52" s="91">
        <f>IF('Amputation Summary'!$Q$4=3, RANK(G52,G$8:G$82,1)+COUNTIF($G$8:G52,G52)-1, IF('Amputation Summary'!$Q$4&lt;3, RANK(U52,U$8:U$82,1)+COUNTIF($U$8:U52,U52)-1))</f>
        <v>15</v>
      </c>
      <c r="AA52" s="91">
        <f>IF('Amputation Summary'!$Q$4=3,G52, IF( 'Amputation Summary'!$Q$4=1, P52, IF('Amputation Summary'!$Q$4=2, F52)))</f>
        <v>0.56999999284744263</v>
      </c>
      <c r="AB52" s="91">
        <f>IF('Amputation Summary'!$Q$4=3, V52, IF('Amputation Summary'!$Q$4=1, R52, IF('Amputation Summary'!$Q$4=2, AF52)))</f>
        <v>0.38489916920661926</v>
      </c>
      <c r="AC52" s="91">
        <f>IF('Amputation Summary'!$Q$4=3, Y52, IF('Amputation Summary'!$Q$4=1, T52, IF('Amputation Summary'!$Q$4=2, AG52)))</f>
        <v>0.27411717176437378</v>
      </c>
      <c r="AD52">
        <v>80</v>
      </c>
      <c r="AE52">
        <v>96</v>
      </c>
      <c r="AF52">
        <f t="shared" si="12"/>
        <v>10</v>
      </c>
      <c r="AG52">
        <f t="shared" si="13"/>
        <v>6</v>
      </c>
      <c r="AH52">
        <v>7</v>
      </c>
      <c r="AI52">
        <v>75</v>
      </c>
      <c r="AJ52">
        <v>1</v>
      </c>
      <c r="AK52" s="91">
        <f>IF('Amputation Summary'!$Q$4=3, AJ52, IF('Amputation Summary'!$Q$4=1, AH52, IF('Amputation Summary'!$Q$4=2, AI52)))</f>
        <v>1</v>
      </c>
      <c r="AL52" s="124">
        <v>0.9</v>
      </c>
    </row>
    <row r="53" spans="1:38" x14ac:dyDescent="0.25">
      <c r="A53" s="88" t="s">
        <v>31</v>
      </c>
      <c r="B53" s="88" t="s">
        <v>32</v>
      </c>
      <c r="C53" s="89">
        <v>3</v>
      </c>
      <c r="D53" s="89" t="s">
        <v>748</v>
      </c>
      <c r="E53" s="89" t="s">
        <v>399</v>
      </c>
      <c r="F53" t="s">
        <v>399</v>
      </c>
      <c r="G53" s="90">
        <v>0</v>
      </c>
      <c r="H53" s="54">
        <v>1</v>
      </c>
      <c r="I53" s="54">
        <v>1</v>
      </c>
      <c r="J53" s="54">
        <v>0</v>
      </c>
      <c r="K53" s="40" t="str">
        <f t="shared" si="5"/>
        <v>RBZ</v>
      </c>
      <c r="L53" s="40">
        <f t="shared" si="10"/>
        <v>4</v>
      </c>
      <c r="M53" s="40">
        <f t="shared" si="11"/>
        <v>4</v>
      </c>
      <c r="N53" s="91">
        <f>IF('Amputation Summary'!$Q$33=2, RANK(I53,I$8:I$82,1)+COUNTIF($I$8:I53,I53)-1, IF('Amputation Summary'!$Q$33=1, RANK(H53,H$8:H$82,1)+COUNTIF($H$8:H53,H53)-1))</f>
        <v>71</v>
      </c>
      <c r="O53" s="92">
        <f>IF('Amputation Summary'!$Q$33=2, I53, IF('Amputation Summary'!$Q$33=1, H53))</f>
        <v>1</v>
      </c>
      <c r="P53" s="91" t="s">
        <v>399</v>
      </c>
      <c r="Q53" s="91" t="e">
        <v>#VALUE!</v>
      </c>
      <c r="R53" s="91" t="e">
        <f t="shared" si="6"/>
        <v>#VALUE!</v>
      </c>
      <c r="S53" s="91" t="e">
        <v>#VALUE!</v>
      </c>
      <c r="T53" s="91" t="e">
        <f t="shared" si="7"/>
        <v>#VALUE!</v>
      </c>
      <c r="U53" s="91" t="s">
        <v>399</v>
      </c>
      <c r="V53" s="90">
        <v>0</v>
      </c>
      <c r="W53" s="90">
        <v>0</v>
      </c>
      <c r="X53" s="90">
        <f t="shared" si="8"/>
        <v>0</v>
      </c>
      <c r="Y53" s="90">
        <f t="shared" si="9"/>
        <v>0</v>
      </c>
      <c r="Z53" s="91">
        <f>IF('Amputation Summary'!$Q$4=3, RANK(G53,G$8:G$82,1)+COUNTIF($G$8:G53,G53)-1, IF('Amputation Summary'!$Q$4&lt;3, RANK(U53,U$8:U$82,1)+COUNTIF($U$8:U53,U53)-1))</f>
        <v>1</v>
      </c>
      <c r="AA53" s="91">
        <f>IF('Amputation Summary'!$Q$4=3,G53, IF( 'Amputation Summary'!$Q$4=1, P53, IF('Amputation Summary'!$Q$4=2, F53)))</f>
        <v>0</v>
      </c>
      <c r="AB53" s="91">
        <f>IF('Amputation Summary'!$Q$4=3, V53, IF('Amputation Summary'!$Q$4=1, R53, IF('Amputation Summary'!$Q$4=2, AF53)))</f>
        <v>0</v>
      </c>
      <c r="AC53" s="91">
        <f>IF('Amputation Summary'!$Q$4=3, Y53, IF('Amputation Summary'!$Q$4=1, T53, IF('Amputation Summary'!$Q$4=2, AG53)))</f>
        <v>0</v>
      </c>
      <c r="AD53" t="s">
        <v>399</v>
      </c>
      <c r="AE53" t="s">
        <v>399</v>
      </c>
      <c r="AF53" t="e">
        <f t="shared" si="12"/>
        <v>#VALUE!</v>
      </c>
      <c r="AG53" t="e">
        <f t="shared" si="13"/>
        <v>#VALUE!</v>
      </c>
      <c r="AH53">
        <v>7</v>
      </c>
      <c r="AI53">
        <v>75</v>
      </c>
      <c r="AJ53">
        <v>1</v>
      </c>
      <c r="AK53" s="91">
        <f>IF('Amputation Summary'!$Q$4=3, AJ53, IF('Amputation Summary'!$Q$4=1, AH53, IF('Amputation Summary'!$Q$4=2, AI53)))</f>
        <v>1</v>
      </c>
      <c r="AL53" t="e">
        <v>#VALUE!</v>
      </c>
    </row>
    <row r="54" spans="1:38" x14ac:dyDescent="0.25">
      <c r="A54" s="88" t="s">
        <v>144</v>
      </c>
      <c r="B54" s="88" t="s">
        <v>145</v>
      </c>
      <c r="C54" s="89">
        <v>254</v>
      </c>
      <c r="D54" s="89" t="s">
        <v>749</v>
      </c>
      <c r="E54" s="89" t="s">
        <v>750</v>
      </c>
      <c r="F54">
        <v>93</v>
      </c>
      <c r="G54" s="90">
        <v>1</v>
      </c>
      <c r="H54" s="54">
        <v>0.45</v>
      </c>
      <c r="I54" s="54">
        <v>0.68</v>
      </c>
      <c r="J54" s="54">
        <v>7.1999999999999995E-2</v>
      </c>
      <c r="K54" s="40" t="str">
        <f t="shared" si="5"/>
        <v>RX1</v>
      </c>
      <c r="L54" s="40">
        <f t="shared" si="10"/>
        <v>1</v>
      </c>
      <c r="M54" s="40">
        <f t="shared" si="11"/>
        <v>2</v>
      </c>
      <c r="N54" s="91">
        <f>IF('Amputation Summary'!$Q$33=2, RANK(I54,I$8:I$82,1)+COUNTIF($I$8:I54,I54)-1, IF('Amputation Summary'!$Q$33=1, RANK(H54,H$8:H$82,1)+COUNTIF($H$8:H54,H54)-1))</f>
        <v>4</v>
      </c>
      <c r="O54" s="92">
        <f>IF('Amputation Summary'!$Q$33=2, I54, IF('Amputation Summary'!$Q$33=1, H54))</f>
        <v>0.45</v>
      </c>
      <c r="P54" s="91">
        <v>6</v>
      </c>
      <c r="Q54" s="91">
        <v>3</v>
      </c>
      <c r="R54" s="91">
        <f t="shared" si="6"/>
        <v>3</v>
      </c>
      <c r="S54" s="91">
        <v>12</v>
      </c>
      <c r="T54" s="91">
        <f t="shared" si="7"/>
        <v>6</v>
      </c>
      <c r="U54" s="91">
        <v>10</v>
      </c>
      <c r="V54" s="90">
        <v>0.7819514274597168</v>
      </c>
      <c r="W54" s="90">
        <v>1.2788518667221069</v>
      </c>
      <c r="X54" s="90">
        <f t="shared" si="8"/>
        <v>0.2180485725402832</v>
      </c>
      <c r="Y54" s="90">
        <f t="shared" si="9"/>
        <v>0.27885186672210693</v>
      </c>
      <c r="Z54" s="91">
        <f>IF('Amputation Summary'!$Q$4=3, RANK(G54,G$8:G$82,1)+COUNTIF($G$8:G54,G54)-1, IF('Amputation Summary'!$Q$4&lt;3, RANK(U54,U$8:U$82,1)+COUNTIF($U$8:U54,U54)-1))</f>
        <v>48</v>
      </c>
      <c r="AA54" s="91">
        <f>IF('Amputation Summary'!$Q$4=3,G54, IF( 'Amputation Summary'!$Q$4=1, P54, IF('Amputation Summary'!$Q$4=2, F54)))</f>
        <v>1</v>
      </c>
      <c r="AB54" s="91">
        <f>IF('Amputation Summary'!$Q$4=3, V54, IF('Amputation Summary'!$Q$4=1, R54, IF('Amputation Summary'!$Q$4=2, AF54)))</f>
        <v>0.7819514274597168</v>
      </c>
      <c r="AC54" s="91">
        <f>IF('Amputation Summary'!$Q$4=3, Y54, IF('Amputation Summary'!$Q$4=1, T54, IF('Amputation Summary'!$Q$4=2, AG54)))</f>
        <v>0.27885186672210693</v>
      </c>
      <c r="AD54">
        <v>86</v>
      </c>
      <c r="AE54">
        <v>97</v>
      </c>
      <c r="AF54">
        <f t="shared" si="12"/>
        <v>7</v>
      </c>
      <c r="AG54">
        <f t="shared" si="13"/>
        <v>4</v>
      </c>
      <c r="AH54">
        <v>7</v>
      </c>
      <c r="AI54">
        <v>75</v>
      </c>
      <c r="AJ54">
        <v>1</v>
      </c>
      <c r="AK54" s="91">
        <f>IF('Amputation Summary'!$Q$4=3, AJ54, IF('Amputation Summary'!$Q$4=1, AH54, IF('Amputation Summary'!$Q$4=2, AI54)))</f>
        <v>1</v>
      </c>
      <c r="AL54" s="124">
        <v>0.93</v>
      </c>
    </row>
    <row r="55" spans="1:38" x14ac:dyDescent="0.25">
      <c r="A55" s="88" t="s">
        <v>118</v>
      </c>
      <c r="B55" s="88" t="s">
        <v>622</v>
      </c>
      <c r="C55" s="89">
        <v>138</v>
      </c>
      <c r="D55" s="89" t="s">
        <v>751</v>
      </c>
      <c r="E55" s="89" t="s">
        <v>752</v>
      </c>
      <c r="F55">
        <v>88</v>
      </c>
      <c r="G55" s="90">
        <v>0.97000002861022949</v>
      </c>
      <c r="H55" s="54">
        <v>0.8</v>
      </c>
      <c r="I55" s="54">
        <v>0.75</v>
      </c>
      <c r="J55" s="54">
        <v>4.9000000000000002E-2</v>
      </c>
      <c r="K55" s="40" t="str">
        <f t="shared" si="5"/>
        <v>RTH</v>
      </c>
      <c r="L55" s="40">
        <f t="shared" si="10"/>
        <v>2</v>
      </c>
      <c r="M55" s="40">
        <f t="shared" si="11"/>
        <v>2</v>
      </c>
      <c r="N55" s="91">
        <f>IF('Amputation Summary'!$Q$33=2, RANK(I55,I$8:I$82,1)+COUNTIF($I$8:I55,I55)-1, IF('Amputation Summary'!$Q$33=1, RANK(H55,H$8:H$82,1)+COUNTIF($H$8:H55,H55)-1))</f>
        <v>21</v>
      </c>
      <c r="O55" s="92">
        <f>IF('Amputation Summary'!$Q$33=2, I55, IF('Amputation Summary'!$Q$33=1, H55))</f>
        <v>0.8</v>
      </c>
      <c r="P55" s="91">
        <v>8</v>
      </c>
      <c r="Q55" s="91">
        <v>3</v>
      </c>
      <c r="R55" s="91">
        <f t="shared" si="6"/>
        <v>5</v>
      </c>
      <c r="S55" s="91">
        <v>20</v>
      </c>
      <c r="T55" s="91">
        <f t="shared" si="7"/>
        <v>12</v>
      </c>
      <c r="U55" s="91">
        <v>19</v>
      </c>
      <c r="V55" s="90">
        <v>0.69476139545440674</v>
      </c>
      <c r="W55" s="90">
        <v>1.3542779684066772</v>
      </c>
      <c r="X55" s="90">
        <f t="shared" si="8"/>
        <v>0.27523863315582275</v>
      </c>
      <c r="Y55" s="90">
        <f t="shared" si="9"/>
        <v>0.38427793979644775</v>
      </c>
      <c r="Z55" s="91">
        <f>IF('Amputation Summary'!$Q$4=3, RANK(G55,G$8:G$82,1)+COUNTIF($G$8:G55,G55)-1, IF('Amputation Summary'!$Q$4&lt;3, RANK(U55,U$8:U$82,1)+COUNTIF($U$8:U55,U55)-1))</f>
        <v>46</v>
      </c>
      <c r="AA55" s="91">
        <f>IF('Amputation Summary'!$Q$4=3,G55, IF( 'Amputation Summary'!$Q$4=1, P55, IF('Amputation Summary'!$Q$4=2, F55)))</f>
        <v>0.97000002861022949</v>
      </c>
      <c r="AB55" s="91">
        <f>IF('Amputation Summary'!$Q$4=3, V55, IF('Amputation Summary'!$Q$4=1, R55, IF('Amputation Summary'!$Q$4=2, AF55)))</f>
        <v>0.69476139545440674</v>
      </c>
      <c r="AC55" s="91">
        <f>IF('Amputation Summary'!$Q$4=3, Y55, IF('Amputation Summary'!$Q$4=1, T55, IF('Amputation Summary'!$Q$4=2, AG55)))</f>
        <v>0.38427793979644775</v>
      </c>
      <c r="AD55">
        <v>80</v>
      </c>
      <c r="AE55">
        <v>94</v>
      </c>
      <c r="AF55">
        <f t="shared" si="12"/>
        <v>8</v>
      </c>
      <c r="AG55">
        <f t="shared" si="13"/>
        <v>6</v>
      </c>
      <c r="AH55">
        <v>7</v>
      </c>
      <c r="AI55">
        <v>75</v>
      </c>
      <c r="AJ55">
        <v>1</v>
      </c>
      <c r="AK55" s="91">
        <f>IF('Amputation Summary'!$Q$4=3, AJ55, IF('Amputation Summary'!$Q$4=1, AH55, IF('Amputation Summary'!$Q$4=2, AI55)))</f>
        <v>1</v>
      </c>
      <c r="AL55" s="124">
        <v>0.88</v>
      </c>
    </row>
    <row r="56" spans="1:38" x14ac:dyDescent="0.25">
      <c r="A56" s="88" t="s">
        <v>128</v>
      </c>
      <c r="B56" s="88" t="s">
        <v>129</v>
      </c>
      <c r="C56" s="89">
        <v>188</v>
      </c>
      <c r="D56" s="89" t="s">
        <v>753</v>
      </c>
      <c r="E56" s="89" t="s">
        <v>754</v>
      </c>
      <c r="F56">
        <v>95</v>
      </c>
      <c r="G56" s="90">
        <v>1.0700000524520874</v>
      </c>
      <c r="H56" s="54">
        <v>0.85</v>
      </c>
      <c r="I56" s="54">
        <v>0.94</v>
      </c>
      <c r="J56" s="54">
        <v>5.2999999999999999E-2</v>
      </c>
      <c r="K56" s="40" t="str">
        <f t="shared" si="5"/>
        <v>RW6</v>
      </c>
      <c r="L56" s="40">
        <f t="shared" si="10"/>
        <v>2</v>
      </c>
      <c r="M56" s="40">
        <f t="shared" si="11"/>
        <v>4</v>
      </c>
      <c r="N56" s="91">
        <f>IF('Amputation Summary'!$Q$33=2, RANK(I56,I$8:I$82,1)+COUNTIF($I$8:I56,I56)-1, IF('Amputation Summary'!$Q$33=1, RANK(H56,H$8:H$82,1)+COUNTIF($H$8:H56,H56)-1))</f>
        <v>28</v>
      </c>
      <c r="O56" s="92">
        <f>IF('Amputation Summary'!$Q$33=2, I56, IF('Amputation Summary'!$Q$33=1, H56))</f>
        <v>0.85</v>
      </c>
      <c r="P56" s="91">
        <v>6</v>
      </c>
      <c r="Q56" s="91">
        <v>2</v>
      </c>
      <c r="R56" s="91">
        <f t="shared" si="6"/>
        <v>4</v>
      </c>
      <c r="S56" s="91">
        <v>15</v>
      </c>
      <c r="T56" s="91">
        <f t="shared" si="7"/>
        <v>9</v>
      </c>
      <c r="U56" s="91">
        <v>8</v>
      </c>
      <c r="V56" s="90">
        <v>0.8038179874420166</v>
      </c>
      <c r="W56" s="90">
        <v>1.4243274927139282</v>
      </c>
      <c r="X56" s="90">
        <f t="shared" si="8"/>
        <v>0.2661820650100708</v>
      </c>
      <c r="Y56" s="90">
        <f t="shared" si="9"/>
        <v>0.35432744026184082</v>
      </c>
      <c r="Z56" s="91">
        <f>IF('Amputation Summary'!$Q$4=3, RANK(G56,G$8:G$82,1)+COUNTIF($G$8:G56,G56)-1, IF('Amputation Summary'!$Q$4&lt;3, RANK(U56,U$8:U$82,1)+COUNTIF($U$8:U56,U56)-1))</f>
        <v>50</v>
      </c>
      <c r="AA56" s="91">
        <f>IF('Amputation Summary'!$Q$4=3,G56, IF( 'Amputation Summary'!$Q$4=1, P56, IF('Amputation Summary'!$Q$4=2, F56)))</f>
        <v>1.0700000524520874</v>
      </c>
      <c r="AB56" s="91">
        <f>IF('Amputation Summary'!$Q$4=3, V56, IF('Amputation Summary'!$Q$4=1, R56, IF('Amputation Summary'!$Q$4=2, AF56)))</f>
        <v>0.8038179874420166</v>
      </c>
      <c r="AC56" s="91">
        <f>IF('Amputation Summary'!$Q$4=3, Y56, IF('Amputation Summary'!$Q$4=1, T56, IF('Amputation Summary'!$Q$4=2, AG56)))</f>
        <v>0.35432744026184082</v>
      </c>
      <c r="AD56">
        <v>90</v>
      </c>
      <c r="AE56">
        <v>98</v>
      </c>
      <c r="AF56">
        <f t="shared" si="12"/>
        <v>5</v>
      </c>
      <c r="AG56">
        <f t="shared" si="13"/>
        <v>3</v>
      </c>
      <c r="AH56">
        <v>7</v>
      </c>
      <c r="AI56">
        <v>75</v>
      </c>
      <c r="AJ56">
        <v>1</v>
      </c>
      <c r="AK56" s="91">
        <f>IF('Amputation Summary'!$Q$4=3, AJ56, IF('Amputation Summary'!$Q$4=1, AH56, IF('Amputation Summary'!$Q$4=2, AI56)))</f>
        <v>1</v>
      </c>
      <c r="AL56" s="124">
        <v>0.95</v>
      </c>
    </row>
    <row r="57" spans="1:38" x14ac:dyDescent="0.25">
      <c r="A57" s="88" t="s">
        <v>101</v>
      </c>
      <c r="B57" s="88" t="s">
        <v>102</v>
      </c>
      <c r="C57" s="89">
        <v>32</v>
      </c>
      <c r="D57" s="89" t="s">
        <v>755</v>
      </c>
      <c r="E57" s="89" t="s">
        <v>756</v>
      </c>
      <c r="F57">
        <v>74</v>
      </c>
      <c r="G57" s="90">
        <v>0.68000000715255737</v>
      </c>
      <c r="H57" s="54">
        <v>0.88</v>
      </c>
      <c r="I57" s="54">
        <v>0</v>
      </c>
      <c r="J57" s="54">
        <v>4.9000000000000002E-2</v>
      </c>
      <c r="K57" s="40" t="str">
        <f t="shared" si="5"/>
        <v>RQW</v>
      </c>
      <c r="L57" s="40">
        <f t="shared" si="10"/>
        <v>2</v>
      </c>
      <c r="M57" s="40">
        <f t="shared" si="11"/>
        <v>1</v>
      </c>
      <c r="N57" s="91">
        <f>IF('Amputation Summary'!$Q$33=2, RANK(I57,I$8:I$82,1)+COUNTIF($I$8:I57,I57)-1, IF('Amputation Summary'!$Q$33=1, RANK(H57,H$8:H$82,1)+COUNTIF($H$8:H57,H57)-1))</f>
        <v>30</v>
      </c>
      <c r="O57" s="92">
        <f>IF('Amputation Summary'!$Q$33=2, I57, IF('Amputation Summary'!$Q$33=1, H57))</f>
        <v>0.88</v>
      </c>
      <c r="P57" s="91">
        <v>18</v>
      </c>
      <c r="Q57" s="91">
        <v>6</v>
      </c>
      <c r="R57" s="91">
        <f t="shared" si="6"/>
        <v>12</v>
      </c>
      <c r="S57" s="91">
        <v>80</v>
      </c>
      <c r="T57" s="91">
        <f t="shared" si="7"/>
        <v>62</v>
      </c>
      <c r="U57" s="91">
        <v>67</v>
      </c>
      <c r="V57" s="90">
        <v>0.33583378791809082</v>
      </c>
      <c r="W57" s="90">
        <v>1.3768717050552368</v>
      </c>
      <c r="X57" s="90">
        <f t="shared" si="8"/>
        <v>0.34416621923446655</v>
      </c>
      <c r="Y57" s="90">
        <f t="shared" si="9"/>
        <v>0.69687169790267944</v>
      </c>
      <c r="Z57" s="91">
        <f>IF('Amputation Summary'!$Q$4=3, RANK(G57,G$8:G$82,1)+COUNTIF($G$8:G57,G57)-1, IF('Amputation Summary'!$Q$4&lt;3, RANK(U57,U$8:U$82,1)+COUNTIF($U$8:U57,U57)-1))</f>
        <v>23</v>
      </c>
      <c r="AA57" s="91">
        <f>IF('Amputation Summary'!$Q$4=3,G57, IF( 'Amputation Summary'!$Q$4=1, P57, IF('Amputation Summary'!$Q$4=2, F57)))</f>
        <v>0.68000000715255737</v>
      </c>
      <c r="AB57" s="91">
        <f>IF('Amputation Summary'!$Q$4=3, V57, IF('Amputation Summary'!$Q$4=1, R57, IF('Amputation Summary'!$Q$4=2, AF57)))</f>
        <v>0.33583378791809082</v>
      </c>
      <c r="AC57" s="91">
        <f>IF('Amputation Summary'!$Q$4=3, Y57, IF('Amputation Summary'!$Q$4=1, T57, IF('Amputation Summary'!$Q$4=2, AG57)))</f>
        <v>0.69687169790267944</v>
      </c>
      <c r="AD57">
        <v>52</v>
      </c>
      <c r="AE57">
        <v>90</v>
      </c>
      <c r="AF57">
        <f t="shared" si="12"/>
        <v>22</v>
      </c>
      <c r="AG57">
        <f t="shared" si="13"/>
        <v>16</v>
      </c>
      <c r="AH57">
        <v>7</v>
      </c>
      <c r="AI57">
        <v>75</v>
      </c>
      <c r="AJ57">
        <v>1</v>
      </c>
      <c r="AK57" s="91">
        <f>IF('Amputation Summary'!$Q$4=3, AJ57, IF('Amputation Summary'!$Q$4=1, AH57, IF('Amputation Summary'!$Q$4=2, AI57)))</f>
        <v>1</v>
      </c>
      <c r="AL57" s="124">
        <v>0.74</v>
      </c>
    </row>
    <row r="58" spans="1:38" x14ac:dyDescent="0.25">
      <c r="A58" s="88" t="s">
        <v>42</v>
      </c>
      <c r="B58" s="88" t="s">
        <v>43</v>
      </c>
      <c r="C58" s="89">
        <v>94</v>
      </c>
      <c r="D58" s="89" t="s">
        <v>757</v>
      </c>
      <c r="E58" s="89" t="s">
        <v>758</v>
      </c>
      <c r="F58">
        <v>95</v>
      </c>
      <c r="G58" s="90">
        <v>0.54000002145767212</v>
      </c>
      <c r="H58" s="54">
        <v>0.97</v>
      </c>
      <c r="I58" s="54">
        <v>0.83</v>
      </c>
      <c r="J58" s="54">
        <v>4.8000000000000001E-2</v>
      </c>
      <c r="K58" s="40" t="str">
        <f t="shared" si="5"/>
        <v>RDZ</v>
      </c>
      <c r="L58" s="40">
        <f t="shared" si="10"/>
        <v>4</v>
      </c>
      <c r="M58" s="40">
        <f t="shared" si="11"/>
        <v>3</v>
      </c>
      <c r="N58" s="91">
        <f>IF('Amputation Summary'!$Q$33=2, RANK(I58,I$8:I$82,1)+COUNTIF($I$8:I58,I58)-1, IF('Amputation Summary'!$Q$33=1, RANK(H58,H$8:H$82,1)+COUNTIF($H$8:H58,H58)-1))</f>
        <v>56</v>
      </c>
      <c r="O58" s="92">
        <f>IF('Amputation Summary'!$Q$33=2, I58, IF('Amputation Summary'!$Q$33=1, H58))</f>
        <v>0.97</v>
      </c>
      <c r="P58" s="91">
        <v>6</v>
      </c>
      <c r="Q58" s="91">
        <v>2</v>
      </c>
      <c r="R58" s="91">
        <f t="shared" si="6"/>
        <v>4</v>
      </c>
      <c r="S58" s="91">
        <v>19</v>
      </c>
      <c r="T58" s="91">
        <f t="shared" si="7"/>
        <v>13</v>
      </c>
      <c r="U58" s="91">
        <v>9</v>
      </c>
      <c r="V58" s="90">
        <v>0.35355022549629211</v>
      </c>
      <c r="W58" s="90">
        <v>0.82477676868438721</v>
      </c>
      <c r="X58" s="90">
        <f t="shared" si="8"/>
        <v>0.18644979596138</v>
      </c>
      <c r="Y58" s="90">
        <f t="shared" si="9"/>
        <v>0.28477674722671509</v>
      </c>
      <c r="Z58" s="91">
        <f>IF('Amputation Summary'!$Q$4=3, RANK(G58,G$8:G$82,1)+COUNTIF($G$8:G58,G58)-1, IF('Amputation Summary'!$Q$4&lt;3, RANK(U58,U$8:U$82,1)+COUNTIF($U$8:U58,U58)-1))</f>
        <v>10</v>
      </c>
      <c r="AA58" s="91">
        <f>IF('Amputation Summary'!$Q$4=3,G58, IF( 'Amputation Summary'!$Q$4=1, P58, IF('Amputation Summary'!$Q$4=2, F58)))</f>
        <v>0.54000002145767212</v>
      </c>
      <c r="AB58" s="91">
        <f>IF('Amputation Summary'!$Q$4=3, V58, IF('Amputation Summary'!$Q$4=1, R58, IF('Amputation Summary'!$Q$4=2, AF58)))</f>
        <v>0.35355022549629211</v>
      </c>
      <c r="AC58" s="91">
        <f>IF('Amputation Summary'!$Q$4=3, Y58, IF('Amputation Summary'!$Q$4=1, T58, IF('Amputation Summary'!$Q$4=2, AG58)))</f>
        <v>0.28477674722671509</v>
      </c>
      <c r="AD58">
        <v>86</v>
      </c>
      <c r="AE58">
        <v>99</v>
      </c>
      <c r="AF58">
        <f t="shared" si="12"/>
        <v>9</v>
      </c>
      <c r="AG58">
        <f t="shared" si="13"/>
        <v>4</v>
      </c>
      <c r="AH58">
        <v>7</v>
      </c>
      <c r="AI58">
        <v>75</v>
      </c>
      <c r="AJ58">
        <v>1</v>
      </c>
      <c r="AK58" s="91">
        <f>IF('Amputation Summary'!$Q$4=3, AJ58, IF('Amputation Summary'!$Q$4=1, AH58, IF('Amputation Summary'!$Q$4=2, AI58)))</f>
        <v>1</v>
      </c>
      <c r="AL58" s="124">
        <v>0.95</v>
      </c>
    </row>
    <row r="59" spans="1:38" x14ac:dyDescent="0.25">
      <c r="A59" s="88" t="s">
        <v>111</v>
      </c>
      <c r="B59" s="88" t="s">
        <v>112</v>
      </c>
      <c r="C59" s="89">
        <v>1</v>
      </c>
      <c r="D59" s="89" t="s">
        <v>759</v>
      </c>
      <c r="E59" s="89" t="s">
        <v>399</v>
      </c>
      <c r="F59" t="s">
        <v>399</v>
      </c>
      <c r="G59" s="90">
        <v>0</v>
      </c>
      <c r="H59" s="54">
        <v>1</v>
      </c>
      <c r="I59" s="54">
        <v>1</v>
      </c>
      <c r="J59" s="54">
        <v>0</v>
      </c>
      <c r="K59" s="40" t="str">
        <f t="shared" si="5"/>
        <v>RT3</v>
      </c>
      <c r="L59" s="40">
        <f t="shared" si="10"/>
        <v>4</v>
      </c>
      <c r="M59" s="40">
        <f t="shared" si="11"/>
        <v>4</v>
      </c>
      <c r="N59" s="91">
        <f>IF('Amputation Summary'!$Q$33=2, RANK(I59,I$8:I$82,1)+COUNTIF($I$8:I59,I59)-1, IF('Amputation Summary'!$Q$33=1, RANK(H59,H$8:H$82,1)+COUNTIF($H$8:H59,H59)-1))</f>
        <v>72</v>
      </c>
      <c r="O59" s="92">
        <f>IF('Amputation Summary'!$Q$33=2, I59, IF('Amputation Summary'!$Q$33=1, H59))</f>
        <v>1</v>
      </c>
      <c r="P59" s="91" t="s">
        <v>399</v>
      </c>
      <c r="Q59" s="91" t="e">
        <v>#VALUE!</v>
      </c>
      <c r="R59" s="91" t="e">
        <f t="shared" si="6"/>
        <v>#VALUE!</v>
      </c>
      <c r="S59" s="91" t="e">
        <v>#VALUE!</v>
      </c>
      <c r="T59" s="91" t="e">
        <f t="shared" si="7"/>
        <v>#VALUE!</v>
      </c>
      <c r="U59" s="91" t="s">
        <v>399</v>
      </c>
      <c r="V59" s="90">
        <v>0</v>
      </c>
      <c r="W59" s="90">
        <v>0</v>
      </c>
      <c r="X59" s="90">
        <f t="shared" si="8"/>
        <v>0</v>
      </c>
      <c r="Y59" s="90">
        <f t="shared" si="9"/>
        <v>0</v>
      </c>
      <c r="Z59" s="91">
        <f>IF('Amputation Summary'!$Q$4=3, RANK(G59,G$8:G$82,1)+COUNTIF($G$8:G59,G59)-1, IF('Amputation Summary'!$Q$4&lt;3, RANK(U59,U$8:U$82,1)+COUNTIF($U$8:U59,U59)-1))</f>
        <v>2</v>
      </c>
      <c r="AA59" s="91">
        <f>IF('Amputation Summary'!$Q$4=3,G59, IF( 'Amputation Summary'!$Q$4=1, P59, IF('Amputation Summary'!$Q$4=2, F59)))</f>
        <v>0</v>
      </c>
      <c r="AB59" s="91">
        <f>IF('Amputation Summary'!$Q$4=3, V59, IF('Amputation Summary'!$Q$4=1, R59, IF('Amputation Summary'!$Q$4=2, AF59)))</f>
        <v>0</v>
      </c>
      <c r="AC59" s="91">
        <f>IF('Amputation Summary'!$Q$4=3, Y59, IF('Amputation Summary'!$Q$4=1, T59, IF('Amputation Summary'!$Q$4=2, AG59)))</f>
        <v>0</v>
      </c>
      <c r="AD59" t="s">
        <v>399</v>
      </c>
      <c r="AE59" t="s">
        <v>399</v>
      </c>
      <c r="AF59" t="e">
        <f t="shared" si="12"/>
        <v>#VALUE!</v>
      </c>
      <c r="AG59" t="e">
        <f t="shared" si="13"/>
        <v>#VALUE!</v>
      </c>
      <c r="AH59">
        <v>7</v>
      </c>
      <c r="AI59">
        <v>75</v>
      </c>
      <c r="AJ59">
        <v>1</v>
      </c>
      <c r="AK59" s="91">
        <f>IF('Amputation Summary'!$Q$4=3, AJ59, IF('Amputation Summary'!$Q$4=1, AH59, IF('Amputation Summary'!$Q$4=2, AI59)))</f>
        <v>1</v>
      </c>
      <c r="AL59" t="e">
        <v>#VALUE!</v>
      </c>
    </row>
    <row r="60" spans="1:38" x14ac:dyDescent="0.25">
      <c r="A60" s="88" t="s">
        <v>44</v>
      </c>
      <c r="B60" s="88" t="s">
        <v>45</v>
      </c>
      <c r="C60" s="89">
        <v>131</v>
      </c>
      <c r="D60" s="89" t="s">
        <v>760</v>
      </c>
      <c r="E60" s="89" t="s">
        <v>761</v>
      </c>
      <c r="F60">
        <v>74</v>
      </c>
      <c r="G60" s="90">
        <v>0.56000000238418579</v>
      </c>
      <c r="H60" s="54">
        <v>0.96</v>
      </c>
      <c r="I60" s="54">
        <v>0.91</v>
      </c>
      <c r="J60" s="54">
        <v>4.3999999999999997E-2</v>
      </c>
      <c r="K60" s="40" t="str">
        <f t="shared" si="5"/>
        <v>REF</v>
      </c>
      <c r="L60" s="40">
        <f t="shared" si="10"/>
        <v>3</v>
      </c>
      <c r="M60" s="40">
        <f t="shared" si="11"/>
        <v>4</v>
      </c>
      <c r="N60" s="91">
        <f>IF('Amputation Summary'!$Q$33=2, RANK(I60,I$8:I$82,1)+COUNTIF($I$8:I60,I60)-1, IF('Amputation Summary'!$Q$33=1, RANK(H60,H$8:H$82,1)+COUNTIF($H$8:H60,H60)-1))</f>
        <v>50</v>
      </c>
      <c r="O60" s="92">
        <f>IF('Amputation Summary'!$Q$33=2, I60, IF('Amputation Summary'!$Q$33=1, H60))</f>
        <v>0.96</v>
      </c>
      <c r="P60" s="91">
        <v>11</v>
      </c>
      <c r="Q60" s="91">
        <v>5</v>
      </c>
      <c r="R60" s="91">
        <f t="shared" si="6"/>
        <v>6</v>
      </c>
      <c r="S60" s="91">
        <v>30</v>
      </c>
      <c r="T60" s="91">
        <f t="shared" si="7"/>
        <v>19</v>
      </c>
      <c r="U60" s="91">
        <v>51</v>
      </c>
      <c r="V60" s="90">
        <v>0.39186134934425354</v>
      </c>
      <c r="W60" s="90">
        <v>0.80028307437896729</v>
      </c>
      <c r="X60" s="90">
        <f t="shared" si="8"/>
        <v>0.16813865303993225</v>
      </c>
      <c r="Y60" s="90">
        <f t="shared" si="9"/>
        <v>0.24028307199478149</v>
      </c>
      <c r="Z60" s="91">
        <f>IF('Amputation Summary'!$Q$4=3, RANK(G60,G$8:G$82,1)+COUNTIF($G$8:G60,G60)-1, IF('Amputation Summary'!$Q$4&lt;3, RANK(U60,U$8:U$82,1)+COUNTIF($U$8:U60,U60)-1))</f>
        <v>14</v>
      </c>
      <c r="AA60" s="91">
        <f>IF('Amputation Summary'!$Q$4=3,G60, IF( 'Amputation Summary'!$Q$4=1, P60, IF('Amputation Summary'!$Q$4=2, F60)))</f>
        <v>0.56000000238418579</v>
      </c>
      <c r="AB60" s="91">
        <f>IF('Amputation Summary'!$Q$4=3, V60, IF('Amputation Summary'!$Q$4=1, R60, IF('Amputation Summary'!$Q$4=2, AF60)))</f>
        <v>0.39186134934425354</v>
      </c>
      <c r="AC60" s="91">
        <f>IF('Amputation Summary'!$Q$4=3, Y60, IF('Amputation Summary'!$Q$4=1, T60, IF('Amputation Summary'!$Q$4=2, AG60)))</f>
        <v>0.24028307199478149</v>
      </c>
      <c r="AD60">
        <v>64</v>
      </c>
      <c r="AE60">
        <v>83</v>
      </c>
      <c r="AF60">
        <f t="shared" si="12"/>
        <v>10</v>
      </c>
      <c r="AG60">
        <f t="shared" si="13"/>
        <v>9</v>
      </c>
      <c r="AH60">
        <v>7</v>
      </c>
      <c r="AI60">
        <v>75</v>
      </c>
      <c r="AJ60">
        <v>1</v>
      </c>
      <c r="AK60" s="91">
        <f>IF('Amputation Summary'!$Q$4=3, AJ60, IF('Amputation Summary'!$Q$4=1, AH60, IF('Amputation Summary'!$Q$4=2, AI60)))</f>
        <v>1</v>
      </c>
      <c r="AL60" s="124">
        <v>0.74</v>
      </c>
    </row>
    <row r="61" spans="1:38" x14ac:dyDescent="0.25">
      <c r="A61" s="88" t="s">
        <v>56</v>
      </c>
      <c r="B61" s="88" t="s">
        <v>57</v>
      </c>
      <c r="C61" s="89">
        <v>115</v>
      </c>
      <c r="D61" s="89" t="s">
        <v>762</v>
      </c>
      <c r="E61" s="89" t="s">
        <v>729</v>
      </c>
      <c r="F61">
        <v>89</v>
      </c>
      <c r="G61" s="90">
        <v>0.55000001192092896</v>
      </c>
      <c r="H61" s="54">
        <v>0.92</v>
      </c>
      <c r="I61" s="54">
        <v>0.95</v>
      </c>
      <c r="J61" s="54">
        <v>7.0000000000000007E-2</v>
      </c>
      <c r="K61" s="40" t="str">
        <f t="shared" si="5"/>
        <v>RH8</v>
      </c>
      <c r="L61" s="40">
        <f t="shared" si="10"/>
        <v>3</v>
      </c>
      <c r="M61" s="40">
        <f t="shared" si="11"/>
        <v>4</v>
      </c>
      <c r="N61" s="91">
        <f>IF('Amputation Summary'!$Q$33=2, RANK(I61,I$8:I$82,1)+COUNTIF($I$8:I61,I61)-1, IF('Amputation Summary'!$Q$33=1, RANK(H61,H$8:H$82,1)+COUNTIF($H$8:H61,H61)-1))</f>
        <v>38</v>
      </c>
      <c r="O61" s="92">
        <f>IF('Amputation Summary'!$Q$33=2, I61, IF('Amputation Summary'!$Q$33=1, H61))</f>
        <v>0.92</v>
      </c>
      <c r="P61" s="91">
        <v>9</v>
      </c>
      <c r="Q61" s="91">
        <v>5</v>
      </c>
      <c r="R61" s="91">
        <f t="shared" si="6"/>
        <v>4</v>
      </c>
      <c r="S61" s="91">
        <v>23</v>
      </c>
      <c r="T61" s="91">
        <f t="shared" si="7"/>
        <v>14</v>
      </c>
      <c r="U61" s="91">
        <v>35</v>
      </c>
      <c r="V61" s="90">
        <v>0.37552616000175476</v>
      </c>
      <c r="W61" s="90">
        <v>0.80553650856018066</v>
      </c>
      <c r="X61" s="90">
        <f t="shared" si="8"/>
        <v>0.17447385191917419</v>
      </c>
      <c r="Y61" s="90">
        <f t="shared" si="9"/>
        <v>0.25553649663925171</v>
      </c>
      <c r="Z61" s="91">
        <f>IF('Amputation Summary'!$Q$4=3, RANK(G61,G$8:G$82,1)+COUNTIF($G$8:G61,G61)-1, IF('Amputation Summary'!$Q$4&lt;3, RANK(U61,U$8:U$82,1)+COUNTIF($U$8:U61,U61)-1))</f>
        <v>12</v>
      </c>
      <c r="AA61" s="91">
        <f>IF('Amputation Summary'!$Q$4=3,G61, IF( 'Amputation Summary'!$Q$4=1, P61, IF('Amputation Summary'!$Q$4=2, F61)))</f>
        <v>0.55000001192092896</v>
      </c>
      <c r="AB61" s="91">
        <f>IF('Amputation Summary'!$Q$4=3, V61, IF('Amputation Summary'!$Q$4=1, R61, IF('Amputation Summary'!$Q$4=2, AF61)))</f>
        <v>0.37552616000175476</v>
      </c>
      <c r="AC61" s="91">
        <f>IF('Amputation Summary'!$Q$4=3, Y61, IF('Amputation Summary'!$Q$4=1, T61, IF('Amputation Summary'!$Q$4=2, AG61)))</f>
        <v>0.25553649663925171</v>
      </c>
      <c r="AD61">
        <v>78</v>
      </c>
      <c r="AE61">
        <v>95</v>
      </c>
      <c r="AF61">
        <f t="shared" si="12"/>
        <v>11</v>
      </c>
      <c r="AG61">
        <f t="shared" si="13"/>
        <v>6</v>
      </c>
      <c r="AH61">
        <v>7</v>
      </c>
      <c r="AI61">
        <v>75</v>
      </c>
      <c r="AJ61">
        <v>1</v>
      </c>
      <c r="AK61" s="91">
        <f>IF('Amputation Summary'!$Q$4=3, AJ61, IF('Amputation Summary'!$Q$4=1, AH61, IF('Amputation Summary'!$Q$4=2, AI61)))</f>
        <v>1</v>
      </c>
      <c r="AL61" s="124">
        <v>0.89</v>
      </c>
    </row>
    <row r="62" spans="1:38" x14ac:dyDescent="0.25">
      <c r="A62" s="88" t="s">
        <v>23</v>
      </c>
      <c r="B62" s="88" t="s">
        <v>24</v>
      </c>
      <c r="C62" s="89">
        <v>154</v>
      </c>
      <c r="D62" s="89" t="s">
        <v>763</v>
      </c>
      <c r="E62" s="89" t="s">
        <v>764</v>
      </c>
      <c r="F62">
        <v>79</v>
      </c>
      <c r="G62" s="90">
        <v>1.2000000476837158</v>
      </c>
      <c r="H62" s="54">
        <v>0.83</v>
      </c>
      <c r="I62" s="54">
        <v>0.88</v>
      </c>
      <c r="J62" s="54">
        <v>3.5000000000000003E-2</v>
      </c>
      <c r="K62" s="40" t="str">
        <f t="shared" si="5"/>
        <v>RAL</v>
      </c>
      <c r="L62" s="40">
        <f t="shared" si="10"/>
        <v>2</v>
      </c>
      <c r="M62" s="40">
        <f t="shared" si="11"/>
        <v>3</v>
      </c>
      <c r="N62" s="91">
        <f>IF('Amputation Summary'!$Q$33=2, RANK(I62,I$8:I$82,1)+COUNTIF($I$8:I62,I62)-1, IF('Amputation Summary'!$Q$33=1, RANK(H62,H$8:H$82,1)+COUNTIF($H$8:H62,H62)-1))</f>
        <v>25</v>
      </c>
      <c r="O62" s="92">
        <f>IF('Amputation Summary'!$Q$33=2, I62, IF('Amputation Summary'!$Q$33=1, H62))</f>
        <v>0.83</v>
      </c>
      <c r="P62" s="91">
        <v>11</v>
      </c>
      <c r="Q62" s="91">
        <v>4</v>
      </c>
      <c r="R62" s="91">
        <f t="shared" si="6"/>
        <v>7</v>
      </c>
      <c r="S62" s="91">
        <v>30</v>
      </c>
      <c r="T62" s="91">
        <f t="shared" si="7"/>
        <v>19</v>
      </c>
      <c r="U62" s="91">
        <v>50</v>
      </c>
      <c r="V62" s="90">
        <v>0.87382560968399048</v>
      </c>
      <c r="W62" s="90">
        <v>1.6479262113571167</v>
      </c>
      <c r="X62" s="90">
        <f t="shared" si="8"/>
        <v>0.32617443799972534</v>
      </c>
      <c r="Y62" s="90">
        <f t="shared" si="9"/>
        <v>0.44792616367340088</v>
      </c>
      <c r="Z62" s="91">
        <f>IF('Amputation Summary'!$Q$4=3, RANK(G62,G$8:G$82,1)+COUNTIF($G$8:G62,G62)-1, IF('Amputation Summary'!$Q$4&lt;3, RANK(U62,U$8:U$82,1)+COUNTIF($U$8:U62,U62)-1))</f>
        <v>58</v>
      </c>
      <c r="AA62" s="91">
        <f>IF('Amputation Summary'!$Q$4=3,G62, IF( 'Amputation Summary'!$Q$4=1, P62, IF('Amputation Summary'!$Q$4=2, F62)))</f>
        <v>1.2000000476837158</v>
      </c>
      <c r="AB62" s="91">
        <f>IF('Amputation Summary'!$Q$4=3, V62, IF('Amputation Summary'!$Q$4=1, R62, IF('Amputation Summary'!$Q$4=2, AF62)))</f>
        <v>0.87382560968399048</v>
      </c>
      <c r="AC62" s="91">
        <f>IF('Amputation Summary'!$Q$4=3, Y62, IF('Amputation Summary'!$Q$4=1, T62, IF('Amputation Summary'!$Q$4=2, AG62)))</f>
        <v>0.44792616367340088</v>
      </c>
      <c r="AD62">
        <v>69</v>
      </c>
      <c r="AE62">
        <v>87</v>
      </c>
      <c r="AF62">
        <f t="shared" si="12"/>
        <v>10</v>
      </c>
      <c r="AG62">
        <f t="shared" si="13"/>
        <v>8</v>
      </c>
      <c r="AH62">
        <v>7</v>
      </c>
      <c r="AI62">
        <v>75</v>
      </c>
      <c r="AJ62">
        <v>1</v>
      </c>
      <c r="AK62" s="91">
        <f>IF('Amputation Summary'!$Q$4=3, AJ62, IF('Amputation Summary'!$Q$4=1, AH62, IF('Amputation Summary'!$Q$4=2, AI62)))</f>
        <v>1</v>
      </c>
      <c r="AL62" s="124">
        <v>0.79</v>
      </c>
    </row>
    <row r="63" spans="1:38" x14ac:dyDescent="0.25">
      <c r="A63" s="88" t="s">
        <v>60</v>
      </c>
      <c r="B63" s="88" t="s">
        <v>61</v>
      </c>
      <c r="C63" s="89">
        <v>79</v>
      </c>
      <c r="D63" s="89" t="s">
        <v>765</v>
      </c>
      <c r="E63" s="89" t="s">
        <v>766</v>
      </c>
      <c r="F63">
        <v>91</v>
      </c>
      <c r="G63" s="90">
        <v>0.80000001192092896</v>
      </c>
      <c r="H63" s="54">
        <v>0.96</v>
      </c>
      <c r="I63" s="54">
        <v>0.71</v>
      </c>
      <c r="J63" s="54">
        <v>6.7000000000000004E-2</v>
      </c>
      <c r="K63" s="40" t="str">
        <f t="shared" si="5"/>
        <v>RHQ</v>
      </c>
      <c r="L63" s="40">
        <f t="shared" si="10"/>
        <v>3</v>
      </c>
      <c r="M63" s="40">
        <f t="shared" si="11"/>
        <v>2</v>
      </c>
      <c r="N63" s="91">
        <f>IF('Amputation Summary'!$Q$33=2, RANK(I63,I$8:I$82,1)+COUNTIF($I$8:I63,I63)-1, IF('Amputation Summary'!$Q$33=1, RANK(H63,H$8:H$82,1)+COUNTIF($H$8:H63,H63)-1))</f>
        <v>51</v>
      </c>
      <c r="O63" s="92">
        <f>IF('Amputation Summary'!$Q$33=2, I63, IF('Amputation Summary'!$Q$33=1, H63))</f>
        <v>0.96</v>
      </c>
      <c r="P63" s="91">
        <v>7</v>
      </c>
      <c r="Q63" s="91">
        <v>3</v>
      </c>
      <c r="R63" s="91">
        <f t="shared" si="6"/>
        <v>4</v>
      </c>
      <c r="S63" s="91">
        <v>15</v>
      </c>
      <c r="T63" s="91">
        <f t="shared" si="7"/>
        <v>8</v>
      </c>
      <c r="U63" s="91">
        <v>13</v>
      </c>
      <c r="V63" s="90">
        <v>0.51321101188659668</v>
      </c>
      <c r="W63" s="90">
        <v>1.247050404548645</v>
      </c>
      <c r="X63" s="90">
        <f t="shared" si="8"/>
        <v>0.28678900003433228</v>
      </c>
      <c r="Y63" s="90">
        <f t="shared" si="9"/>
        <v>0.44705039262771606</v>
      </c>
      <c r="Z63" s="91">
        <f>IF('Amputation Summary'!$Q$4=3, RANK(G63,G$8:G$82,1)+COUNTIF($G$8:G63,G63)-1, IF('Amputation Summary'!$Q$4&lt;3, RANK(U63,U$8:U$82,1)+COUNTIF($U$8:U63,U63)-1))</f>
        <v>35</v>
      </c>
      <c r="AA63" s="91">
        <f>IF('Amputation Summary'!$Q$4=3,G63, IF( 'Amputation Summary'!$Q$4=1, P63, IF('Amputation Summary'!$Q$4=2, F63)))</f>
        <v>0.80000001192092896</v>
      </c>
      <c r="AB63" s="91">
        <f>IF('Amputation Summary'!$Q$4=3, V63, IF('Amputation Summary'!$Q$4=1, R63, IF('Amputation Summary'!$Q$4=2, AF63)))</f>
        <v>0.51321101188659668</v>
      </c>
      <c r="AC63" s="91">
        <f>IF('Amputation Summary'!$Q$4=3, Y63, IF('Amputation Summary'!$Q$4=1, T63, IF('Amputation Summary'!$Q$4=2, AG63)))</f>
        <v>0.44705039262771606</v>
      </c>
      <c r="AD63">
        <v>80</v>
      </c>
      <c r="AE63">
        <v>97</v>
      </c>
      <c r="AF63">
        <f t="shared" si="12"/>
        <v>11</v>
      </c>
      <c r="AG63">
        <f t="shared" si="13"/>
        <v>6</v>
      </c>
      <c r="AH63">
        <v>7</v>
      </c>
      <c r="AI63">
        <v>75</v>
      </c>
      <c r="AJ63">
        <v>1</v>
      </c>
      <c r="AK63" s="91">
        <f>IF('Amputation Summary'!$Q$4=3, AJ63, IF('Amputation Summary'!$Q$4=1, AH63, IF('Amputation Summary'!$Q$4=2, AI63)))</f>
        <v>1</v>
      </c>
      <c r="AL63" s="124">
        <v>0.91</v>
      </c>
    </row>
    <row r="64" spans="1:38" x14ac:dyDescent="0.25">
      <c r="A64" s="88" t="s">
        <v>156</v>
      </c>
      <c r="B64" s="88" t="s">
        <v>157</v>
      </c>
      <c r="C64" s="89">
        <v>115</v>
      </c>
      <c r="D64" s="89" t="s">
        <v>767</v>
      </c>
      <c r="E64" s="89" t="s">
        <v>768</v>
      </c>
      <c r="F64">
        <v>83</v>
      </c>
      <c r="G64" s="90">
        <v>0.92000001668930054</v>
      </c>
      <c r="H64" s="54">
        <v>0.97</v>
      </c>
      <c r="I64" s="54">
        <v>0.83</v>
      </c>
      <c r="J64" s="54">
        <v>6.6000000000000003E-2</v>
      </c>
      <c r="K64" s="40" t="str">
        <f t="shared" si="5"/>
        <v>RXW</v>
      </c>
      <c r="L64" s="40">
        <f t="shared" si="10"/>
        <v>4</v>
      </c>
      <c r="M64" s="40">
        <f t="shared" si="11"/>
        <v>3</v>
      </c>
      <c r="N64" s="91">
        <f>IF('Amputation Summary'!$Q$33=2, RANK(I64,I$8:I$82,1)+COUNTIF($I$8:I64,I64)-1, IF('Amputation Summary'!$Q$33=1, RANK(H64,H$8:H$82,1)+COUNTIF($H$8:H64,H64)-1))</f>
        <v>57</v>
      </c>
      <c r="O64" s="92">
        <f>IF('Amputation Summary'!$Q$33=2, I64, IF('Amputation Summary'!$Q$33=1, H64))</f>
        <v>0.97</v>
      </c>
      <c r="P64" s="91">
        <v>10</v>
      </c>
      <c r="Q64" s="91">
        <v>3</v>
      </c>
      <c r="R64" s="91">
        <f t="shared" si="6"/>
        <v>7</v>
      </c>
      <c r="S64" s="91">
        <v>42</v>
      </c>
      <c r="T64" s="91">
        <f t="shared" si="7"/>
        <v>32</v>
      </c>
      <c r="U64" s="91">
        <v>36</v>
      </c>
      <c r="V64" s="90">
        <v>0.63809412717819214</v>
      </c>
      <c r="W64" s="90">
        <v>1.3264501094818115</v>
      </c>
      <c r="X64" s="90">
        <f t="shared" si="8"/>
        <v>0.2819058895111084</v>
      </c>
      <c r="Y64" s="90">
        <f t="shared" si="9"/>
        <v>0.40645009279251099</v>
      </c>
      <c r="Z64" s="91">
        <f>IF('Amputation Summary'!$Q$4=3, RANK(G64,G$8:G$82,1)+COUNTIF($G$8:G64,G64)-1, IF('Amputation Summary'!$Q$4&lt;3, RANK(U64,U$8:U$82,1)+COUNTIF($U$8:U64,U64)-1))</f>
        <v>43</v>
      </c>
      <c r="AA64" s="91">
        <f>IF('Amputation Summary'!$Q$4=3,G64, IF( 'Amputation Summary'!$Q$4=1, P64, IF('Amputation Summary'!$Q$4=2, F64)))</f>
        <v>0.92000001668930054</v>
      </c>
      <c r="AB64" s="91">
        <f>IF('Amputation Summary'!$Q$4=3, V64, IF('Amputation Summary'!$Q$4=1, R64, IF('Amputation Summary'!$Q$4=2, AF64)))</f>
        <v>0.63809412717819214</v>
      </c>
      <c r="AC64" s="91">
        <f>IF('Amputation Summary'!$Q$4=3, Y64, IF('Amputation Summary'!$Q$4=1, T64, IF('Amputation Summary'!$Q$4=2, AG64)))</f>
        <v>0.40645009279251099</v>
      </c>
      <c r="AD64">
        <v>72</v>
      </c>
      <c r="AE64">
        <v>91</v>
      </c>
      <c r="AF64">
        <f t="shared" si="12"/>
        <v>11</v>
      </c>
      <c r="AG64">
        <f t="shared" si="13"/>
        <v>8</v>
      </c>
      <c r="AH64">
        <v>7</v>
      </c>
      <c r="AI64">
        <v>75</v>
      </c>
      <c r="AJ64">
        <v>1</v>
      </c>
      <c r="AK64" s="91">
        <f>IF('Amputation Summary'!$Q$4=3, AJ64, IF('Amputation Summary'!$Q$4=1, AH64, IF('Amputation Summary'!$Q$4=2, AI64)))</f>
        <v>1</v>
      </c>
      <c r="AL64" s="124">
        <v>0.83</v>
      </c>
    </row>
    <row r="65" spans="1:38" x14ac:dyDescent="0.25">
      <c r="A65" s="88" t="s">
        <v>122</v>
      </c>
      <c r="B65" s="88" t="s">
        <v>123</v>
      </c>
      <c r="C65" s="89">
        <v>140</v>
      </c>
      <c r="D65" s="89" t="s">
        <v>769</v>
      </c>
      <c r="E65" s="89" t="s">
        <v>770</v>
      </c>
      <c r="F65">
        <v>89</v>
      </c>
      <c r="G65" s="90">
        <v>2.5</v>
      </c>
      <c r="H65" s="54">
        <v>0.83</v>
      </c>
      <c r="I65" s="54">
        <v>0.82</v>
      </c>
      <c r="J65" s="54">
        <v>2.1000000000000001E-2</v>
      </c>
      <c r="K65" s="40" t="str">
        <f t="shared" si="5"/>
        <v>RTR</v>
      </c>
      <c r="L65" s="40">
        <f t="shared" si="10"/>
        <v>2</v>
      </c>
      <c r="M65" s="40">
        <f t="shared" si="11"/>
        <v>3</v>
      </c>
      <c r="N65" s="91">
        <f>IF('Amputation Summary'!$Q$33=2, RANK(I65,I$8:I$82,1)+COUNTIF($I$8:I65,I65)-1, IF('Amputation Summary'!$Q$33=1, RANK(H65,H$8:H$82,1)+COUNTIF($H$8:H65,H65)-1))</f>
        <v>26</v>
      </c>
      <c r="O65" s="92">
        <f>IF('Amputation Summary'!$Q$33=2, I65, IF('Amputation Summary'!$Q$33=1, H65))</f>
        <v>0.83</v>
      </c>
      <c r="P65" s="91">
        <v>8</v>
      </c>
      <c r="Q65" s="91">
        <v>3</v>
      </c>
      <c r="R65" s="91">
        <f t="shared" si="6"/>
        <v>5</v>
      </c>
      <c r="S65" s="91">
        <v>17</v>
      </c>
      <c r="T65" s="91">
        <f t="shared" si="7"/>
        <v>9</v>
      </c>
      <c r="U65" s="91">
        <v>18</v>
      </c>
      <c r="V65" s="90">
        <v>1.7325742244720459</v>
      </c>
      <c r="W65" s="90">
        <v>3.607349157333374</v>
      </c>
      <c r="X65" s="90">
        <f t="shared" si="8"/>
        <v>0.7674257755279541</v>
      </c>
      <c r="Y65" s="90">
        <f t="shared" si="9"/>
        <v>1.107349157333374</v>
      </c>
      <c r="Z65" s="91">
        <f>IF('Amputation Summary'!$Q$4=3, RANK(G65,G$8:G$82,1)+COUNTIF($G$8:G65,G65)-1, IF('Amputation Summary'!$Q$4&lt;3, RANK(U65,U$8:U$82,1)+COUNTIF($U$8:U65,U65)-1))</f>
        <v>73</v>
      </c>
      <c r="AA65" s="91">
        <f>IF('Amputation Summary'!$Q$4=3,G65, IF( 'Amputation Summary'!$Q$4=1, P65, IF('Amputation Summary'!$Q$4=2, F65)))</f>
        <v>2.5</v>
      </c>
      <c r="AB65" s="91">
        <f>IF('Amputation Summary'!$Q$4=3, V65, IF('Amputation Summary'!$Q$4=1, R65, IF('Amputation Summary'!$Q$4=2, AF65)))</f>
        <v>1.7325742244720459</v>
      </c>
      <c r="AC65" s="91">
        <f>IF('Amputation Summary'!$Q$4=3, Y65, IF('Amputation Summary'!$Q$4=1, T65, IF('Amputation Summary'!$Q$4=2, AG65)))</f>
        <v>1.107349157333374</v>
      </c>
      <c r="AD65">
        <v>82</v>
      </c>
      <c r="AE65">
        <v>94</v>
      </c>
      <c r="AF65">
        <f t="shared" si="12"/>
        <v>7</v>
      </c>
      <c r="AG65">
        <f t="shared" si="13"/>
        <v>5</v>
      </c>
      <c r="AH65">
        <v>7</v>
      </c>
      <c r="AI65">
        <v>75</v>
      </c>
      <c r="AJ65">
        <v>1</v>
      </c>
      <c r="AK65" s="91">
        <f>IF('Amputation Summary'!$Q$4=3, AJ65, IF('Amputation Summary'!$Q$4=1, AH65, IF('Amputation Summary'!$Q$4=2, AI65)))</f>
        <v>1</v>
      </c>
      <c r="AL65" s="124">
        <v>0.89</v>
      </c>
    </row>
    <row r="66" spans="1:38" x14ac:dyDescent="0.25">
      <c r="A66" s="88" t="s">
        <v>21</v>
      </c>
      <c r="B66" s="88" t="s">
        <v>22</v>
      </c>
      <c r="C66" s="89">
        <v>58</v>
      </c>
      <c r="D66" s="89" t="s">
        <v>771</v>
      </c>
      <c r="E66" s="89" t="s">
        <v>772</v>
      </c>
      <c r="F66">
        <v>65</v>
      </c>
      <c r="G66" s="90">
        <v>0.49000000953674316</v>
      </c>
      <c r="H66" s="54">
        <v>0.98</v>
      </c>
      <c r="I66" s="54">
        <v>0.93</v>
      </c>
      <c r="J66" s="54">
        <v>0</v>
      </c>
      <c r="K66" s="40" t="str">
        <f t="shared" si="5"/>
        <v>RAJ</v>
      </c>
      <c r="L66" s="40">
        <f t="shared" si="10"/>
        <v>4</v>
      </c>
      <c r="M66" s="40">
        <f t="shared" si="11"/>
        <v>4</v>
      </c>
      <c r="N66" s="91">
        <f>IF('Amputation Summary'!$Q$33=2, RANK(I66,I$8:I$82,1)+COUNTIF($I$8:I66,I66)-1, IF('Amputation Summary'!$Q$33=1, RANK(H66,H$8:H$82,1)+COUNTIF($H$8:H66,H66)-1))</f>
        <v>59</v>
      </c>
      <c r="O66" s="92">
        <f>IF('Amputation Summary'!$Q$33=2, I66, IF('Amputation Summary'!$Q$33=1, H66))</f>
        <v>0.98</v>
      </c>
      <c r="P66" s="91">
        <v>24</v>
      </c>
      <c r="Q66" s="91">
        <v>3</v>
      </c>
      <c r="R66" s="91">
        <f t="shared" si="6"/>
        <v>21</v>
      </c>
      <c r="S66" s="91">
        <v>48</v>
      </c>
      <c r="T66" s="91">
        <f t="shared" si="7"/>
        <v>24</v>
      </c>
      <c r="U66" s="91">
        <v>68</v>
      </c>
      <c r="V66" s="90">
        <v>0.28317117691040039</v>
      </c>
      <c r="W66" s="90">
        <v>0.84789711236953735</v>
      </c>
      <c r="X66" s="90">
        <f t="shared" si="8"/>
        <v>0.20682883262634277</v>
      </c>
      <c r="Y66" s="90">
        <f t="shared" si="9"/>
        <v>0.35789710283279419</v>
      </c>
      <c r="Z66" s="91">
        <f>IF('Amputation Summary'!$Q$4=3, RANK(G66,G$8:G$82,1)+COUNTIF($G$8:G66,G66)-1, IF('Amputation Summary'!$Q$4&lt;3, RANK(U66,U$8:U$82,1)+COUNTIF($U$8:U66,U66)-1))</f>
        <v>9</v>
      </c>
      <c r="AA66" s="91">
        <f>IF('Amputation Summary'!$Q$4=3,G66, IF( 'Amputation Summary'!$Q$4=1, P66, IF('Amputation Summary'!$Q$4=2, F66)))</f>
        <v>0.49000000953674316</v>
      </c>
      <c r="AB66" s="91">
        <f>IF('Amputation Summary'!$Q$4=3, V66, IF('Amputation Summary'!$Q$4=1, R66, IF('Amputation Summary'!$Q$4=2, AF66)))</f>
        <v>0.28317117691040039</v>
      </c>
      <c r="AC66" s="91">
        <f>IF('Amputation Summary'!$Q$4=3, Y66, IF('Amputation Summary'!$Q$4=1, T66, IF('Amputation Summary'!$Q$4=2, AG66)))</f>
        <v>0.35789710283279419</v>
      </c>
      <c r="AD66">
        <v>47</v>
      </c>
      <c r="AE66">
        <v>80</v>
      </c>
      <c r="AF66">
        <f t="shared" si="12"/>
        <v>18</v>
      </c>
      <c r="AG66">
        <f t="shared" si="13"/>
        <v>15</v>
      </c>
      <c r="AH66">
        <v>7</v>
      </c>
      <c r="AI66">
        <v>75</v>
      </c>
      <c r="AJ66">
        <v>1</v>
      </c>
      <c r="AK66" s="91">
        <f>IF('Amputation Summary'!$Q$4=3, AJ66, IF('Amputation Summary'!$Q$4=1, AH66, IF('Amputation Summary'!$Q$4=2, AI66)))</f>
        <v>1</v>
      </c>
      <c r="AL66" s="124">
        <v>0.65</v>
      </c>
    </row>
    <row r="67" spans="1:38" x14ac:dyDescent="0.25">
      <c r="A67" s="88" t="s">
        <v>68</v>
      </c>
      <c r="B67" s="88" t="s">
        <v>69</v>
      </c>
      <c r="C67" s="89">
        <v>98</v>
      </c>
      <c r="D67" s="89" t="s">
        <v>773</v>
      </c>
      <c r="E67" s="89" t="s">
        <v>733</v>
      </c>
      <c r="F67">
        <v>86</v>
      </c>
      <c r="G67" s="90">
        <v>1.8799999952316284</v>
      </c>
      <c r="H67" s="54">
        <v>0.98</v>
      </c>
      <c r="I67" s="54">
        <v>0.91</v>
      </c>
      <c r="J67" s="54">
        <v>0.02</v>
      </c>
      <c r="K67" s="40" t="str">
        <f t="shared" si="5"/>
        <v>RJ7</v>
      </c>
      <c r="L67" s="40">
        <f t="shared" si="10"/>
        <v>4</v>
      </c>
      <c r="M67" s="40">
        <f t="shared" si="11"/>
        <v>4</v>
      </c>
      <c r="N67" s="91">
        <f>IF('Amputation Summary'!$Q$33=2, RANK(I67,I$8:I$82,1)+COUNTIF($I$8:I67,I67)-1, IF('Amputation Summary'!$Q$33=1, RANK(H67,H$8:H$82,1)+COUNTIF($H$8:H67,H67)-1))</f>
        <v>60</v>
      </c>
      <c r="O67" s="92">
        <f>IF('Amputation Summary'!$Q$33=2, I67, IF('Amputation Summary'!$Q$33=1, H67))</f>
        <v>0.98</v>
      </c>
      <c r="P67" s="91">
        <v>9</v>
      </c>
      <c r="Q67" s="91">
        <v>4</v>
      </c>
      <c r="R67" s="91">
        <f t="shared" si="6"/>
        <v>5</v>
      </c>
      <c r="S67" s="91">
        <v>23</v>
      </c>
      <c r="T67" s="91">
        <f t="shared" si="7"/>
        <v>14</v>
      </c>
      <c r="U67" s="91">
        <v>32</v>
      </c>
      <c r="V67" s="90">
        <v>1.2402626276016235</v>
      </c>
      <c r="W67" s="90">
        <v>2.8497188091278076</v>
      </c>
      <c r="X67" s="90">
        <f t="shared" si="8"/>
        <v>0.63973736763000488</v>
      </c>
      <c r="Y67" s="90">
        <f t="shared" si="9"/>
        <v>0.9697188138961792</v>
      </c>
      <c r="Z67" s="91">
        <f>IF('Amputation Summary'!$Q$4=3, RANK(G67,G$8:G$82,1)+COUNTIF($G$8:G67,G67)-1, IF('Amputation Summary'!$Q$4&lt;3, RANK(U67,U$8:U$82,1)+COUNTIF($U$8:U67,U67)-1))</f>
        <v>70</v>
      </c>
      <c r="AA67" s="91">
        <f>IF('Amputation Summary'!$Q$4=3,G67, IF( 'Amputation Summary'!$Q$4=1, P67, IF('Amputation Summary'!$Q$4=2, F67)))</f>
        <v>1.8799999952316284</v>
      </c>
      <c r="AB67" s="91">
        <f>IF('Amputation Summary'!$Q$4=3, V67, IF('Amputation Summary'!$Q$4=1, R67, IF('Amputation Summary'!$Q$4=2, AF67)))</f>
        <v>1.2402626276016235</v>
      </c>
      <c r="AC67" s="91">
        <f>IF('Amputation Summary'!$Q$4=3, Y67, IF('Amputation Summary'!$Q$4=1, T67, IF('Amputation Summary'!$Q$4=2, AG67)))</f>
        <v>0.9697188138961792</v>
      </c>
      <c r="AD67">
        <v>75</v>
      </c>
      <c r="AE67">
        <v>93</v>
      </c>
      <c r="AF67">
        <f t="shared" si="12"/>
        <v>11</v>
      </c>
      <c r="AG67">
        <f t="shared" si="13"/>
        <v>7</v>
      </c>
      <c r="AH67">
        <v>7</v>
      </c>
      <c r="AI67">
        <v>75</v>
      </c>
      <c r="AJ67">
        <v>1</v>
      </c>
      <c r="AK67" s="91">
        <f>IF('Amputation Summary'!$Q$4=3, AJ67, IF('Amputation Summary'!$Q$4=1, AH67, IF('Amputation Summary'!$Q$4=2, AI67)))</f>
        <v>1</v>
      </c>
      <c r="AL67" s="124">
        <v>0.86</v>
      </c>
    </row>
    <row r="68" spans="1:38" x14ac:dyDescent="0.25">
      <c r="A68" s="88" t="s">
        <v>4</v>
      </c>
      <c r="B68" s="88" t="s">
        <v>213</v>
      </c>
      <c r="C68" s="89">
        <v>303</v>
      </c>
      <c r="D68" s="89" t="s">
        <v>774</v>
      </c>
      <c r="E68" s="89" t="s">
        <v>775</v>
      </c>
      <c r="F68">
        <v>80</v>
      </c>
      <c r="G68" s="90">
        <v>1.6299999952316284</v>
      </c>
      <c r="H68" s="54">
        <v>0.65</v>
      </c>
      <c r="I68" s="54">
        <v>0.63</v>
      </c>
      <c r="J68" s="54">
        <v>5.2999999999999999E-2</v>
      </c>
      <c r="K68" s="40" t="str">
        <f t="shared" si="5"/>
        <v>7A3</v>
      </c>
      <c r="L68" s="40">
        <f t="shared" ref="L68:L82" si="14">+IF(H68&lt;H$2,1,IF(H68&lt;H$3,2,IF(H68&lt;H$4,3,4)))</f>
        <v>1</v>
      </c>
      <c r="M68" s="40">
        <f t="shared" ref="M68:M82" si="15">+IF(I68&lt;I$2,1,IF(I68&lt;I$3,2,IF(I68&lt;I$4,3,4)))</f>
        <v>2</v>
      </c>
      <c r="N68" s="91">
        <f>IF('Amputation Summary'!$Q$33=2, RANK(I68,I$8:I$82,1)+COUNTIF($I$8:I68,I68)-1, IF('Amputation Summary'!$Q$33=1, RANK(H68,H$8:H$82,1)+COUNTIF($H$8:H68,H68)-1))</f>
        <v>10</v>
      </c>
      <c r="O68" s="92">
        <f>IF('Amputation Summary'!$Q$33=2, I68, IF('Amputation Summary'!$Q$33=1, H68))</f>
        <v>0.65</v>
      </c>
      <c r="P68" s="91">
        <v>10</v>
      </c>
      <c r="Q68" s="91">
        <v>4</v>
      </c>
      <c r="R68" s="91">
        <f t="shared" si="6"/>
        <v>6</v>
      </c>
      <c r="S68" s="91">
        <v>28</v>
      </c>
      <c r="T68" s="91">
        <f t="shared" si="7"/>
        <v>18</v>
      </c>
      <c r="U68" s="91">
        <v>42</v>
      </c>
      <c r="V68" s="90">
        <v>1.2924597263336182</v>
      </c>
      <c r="W68" s="90">
        <v>2.0556926727294922</v>
      </c>
      <c r="X68" s="90">
        <f t="shared" si="8"/>
        <v>0.33754026889801025</v>
      </c>
      <c r="Y68" s="90">
        <f t="shared" si="9"/>
        <v>0.42569267749786377</v>
      </c>
      <c r="Z68" s="91">
        <f>IF('Amputation Summary'!$Q$4=3, RANK(G68,G$8:G$82,1)+COUNTIF($G$8:G68,G68)-1, IF('Amputation Summary'!$Q$4&lt;3, RANK(U68,U$8:U$82,1)+COUNTIF($U$8:U68,U68)-1))</f>
        <v>66</v>
      </c>
      <c r="AA68" s="91">
        <f>IF('Amputation Summary'!$Q$4=3,G68, IF( 'Amputation Summary'!$Q$4=1, P68, IF('Amputation Summary'!$Q$4=2, F68)))</f>
        <v>1.6299999952316284</v>
      </c>
      <c r="AB68" s="91">
        <f>IF('Amputation Summary'!$Q$4=3, V68, IF('Amputation Summary'!$Q$4=1, R68, IF('Amputation Summary'!$Q$4=2, AF68)))</f>
        <v>1.2924597263336182</v>
      </c>
      <c r="AC68" s="91">
        <f>IF('Amputation Summary'!$Q$4=3, Y68, IF('Amputation Summary'!$Q$4=1, T68, IF('Amputation Summary'!$Q$4=2, AG68)))</f>
        <v>0.42569267749786377</v>
      </c>
      <c r="AD68">
        <v>73</v>
      </c>
      <c r="AE68">
        <v>85</v>
      </c>
      <c r="AF68">
        <f t="shared" si="12"/>
        <v>7</v>
      </c>
      <c r="AG68">
        <f t="shared" si="13"/>
        <v>5</v>
      </c>
      <c r="AH68">
        <v>7</v>
      </c>
      <c r="AI68">
        <v>75</v>
      </c>
      <c r="AJ68">
        <v>1</v>
      </c>
      <c r="AK68" s="91">
        <f>IF('Amputation Summary'!$Q$4=3, AJ68, IF('Amputation Summary'!$Q$4=1, AH68, IF('Amputation Summary'!$Q$4=2, AI68)))</f>
        <v>1</v>
      </c>
      <c r="AL68" s="124">
        <v>0.8</v>
      </c>
    </row>
    <row r="69" spans="1:38" x14ac:dyDescent="0.25">
      <c r="A69" s="88" t="s">
        <v>25</v>
      </c>
      <c r="B69" s="88" t="s">
        <v>26</v>
      </c>
      <c r="C69" s="89">
        <v>64</v>
      </c>
      <c r="D69" s="89" t="s">
        <v>776</v>
      </c>
      <c r="E69" s="89" t="s">
        <v>777</v>
      </c>
      <c r="F69">
        <v>90</v>
      </c>
      <c r="G69" s="90">
        <v>0.87999999523162842</v>
      </c>
      <c r="H69" s="54">
        <v>0.92</v>
      </c>
      <c r="I69" s="54">
        <v>0.94</v>
      </c>
      <c r="J69" s="54">
        <v>2.7E-2</v>
      </c>
      <c r="K69" s="40" t="str">
        <f t="shared" si="5"/>
        <v>RBA</v>
      </c>
      <c r="L69" s="40">
        <f t="shared" si="14"/>
        <v>3</v>
      </c>
      <c r="M69" s="40">
        <f t="shared" si="15"/>
        <v>4</v>
      </c>
      <c r="N69" s="91">
        <f>IF('Amputation Summary'!$Q$33=2, RANK(I69,I$8:I$82,1)+COUNTIF($I$8:I69,I69)-1, IF('Amputation Summary'!$Q$33=1, RANK(H69,H$8:H$82,1)+COUNTIF($H$8:H69,H69)-1))</f>
        <v>39</v>
      </c>
      <c r="O69" s="92">
        <f>IF('Amputation Summary'!$Q$33=2, I69, IF('Amputation Summary'!$Q$33=1, H69))</f>
        <v>0.92</v>
      </c>
      <c r="P69" s="91">
        <v>11</v>
      </c>
      <c r="Q69" s="91">
        <v>7</v>
      </c>
      <c r="R69" s="91">
        <f t="shared" si="6"/>
        <v>4</v>
      </c>
      <c r="S69" s="91">
        <v>22</v>
      </c>
      <c r="T69" s="91">
        <f t="shared" si="7"/>
        <v>11</v>
      </c>
      <c r="U69" s="91">
        <v>53</v>
      </c>
      <c r="V69" s="90">
        <v>0.53859400749206543</v>
      </c>
      <c r="W69" s="90">
        <v>1.4378176927566528</v>
      </c>
      <c r="X69" s="90">
        <f t="shared" si="8"/>
        <v>0.34140598773956299</v>
      </c>
      <c r="Y69" s="90">
        <f t="shared" si="9"/>
        <v>0.55781769752502441</v>
      </c>
      <c r="Z69" s="91">
        <f>IF('Amputation Summary'!$Q$4=3, RANK(G69,G$8:G$82,1)+COUNTIF($G$8:G69,G69)-1, IF('Amputation Summary'!$Q$4&lt;3, RANK(U69,U$8:U$82,1)+COUNTIF($U$8:U69,U69)-1))</f>
        <v>38</v>
      </c>
      <c r="AA69" s="91">
        <f>IF('Amputation Summary'!$Q$4=3,G69, IF( 'Amputation Summary'!$Q$4=1, P69, IF('Amputation Summary'!$Q$4=2, F69)))</f>
        <v>0.87999999523162842</v>
      </c>
      <c r="AB69" s="91">
        <f>IF('Amputation Summary'!$Q$4=3, V69, IF('Amputation Summary'!$Q$4=1, R69, IF('Amputation Summary'!$Q$4=2, AF69)))</f>
        <v>0.53859400749206543</v>
      </c>
      <c r="AC69" s="91">
        <f>IF('Amputation Summary'!$Q$4=3, Y69, IF('Amputation Summary'!$Q$4=1, T69, IF('Amputation Summary'!$Q$4=2, AG69)))</f>
        <v>0.55781769752502441</v>
      </c>
      <c r="AD69">
        <v>76</v>
      </c>
      <c r="AE69">
        <v>97</v>
      </c>
      <c r="AF69">
        <f t="shared" si="12"/>
        <v>14</v>
      </c>
      <c r="AG69">
        <f t="shared" si="13"/>
        <v>7</v>
      </c>
      <c r="AH69">
        <v>7</v>
      </c>
      <c r="AI69">
        <v>75</v>
      </c>
      <c r="AJ69">
        <v>1</v>
      </c>
      <c r="AK69" s="91">
        <f>IF('Amputation Summary'!$Q$4=3, AJ69, IF('Amputation Summary'!$Q$4=1, AH69, IF('Amputation Summary'!$Q$4=2, AI69)))</f>
        <v>1</v>
      </c>
      <c r="AL69" s="124">
        <v>0.9</v>
      </c>
    </row>
    <row r="70" spans="1:38" x14ac:dyDescent="0.25">
      <c r="A70" s="88" t="s">
        <v>87</v>
      </c>
      <c r="B70" s="88" t="s">
        <v>88</v>
      </c>
      <c r="C70" s="89">
        <v>224</v>
      </c>
      <c r="D70" s="89" t="s">
        <v>778</v>
      </c>
      <c r="E70" s="89" t="s">
        <v>779</v>
      </c>
      <c r="F70">
        <v>89</v>
      </c>
      <c r="G70" s="90">
        <v>1.0199999809265137</v>
      </c>
      <c r="H70" s="54">
        <v>0.83</v>
      </c>
      <c r="I70" s="54">
        <v>0.92</v>
      </c>
      <c r="J70" s="54">
        <v>6.9000000000000006E-2</v>
      </c>
      <c r="K70" s="40" t="str">
        <f t="shared" si="5"/>
        <v>RNA</v>
      </c>
      <c r="L70" s="40">
        <f t="shared" si="14"/>
        <v>2</v>
      </c>
      <c r="M70" s="40">
        <f t="shared" si="15"/>
        <v>4</v>
      </c>
      <c r="N70" s="91">
        <f>IF('Amputation Summary'!$Q$33=2, RANK(I70,I$8:I$82,1)+COUNTIF($I$8:I70,I70)-1, IF('Amputation Summary'!$Q$33=1, RANK(H70,H$8:H$82,1)+COUNTIF($H$8:H70,H70)-1))</f>
        <v>27</v>
      </c>
      <c r="O70" s="92">
        <f>IF('Amputation Summary'!$Q$33=2, I70, IF('Amputation Summary'!$Q$33=1, H70))</f>
        <v>0.83</v>
      </c>
      <c r="P70" s="91">
        <v>5</v>
      </c>
      <c r="Q70" s="91">
        <v>2</v>
      </c>
      <c r="R70" s="91">
        <f t="shared" si="6"/>
        <v>3</v>
      </c>
      <c r="S70" s="91">
        <v>16</v>
      </c>
      <c r="T70" s="91">
        <f t="shared" si="7"/>
        <v>11</v>
      </c>
      <c r="U70" s="91">
        <v>6</v>
      </c>
      <c r="V70" s="90">
        <v>0.78495895862579346</v>
      </c>
      <c r="W70" s="90">
        <v>1.325419545173645</v>
      </c>
      <c r="X70" s="90">
        <f t="shared" si="8"/>
        <v>0.23504102230072021</v>
      </c>
      <c r="Y70" s="90">
        <f t="shared" si="9"/>
        <v>0.30541956424713135</v>
      </c>
      <c r="Z70" s="91">
        <f>IF('Amputation Summary'!$Q$4=3, RANK(G70,G$8:G$82,1)+COUNTIF($G$8:G70,G70)-1, IF('Amputation Summary'!$Q$4&lt;3, RANK(U70,U$8:U$82,1)+COUNTIF($U$8:U70,U70)-1))</f>
        <v>49</v>
      </c>
      <c r="AA70" s="91">
        <f>IF('Amputation Summary'!$Q$4=3,G70, IF( 'Amputation Summary'!$Q$4=1, P70, IF('Amputation Summary'!$Q$4=2, F70)))</f>
        <v>1.0199999809265137</v>
      </c>
      <c r="AB70" s="91">
        <f>IF('Amputation Summary'!$Q$4=3, V70, IF('Amputation Summary'!$Q$4=1, R70, IF('Amputation Summary'!$Q$4=2, AF70)))</f>
        <v>0.78495895862579346</v>
      </c>
      <c r="AC70" s="91">
        <f>IF('Amputation Summary'!$Q$4=3, Y70, IF('Amputation Summary'!$Q$4=1, T70, IF('Amputation Summary'!$Q$4=2, AG70)))</f>
        <v>0.30541956424713135</v>
      </c>
      <c r="AD70">
        <v>83</v>
      </c>
      <c r="AE70">
        <v>93</v>
      </c>
      <c r="AF70">
        <f t="shared" si="12"/>
        <v>6</v>
      </c>
      <c r="AG70">
        <f t="shared" si="13"/>
        <v>4</v>
      </c>
      <c r="AH70">
        <v>7</v>
      </c>
      <c r="AI70">
        <v>75</v>
      </c>
      <c r="AJ70">
        <v>1</v>
      </c>
      <c r="AK70" s="91">
        <f>IF('Amputation Summary'!$Q$4=3, AJ70, IF('Amputation Summary'!$Q$4=1, AH70, IF('Amputation Summary'!$Q$4=2, AI70)))</f>
        <v>1</v>
      </c>
      <c r="AL70" s="124">
        <v>0.89</v>
      </c>
    </row>
    <row r="71" spans="1:38" x14ac:dyDescent="0.25">
      <c r="A71" s="88" t="s">
        <v>17</v>
      </c>
      <c r="B71" s="88" t="s">
        <v>18</v>
      </c>
      <c r="C71" s="89">
        <v>12</v>
      </c>
      <c r="D71" s="89" t="s">
        <v>780</v>
      </c>
      <c r="E71" s="89" t="s">
        <v>781</v>
      </c>
      <c r="F71">
        <v>57</v>
      </c>
      <c r="G71" s="90">
        <v>0.33000001311302185</v>
      </c>
      <c r="H71" s="54">
        <v>1</v>
      </c>
      <c r="I71" s="54">
        <v>1</v>
      </c>
      <c r="J71" s="54">
        <v>0.20300000000000001</v>
      </c>
      <c r="K71" s="40" t="str">
        <f t="shared" si="5"/>
        <v>RA9</v>
      </c>
      <c r="L71" s="40">
        <f t="shared" si="14"/>
        <v>4</v>
      </c>
      <c r="M71" s="40">
        <f t="shared" si="15"/>
        <v>4</v>
      </c>
      <c r="N71" s="91">
        <f>IF('Amputation Summary'!$Q$33=2, RANK(I71,I$8:I$82,1)+COUNTIF($I$8:I71,I71)-1, IF('Amputation Summary'!$Q$33=1, RANK(H71,H$8:H$82,1)+COUNTIF($H$8:H71,H71)-1))</f>
        <v>73</v>
      </c>
      <c r="O71" s="92">
        <f>IF('Amputation Summary'!$Q$33=2, I71, IF('Amputation Summary'!$Q$33=1, H71))</f>
        <v>1</v>
      </c>
      <c r="P71" s="91">
        <v>30</v>
      </c>
      <c r="Q71" s="91">
        <v>6</v>
      </c>
      <c r="R71" s="91">
        <f t="shared" si="6"/>
        <v>24</v>
      </c>
      <c r="S71" s="91">
        <v>98</v>
      </c>
      <c r="T71" s="91">
        <f t="shared" si="7"/>
        <v>68</v>
      </c>
      <c r="U71" s="91">
        <v>72</v>
      </c>
      <c r="V71" s="90">
        <v>8.9337922632694244E-2</v>
      </c>
      <c r="W71" s="90">
        <v>1.2189674377441406</v>
      </c>
      <c r="X71" s="90">
        <f t="shared" si="8"/>
        <v>0.24066209048032761</v>
      </c>
      <c r="Y71" s="90">
        <f t="shared" si="9"/>
        <v>0.88896742463111877</v>
      </c>
      <c r="Z71" s="91">
        <f>IF('Amputation Summary'!$Q$4=3, RANK(G71,G$8:G$82,1)+COUNTIF($G$8:G71,G71)-1, IF('Amputation Summary'!$Q$4&lt;3, RANK(U71,U$8:U$82,1)+COUNTIF($U$8:U71,U71)-1))</f>
        <v>5</v>
      </c>
      <c r="AA71" s="91">
        <f>IF('Amputation Summary'!$Q$4=3,G71, IF( 'Amputation Summary'!$Q$4=1, P71, IF('Amputation Summary'!$Q$4=2, F71)))</f>
        <v>0.33000001311302185</v>
      </c>
      <c r="AB71" s="91">
        <f>IF('Amputation Summary'!$Q$4=3, V71, IF('Amputation Summary'!$Q$4=1, R71, IF('Amputation Summary'!$Q$4=2, AF71)))</f>
        <v>8.9337922632694244E-2</v>
      </c>
      <c r="AC71" s="91">
        <f>IF('Amputation Summary'!$Q$4=3, Y71, IF('Amputation Summary'!$Q$4=1, T71, IF('Amputation Summary'!$Q$4=2, AG71)))</f>
        <v>0.88896742463111877</v>
      </c>
      <c r="AD71">
        <v>18</v>
      </c>
      <c r="AE71">
        <v>90</v>
      </c>
      <c r="AF71">
        <f t="shared" si="12"/>
        <v>39</v>
      </c>
      <c r="AG71">
        <f t="shared" si="13"/>
        <v>33</v>
      </c>
      <c r="AH71">
        <v>7</v>
      </c>
      <c r="AI71">
        <v>75</v>
      </c>
      <c r="AJ71">
        <v>1</v>
      </c>
      <c r="AK71" s="91">
        <f>IF('Amputation Summary'!$Q$4=3, AJ71, IF('Amputation Summary'!$Q$4=1, AH71, IF('Amputation Summary'!$Q$4=2, AI71)))</f>
        <v>1</v>
      </c>
      <c r="AL71" s="124">
        <v>0.56999999999999995</v>
      </c>
    </row>
    <row r="72" spans="1:38" x14ac:dyDescent="0.25">
      <c r="A72" s="88" t="s">
        <v>132</v>
      </c>
      <c r="B72" s="88" t="s">
        <v>133</v>
      </c>
      <c r="C72" s="89">
        <v>162</v>
      </c>
      <c r="D72" s="89" t="s">
        <v>686</v>
      </c>
      <c r="E72" s="89" t="s">
        <v>782</v>
      </c>
      <c r="F72">
        <v>87</v>
      </c>
      <c r="G72" s="90">
        <v>1.8899999856948853</v>
      </c>
      <c r="H72" s="54">
        <v>0.69</v>
      </c>
      <c r="I72" s="54">
        <v>0.96</v>
      </c>
      <c r="J72" s="54">
        <v>5.1999999999999998E-2</v>
      </c>
      <c r="K72" s="40" t="str">
        <f t="shared" si="5"/>
        <v>RWD</v>
      </c>
      <c r="L72" s="40">
        <f t="shared" si="14"/>
        <v>1</v>
      </c>
      <c r="M72" s="40">
        <f t="shared" si="15"/>
        <v>4</v>
      </c>
      <c r="N72" s="91">
        <f>IF('Amputation Summary'!$Q$33=2, RANK(I72,I$8:I$82,1)+COUNTIF($I$8:I72,I72)-1, IF('Amputation Summary'!$Q$33=1, RANK(H72,H$8:H$82,1)+COUNTIF($H$8:H72,H72)-1))</f>
        <v>13</v>
      </c>
      <c r="O72" s="92">
        <f>IF('Amputation Summary'!$Q$33=2, I72, IF('Amputation Summary'!$Q$33=1, H72))</f>
        <v>0.69</v>
      </c>
      <c r="P72" s="91">
        <v>8</v>
      </c>
      <c r="Q72" s="91">
        <v>4</v>
      </c>
      <c r="R72" s="91">
        <f t="shared" si="6"/>
        <v>4</v>
      </c>
      <c r="S72" s="91">
        <v>19</v>
      </c>
      <c r="T72" s="91">
        <f t="shared" si="7"/>
        <v>11</v>
      </c>
      <c r="U72" s="91">
        <v>22</v>
      </c>
      <c r="V72" s="90">
        <v>1.3672267198562622</v>
      </c>
      <c r="W72" s="90">
        <v>2.6126608848571777</v>
      </c>
      <c r="X72" s="90">
        <f t="shared" si="8"/>
        <v>0.52277326583862305</v>
      </c>
      <c r="Y72" s="90">
        <f t="shared" si="9"/>
        <v>0.72266089916229248</v>
      </c>
      <c r="Z72" s="91">
        <f>IF('Amputation Summary'!$Q$4=3, RANK(G72,G$8:G$82,1)+COUNTIF($G$8:G72,G72)-1, IF('Amputation Summary'!$Q$4&lt;3, RANK(U72,U$8:U$82,1)+COUNTIF($U$8:U72,U72)-1))</f>
        <v>71</v>
      </c>
      <c r="AA72" s="91">
        <f>IF('Amputation Summary'!$Q$4=3,G72, IF( 'Amputation Summary'!$Q$4=1, P72, IF('Amputation Summary'!$Q$4=2, F72)))</f>
        <v>1.8899999856948853</v>
      </c>
      <c r="AB72" s="91">
        <f>IF('Amputation Summary'!$Q$4=3, V72, IF('Amputation Summary'!$Q$4=1, R72, IF('Amputation Summary'!$Q$4=2, AF72)))</f>
        <v>1.3672267198562622</v>
      </c>
      <c r="AC72" s="91">
        <f>IF('Amputation Summary'!$Q$4=3, Y72, IF('Amputation Summary'!$Q$4=1, T72, IF('Amputation Summary'!$Q$4=2, AG72)))</f>
        <v>0.72266089916229248</v>
      </c>
      <c r="AD72">
        <v>79</v>
      </c>
      <c r="AE72">
        <v>93</v>
      </c>
      <c r="AF72">
        <f t="shared" ref="AF72:AF82" si="16">F72-AD72</f>
        <v>8</v>
      </c>
      <c r="AG72">
        <f t="shared" ref="AG72:AG82" si="17">AE72-F72</f>
        <v>6</v>
      </c>
      <c r="AH72">
        <v>7</v>
      </c>
      <c r="AI72">
        <v>75</v>
      </c>
      <c r="AJ72">
        <v>1</v>
      </c>
      <c r="AK72" s="91">
        <f>IF('Amputation Summary'!$Q$4=3, AJ72, IF('Amputation Summary'!$Q$4=1, AH72, IF('Amputation Summary'!$Q$4=2, AI72)))</f>
        <v>1</v>
      </c>
      <c r="AL72" s="124">
        <v>0.87</v>
      </c>
    </row>
    <row r="73" spans="1:38" x14ac:dyDescent="0.25">
      <c r="A73" s="88" t="s">
        <v>70</v>
      </c>
      <c r="B73" s="88" t="s">
        <v>71</v>
      </c>
      <c r="C73" s="89">
        <v>302</v>
      </c>
      <c r="D73" s="89" t="s">
        <v>783</v>
      </c>
      <c r="E73" s="89" t="s">
        <v>784</v>
      </c>
      <c r="F73">
        <v>94</v>
      </c>
      <c r="G73" s="90">
        <v>0.88999998569488525</v>
      </c>
      <c r="H73" s="54">
        <v>0.98</v>
      </c>
      <c r="I73" s="54">
        <v>0.83</v>
      </c>
      <c r="J73" s="54">
        <v>4.2999999999999997E-2</v>
      </c>
      <c r="K73" s="40" t="str">
        <f t="shared" ref="K73:K82" si="18">A73</f>
        <v>RJE</v>
      </c>
      <c r="L73" s="40">
        <f t="shared" si="14"/>
        <v>4</v>
      </c>
      <c r="M73" s="40">
        <f t="shared" si="15"/>
        <v>3</v>
      </c>
      <c r="N73" s="91">
        <f>IF('Amputation Summary'!$Q$33=2, RANK(I73,I$8:I$82,1)+COUNTIF($I$8:I73,I73)-1, IF('Amputation Summary'!$Q$33=1, RANK(H73,H$8:H$82,1)+COUNTIF($H$8:H73,H73)-1))</f>
        <v>61</v>
      </c>
      <c r="O73" s="92">
        <f>IF('Amputation Summary'!$Q$33=2, I73, IF('Amputation Summary'!$Q$33=1, H73))</f>
        <v>0.98</v>
      </c>
      <c r="P73" s="91">
        <v>8</v>
      </c>
      <c r="Q73" s="91">
        <v>3</v>
      </c>
      <c r="R73" s="91">
        <f t="shared" ref="R73:R82" si="19">P73-Q73</f>
        <v>5</v>
      </c>
      <c r="S73" s="91">
        <v>21</v>
      </c>
      <c r="T73" s="91">
        <f t="shared" ref="T73:T82" si="20">S73-P73</f>
        <v>13</v>
      </c>
      <c r="U73" s="91">
        <v>20</v>
      </c>
      <c r="V73" s="90">
        <v>0.70998871326446533</v>
      </c>
      <c r="W73" s="90">
        <v>1.1156514883041382</v>
      </c>
      <c r="X73" s="90">
        <f t="shared" ref="X73:X82" si="21">G73-V73</f>
        <v>0.18001127243041992</v>
      </c>
      <c r="Y73" s="90">
        <f t="shared" ref="Y73:Y82" si="22">W73-G73</f>
        <v>0.22565150260925293</v>
      </c>
      <c r="Z73" s="91">
        <f>IF('Amputation Summary'!$Q$4=3, RANK(G73,G$8:G$82,1)+COUNTIF($G$8:G73,G73)-1, IF('Amputation Summary'!$Q$4&lt;3, RANK(U73,U$8:U$82,1)+COUNTIF($U$8:U73,U73)-1))</f>
        <v>40</v>
      </c>
      <c r="AA73" s="91">
        <f>IF('Amputation Summary'!$Q$4=3,G73, IF( 'Amputation Summary'!$Q$4=1, P73, IF('Amputation Summary'!$Q$4=2, F73)))</f>
        <v>0.88999998569488525</v>
      </c>
      <c r="AB73" s="91">
        <f>IF('Amputation Summary'!$Q$4=3, V73, IF('Amputation Summary'!$Q$4=1, R73, IF('Amputation Summary'!$Q$4=2, AF73)))</f>
        <v>0.70998871326446533</v>
      </c>
      <c r="AC73" s="91">
        <f>IF('Amputation Summary'!$Q$4=3, Y73, IF('Amputation Summary'!$Q$4=1, T73, IF('Amputation Summary'!$Q$4=2, AG73)))</f>
        <v>0.22565150260925293</v>
      </c>
      <c r="AD73">
        <v>90</v>
      </c>
      <c r="AE73">
        <v>97</v>
      </c>
      <c r="AF73">
        <f t="shared" si="16"/>
        <v>4</v>
      </c>
      <c r="AG73">
        <f t="shared" si="17"/>
        <v>3</v>
      </c>
      <c r="AH73">
        <v>7</v>
      </c>
      <c r="AI73">
        <v>75</v>
      </c>
      <c r="AJ73">
        <v>1</v>
      </c>
      <c r="AK73" s="91">
        <f>IF('Amputation Summary'!$Q$4=3, AJ73, IF('Amputation Summary'!$Q$4=1, AH73, IF('Amputation Summary'!$Q$4=2, AI73)))</f>
        <v>1</v>
      </c>
      <c r="AL73" s="124">
        <v>0.94</v>
      </c>
    </row>
    <row r="74" spans="1:38" x14ac:dyDescent="0.25">
      <c r="A74" s="88" t="s">
        <v>58</v>
      </c>
      <c r="B74" s="88" t="s">
        <v>59</v>
      </c>
      <c r="C74" s="89">
        <v>283</v>
      </c>
      <c r="D74" s="89" t="s">
        <v>785</v>
      </c>
      <c r="E74" s="89" t="s">
        <v>786</v>
      </c>
      <c r="F74">
        <v>84</v>
      </c>
      <c r="G74" s="90">
        <v>0.60000002384185791</v>
      </c>
      <c r="H74" s="54">
        <v>0.92</v>
      </c>
      <c r="I74" s="54">
        <v>0.47</v>
      </c>
      <c r="J74" s="54">
        <v>2.7E-2</v>
      </c>
      <c r="K74" s="40" t="str">
        <f t="shared" si="18"/>
        <v>RHM</v>
      </c>
      <c r="L74" s="40">
        <f t="shared" si="14"/>
        <v>3</v>
      </c>
      <c r="M74" s="40">
        <f t="shared" si="15"/>
        <v>1</v>
      </c>
      <c r="N74" s="91">
        <f>IF('Amputation Summary'!$Q$33=2, RANK(I74,I$8:I$82,1)+COUNTIF($I$8:I74,I74)-1, IF('Amputation Summary'!$Q$33=1, RANK(H74,H$8:H$82,1)+COUNTIF($H$8:H74,H74)-1))</f>
        <v>40</v>
      </c>
      <c r="O74" s="92">
        <f>IF('Amputation Summary'!$Q$33=2, I74, IF('Amputation Summary'!$Q$33=1, H74))</f>
        <v>0.92</v>
      </c>
      <c r="P74" s="91">
        <v>13</v>
      </c>
      <c r="Q74" s="91">
        <v>5</v>
      </c>
      <c r="R74" s="91">
        <f t="shared" si="19"/>
        <v>8</v>
      </c>
      <c r="S74" s="91">
        <v>36</v>
      </c>
      <c r="T74" s="91">
        <f t="shared" si="20"/>
        <v>23</v>
      </c>
      <c r="U74" s="91">
        <v>56</v>
      </c>
      <c r="V74" s="90">
        <v>0.47163766622543335</v>
      </c>
      <c r="W74" s="90">
        <v>0.76329785585403442</v>
      </c>
      <c r="X74" s="90">
        <f t="shared" si="21"/>
        <v>0.12836235761642456</v>
      </c>
      <c r="Y74" s="90">
        <f t="shared" si="22"/>
        <v>0.16329783201217651</v>
      </c>
      <c r="Z74" s="91">
        <f>IF('Amputation Summary'!$Q$4=3, RANK(G74,G$8:G$82,1)+COUNTIF($G$8:G74,G74)-1, IF('Amputation Summary'!$Q$4&lt;3, RANK(U74,U$8:U$82,1)+COUNTIF($U$8:U74,U74)-1))</f>
        <v>17</v>
      </c>
      <c r="AA74" s="91">
        <f>IF('Amputation Summary'!$Q$4=3,G74, IF( 'Amputation Summary'!$Q$4=1, P74, IF('Amputation Summary'!$Q$4=2, F74)))</f>
        <v>0.60000002384185791</v>
      </c>
      <c r="AB74" s="91">
        <f>IF('Amputation Summary'!$Q$4=3, V74, IF('Amputation Summary'!$Q$4=1, R74, IF('Amputation Summary'!$Q$4=2, AF74)))</f>
        <v>0.47163766622543335</v>
      </c>
      <c r="AC74" s="91">
        <f>IF('Amputation Summary'!$Q$4=3, Y74, IF('Amputation Summary'!$Q$4=1, T74, IF('Amputation Summary'!$Q$4=2, AG74)))</f>
        <v>0.16329783201217651</v>
      </c>
      <c r="AD74">
        <v>77</v>
      </c>
      <c r="AE74">
        <v>90</v>
      </c>
      <c r="AF74">
        <f t="shared" si="16"/>
        <v>7</v>
      </c>
      <c r="AG74">
        <f t="shared" si="17"/>
        <v>6</v>
      </c>
      <c r="AH74">
        <v>7</v>
      </c>
      <c r="AI74">
        <v>75</v>
      </c>
      <c r="AJ74">
        <v>1</v>
      </c>
      <c r="AK74" s="91">
        <f>IF('Amputation Summary'!$Q$4=3, AJ74, IF('Amputation Summary'!$Q$4=1, AH74, IF('Amputation Summary'!$Q$4=2, AI74)))</f>
        <v>1</v>
      </c>
      <c r="AL74" s="124">
        <v>0.84</v>
      </c>
    </row>
    <row r="75" spans="1:38" x14ac:dyDescent="0.25">
      <c r="A75" s="88" t="s">
        <v>107</v>
      </c>
      <c r="B75" s="88" t="s">
        <v>108</v>
      </c>
      <c r="C75" s="89">
        <v>329</v>
      </c>
      <c r="D75" s="89" t="s">
        <v>787</v>
      </c>
      <c r="E75" s="89" t="s">
        <v>788</v>
      </c>
      <c r="F75">
        <v>87</v>
      </c>
      <c r="G75" s="90">
        <v>0.67000001668930054</v>
      </c>
      <c r="H75" s="54">
        <v>0.8</v>
      </c>
      <c r="I75" s="54">
        <v>0.91</v>
      </c>
      <c r="J75" s="54">
        <v>6.5000000000000002E-2</v>
      </c>
      <c r="K75" s="40" t="str">
        <f t="shared" si="18"/>
        <v>RRK</v>
      </c>
      <c r="L75" s="40">
        <f t="shared" si="14"/>
        <v>2</v>
      </c>
      <c r="M75" s="40">
        <f t="shared" si="15"/>
        <v>4</v>
      </c>
      <c r="N75" s="91">
        <f>IF('Amputation Summary'!$Q$33=2, RANK(I75,I$8:I$82,1)+COUNTIF($I$8:I75,I75)-1, IF('Amputation Summary'!$Q$33=1, RANK(H75,H$8:H$82,1)+COUNTIF($H$8:H75,H75)-1))</f>
        <v>22</v>
      </c>
      <c r="O75" s="92">
        <f>IF('Amputation Summary'!$Q$33=2, I75, IF('Amputation Summary'!$Q$33=1, H75))</f>
        <v>0.8</v>
      </c>
      <c r="P75" s="91">
        <v>9</v>
      </c>
      <c r="Q75" s="91">
        <v>5</v>
      </c>
      <c r="R75" s="91">
        <f t="shared" si="19"/>
        <v>4</v>
      </c>
      <c r="S75" s="91">
        <v>19</v>
      </c>
      <c r="T75" s="91">
        <f t="shared" si="20"/>
        <v>10</v>
      </c>
      <c r="U75" s="91">
        <v>33</v>
      </c>
      <c r="V75" s="90">
        <v>0.53743922710418701</v>
      </c>
      <c r="W75" s="90">
        <v>0.83525729179382324</v>
      </c>
      <c r="X75" s="90">
        <f t="shared" si="21"/>
        <v>0.13256078958511353</v>
      </c>
      <c r="Y75" s="90">
        <f t="shared" si="22"/>
        <v>0.16525727510452271</v>
      </c>
      <c r="Z75" s="91">
        <f>IF('Amputation Summary'!$Q$4=3, RANK(G75,G$8:G$82,1)+COUNTIF($G$8:G75,G75)-1, IF('Amputation Summary'!$Q$4&lt;3, RANK(U75,U$8:U$82,1)+COUNTIF($U$8:U75,U75)-1))</f>
        <v>20</v>
      </c>
      <c r="AA75" s="91">
        <f>IF('Amputation Summary'!$Q$4=3,G75, IF( 'Amputation Summary'!$Q$4=1, P75, IF('Amputation Summary'!$Q$4=2, F75)))</f>
        <v>0.67000001668930054</v>
      </c>
      <c r="AB75" s="91">
        <f>IF('Amputation Summary'!$Q$4=3, V75, IF('Amputation Summary'!$Q$4=1, R75, IF('Amputation Summary'!$Q$4=2, AF75)))</f>
        <v>0.53743922710418701</v>
      </c>
      <c r="AC75" s="91">
        <f>IF('Amputation Summary'!$Q$4=3, Y75, IF('Amputation Summary'!$Q$4=1, T75, IF('Amputation Summary'!$Q$4=2, AG75)))</f>
        <v>0.16525727510452271</v>
      </c>
      <c r="AD75">
        <v>82</v>
      </c>
      <c r="AE75">
        <v>91</v>
      </c>
      <c r="AF75">
        <f t="shared" si="16"/>
        <v>5</v>
      </c>
      <c r="AG75">
        <f t="shared" si="17"/>
        <v>4</v>
      </c>
      <c r="AH75">
        <v>7</v>
      </c>
      <c r="AI75">
        <v>75</v>
      </c>
      <c r="AJ75">
        <v>1</v>
      </c>
      <c r="AK75" s="91">
        <f>IF('Amputation Summary'!$Q$4=3, AJ75, IF('Amputation Summary'!$Q$4=1, AH75, IF('Amputation Summary'!$Q$4=2, AI75)))</f>
        <v>1</v>
      </c>
      <c r="AL75" s="124">
        <v>0.87</v>
      </c>
    </row>
    <row r="76" spans="1:38" x14ac:dyDescent="0.25">
      <c r="A76" s="88" t="s">
        <v>77</v>
      </c>
      <c r="B76" s="88" t="s">
        <v>78</v>
      </c>
      <c r="C76" s="89">
        <v>87</v>
      </c>
      <c r="D76" s="89" t="s">
        <v>789</v>
      </c>
      <c r="E76" s="89" t="s">
        <v>790</v>
      </c>
      <c r="F76">
        <v>76</v>
      </c>
      <c r="G76" s="90">
        <v>0.67000001668930054</v>
      </c>
      <c r="H76" s="54">
        <v>0.67</v>
      </c>
      <c r="I76" s="54">
        <v>0.91</v>
      </c>
      <c r="J76" s="54">
        <v>6.8000000000000005E-2</v>
      </c>
      <c r="K76" s="40" t="str">
        <f t="shared" si="18"/>
        <v>RKB</v>
      </c>
      <c r="L76" s="40">
        <f t="shared" si="14"/>
        <v>1</v>
      </c>
      <c r="M76" s="40">
        <f t="shared" si="15"/>
        <v>4</v>
      </c>
      <c r="N76" s="91">
        <f>IF('Amputation Summary'!$Q$33=2, RANK(I76,I$8:I$82,1)+COUNTIF($I$8:I76,I76)-1, IF('Amputation Summary'!$Q$33=1, RANK(H76,H$8:H$82,1)+COUNTIF($H$8:H76,H76)-1))</f>
        <v>12</v>
      </c>
      <c r="O76" s="92">
        <f>IF('Amputation Summary'!$Q$33=2, I76, IF('Amputation Summary'!$Q$33=1, H76))</f>
        <v>0.67</v>
      </c>
      <c r="P76" s="91">
        <v>14</v>
      </c>
      <c r="Q76" s="91">
        <v>5</v>
      </c>
      <c r="R76" s="91">
        <f t="shared" si="19"/>
        <v>9</v>
      </c>
      <c r="S76" s="91">
        <v>41</v>
      </c>
      <c r="T76" s="91">
        <f t="shared" si="20"/>
        <v>27</v>
      </c>
      <c r="U76" s="91">
        <v>61</v>
      </c>
      <c r="V76" s="90">
        <v>0.43648278713226318</v>
      </c>
      <c r="W76" s="90">
        <v>1.0284483432769775</v>
      </c>
      <c r="X76" s="90">
        <f t="shared" si="21"/>
        <v>0.23351722955703735</v>
      </c>
      <c r="Y76" s="90">
        <f t="shared" si="22"/>
        <v>0.358448326587677</v>
      </c>
      <c r="Z76" s="91">
        <f>IF('Amputation Summary'!$Q$4=3, RANK(G76,G$8:G$82,1)+COUNTIF($G$8:G76,G76)-1, IF('Amputation Summary'!$Q$4&lt;3, RANK(U76,U$8:U$82,1)+COUNTIF($U$8:U76,U76)-1))</f>
        <v>21</v>
      </c>
      <c r="AA76" s="91">
        <f>IF('Amputation Summary'!$Q$4=3,G76, IF( 'Amputation Summary'!$Q$4=1, P76, IF('Amputation Summary'!$Q$4=2, F76)))</f>
        <v>0.67000001668930054</v>
      </c>
      <c r="AB76" s="91">
        <f>IF('Amputation Summary'!$Q$4=3, V76, IF('Amputation Summary'!$Q$4=1, R76, IF('Amputation Summary'!$Q$4=2, AF76)))</f>
        <v>0.43648278713226318</v>
      </c>
      <c r="AC76" s="91">
        <f>IF('Amputation Summary'!$Q$4=3, Y76, IF('Amputation Summary'!$Q$4=1, T76, IF('Amputation Summary'!$Q$4=2, AG76)))</f>
        <v>0.358448326587677</v>
      </c>
      <c r="AD76">
        <v>63</v>
      </c>
      <c r="AE76">
        <v>86</v>
      </c>
      <c r="AF76">
        <f t="shared" si="16"/>
        <v>13</v>
      </c>
      <c r="AG76">
        <f t="shared" si="17"/>
        <v>10</v>
      </c>
      <c r="AH76">
        <v>7</v>
      </c>
      <c r="AI76">
        <v>75</v>
      </c>
      <c r="AJ76">
        <v>1</v>
      </c>
      <c r="AK76" s="91">
        <f>IF('Amputation Summary'!$Q$4=3, AJ76, IF('Amputation Summary'!$Q$4=1, AH76, IF('Amputation Summary'!$Q$4=2, AI76)))</f>
        <v>1</v>
      </c>
      <c r="AL76" s="124">
        <v>0.76</v>
      </c>
    </row>
    <row r="77" spans="1:38" x14ac:dyDescent="0.25">
      <c r="A77" s="88" t="s">
        <v>117</v>
      </c>
      <c r="B77" s="88" t="s">
        <v>400</v>
      </c>
      <c r="C77" s="89">
        <v>146</v>
      </c>
      <c r="D77" s="89" t="s">
        <v>791</v>
      </c>
      <c r="E77" s="89" t="s">
        <v>792</v>
      </c>
      <c r="F77">
        <v>99</v>
      </c>
      <c r="G77" s="90">
        <v>1.1200000047683716</v>
      </c>
      <c r="H77" s="54">
        <v>0.95</v>
      </c>
      <c r="I77" s="54">
        <v>0.94</v>
      </c>
      <c r="J77" s="54">
        <v>5.5E-2</v>
      </c>
      <c r="K77" s="40" t="str">
        <f t="shared" si="18"/>
        <v>RTG</v>
      </c>
      <c r="L77" s="40">
        <f t="shared" si="14"/>
        <v>3</v>
      </c>
      <c r="M77" s="40">
        <f t="shared" si="15"/>
        <v>4</v>
      </c>
      <c r="N77" s="91">
        <f>IF('Amputation Summary'!$Q$33=2, RANK(I77,I$8:I$82,1)+COUNTIF($I$8:I77,I77)-1, IF('Amputation Summary'!$Q$33=1, RANK(H77,H$8:H$82,1)+COUNTIF($H$8:H77,H77)-1))</f>
        <v>46</v>
      </c>
      <c r="O77" s="92">
        <f>IF('Amputation Summary'!$Q$33=2, I77, IF('Amputation Summary'!$Q$33=1, H77))</f>
        <v>0.95</v>
      </c>
      <c r="P77" s="91">
        <v>3</v>
      </c>
      <c r="Q77" s="91">
        <v>1</v>
      </c>
      <c r="R77" s="91">
        <f t="shared" si="19"/>
        <v>2</v>
      </c>
      <c r="S77" s="91">
        <v>5</v>
      </c>
      <c r="T77" s="91">
        <f t="shared" si="20"/>
        <v>2</v>
      </c>
      <c r="U77" s="91">
        <v>1</v>
      </c>
      <c r="V77" s="90">
        <v>0.80930376052856445</v>
      </c>
      <c r="W77" s="90">
        <v>1.5499742031097412</v>
      </c>
      <c r="X77" s="90">
        <f t="shared" si="21"/>
        <v>0.31069624423980713</v>
      </c>
      <c r="Y77" s="90">
        <f t="shared" si="22"/>
        <v>0.42997419834136963</v>
      </c>
      <c r="Z77" s="91">
        <f>IF('Amputation Summary'!$Q$4=3, RANK(G77,G$8:G$82,1)+COUNTIF($G$8:G77,G77)-1, IF('Amputation Summary'!$Q$4&lt;3, RANK(U77,U$8:U$82,1)+COUNTIF($U$8:U77,U77)-1))</f>
        <v>54</v>
      </c>
      <c r="AA77" s="91">
        <f>IF('Amputation Summary'!$Q$4=3,G77, IF( 'Amputation Summary'!$Q$4=1, P77, IF('Amputation Summary'!$Q$4=2, F77)))</f>
        <v>1.1200000047683716</v>
      </c>
      <c r="AB77" s="91">
        <f>IF('Amputation Summary'!$Q$4=3, V77, IF('Amputation Summary'!$Q$4=1, R77, IF('Amputation Summary'!$Q$4=2, AF77)))</f>
        <v>0.80930376052856445</v>
      </c>
      <c r="AC77" s="91">
        <f>IF('Amputation Summary'!$Q$4=3, Y77, IF('Amputation Summary'!$Q$4=1, T77, IF('Amputation Summary'!$Q$4=2, AG77)))</f>
        <v>0.42997419834136963</v>
      </c>
      <c r="AD77">
        <v>95</v>
      </c>
      <c r="AE77">
        <v>100</v>
      </c>
      <c r="AF77">
        <f t="shared" si="16"/>
        <v>4</v>
      </c>
      <c r="AG77">
        <f t="shared" si="17"/>
        <v>1</v>
      </c>
      <c r="AH77">
        <v>7</v>
      </c>
      <c r="AI77">
        <v>75</v>
      </c>
      <c r="AJ77">
        <v>1</v>
      </c>
      <c r="AK77" s="91">
        <f>IF('Amputation Summary'!$Q$4=3, AJ77, IF('Amputation Summary'!$Q$4=1, AH77, IF('Amputation Summary'!$Q$4=2, AI77)))</f>
        <v>1</v>
      </c>
      <c r="AL77" s="124">
        <v>0.99</v>
      </c>
    </row>
    <row r="78" spans="1:38" x14ac:dyDescent="0.25">
      <c r="A78" s="88" t="s">
        <v>134</v>
      </c>
      <c r="B78" s="88" t="s">
        <v>135</v>
      </c>
      <c r="C78" s="89">
        <v>111</v>
      </c>
      <c r="D78" s="89" t="s">
        <v>793</v>
      </c>
      <c r="E78" s="89" t="s">
        <v>794</v>
      </c>
      <c r="F78">
        <v>79</v>
      </c>
      <c r="G78" s="90">
        <v>1.0900000333786011</v>
      </c>
      <c r="H78" s="54">
        <v>0.61</v>
      </c>
      <c r="I78" s="54">
        <v>0.65</v>
      </c>
      <c r="J78" s="54">
        <v>4.9000000000000002E-2</v>
      </c>
      <c r="K78" s="40" t="str">
        <f t="shared" si="18"/>
        <v>RWE</v>
      </c>
      <c r="L78" s="40">
        <f t="shared" si="14"/>
        <v>1</v>
      </c>
      <c r="M78" s="40">
        <f t="shared" si="15"/>
        <v>2</v>
      </c>
      <c r="N78" s="91">
        <f>IF('Amputation Summary'!$Q$33=2, RANK(I78,I$8:I$82,1)+COUNTIF($I$8:I78,I78)-1, IF('Amputation Summary'!$Q$33=1, RANK(H78,H$8:H$82,1)+COUNTIF($H$8:H78,H78)-1))</f>
        <v>9</v>
      </c>
      <c r="O78" s="92">
        <f>IF('Amputation Summary'!$Q$33=2, I78, IF('Amputation Summary'!$Q$33=1, H78))</f>
        <v>0.61</v>
      </c>
      <c r="P78" s="91">
        <v>11</v>
      </c>
      <c r="Q78" s="91">
        <v>4</v>
      </c>
      <c r="R78" s="91">
        <f t="shared" si="19"/>
        <v>7</v>
      </c>
      <c r="S78" s="91">
        <v>29</v>
      </c>
      <c r="T78" s="91">
        <f t="shared" si="20"/>
        <v>18</v>
      </c>
      <c r="U78" s="91">
        <v>49</v>
      </c>
      <c r="V78" s="90">
        <v>0.75105959177017212</v>
      </c>
      <c r="W78" s="90">
        <v>1.5818984508514404</v>
      </c>
      <c r="X78" s="90">
        <f t="shared" si="21"/>
        <v>0.33894044160842896</v>
      </c>
      <c r="Y78" s="90">
        <f t="shared" si="22"/>
        <v>0.49189841747283936</v>
      </c>
      <c r="Z78" s="91">
        <f>IF('Amputation Summary'!$Q$4=3, RANK(G78,G$8:G$82,1)+COUNTIF($G$8:G78,G78)-1, IF('Amputation Summary'!$Q$4&lt;3, RANK(U78,U$8:U$82,1)+COUNTIF($U$8:U78,U78)-1))</f>
        <v>51</v>
      </c>
      <c r="AA78" s="91">
        <f>IF('Amputation Summary'!$Q$4=3,G78, IF( 'Amputation Summary'!$Q$4=1, P78, IF('Amputation Summary'!$Q$4=2, F78)))</f>
        <v>1.0900000333786011</v>
      </c>
      <c r="AB78" s="91">
        <f>IF('Amputation Summary'!$Q$4=3, V78, IF('Amputation Summary'!$Q$4=1, R78, IF('Amputation Summary'!$Q$4=2, AF78)))</f>
        <v>0.75105959177017212</v>
      </c>
      <c r="AC78" s="91">
        <f>IF('Amputation Summary'!$Q$4=3, Y78, IF('Amputation Summary'!$Q$4=1, T78, IF('Amputation Summary'!$Q$4=2, AG78)))</f>
        <v>0.49189841747283936</v>
      </c>
      <c r="AD78">
        <v>69</v>
      </c>
      <c r="AE78">
        <v>87</v>
      </c>
      <c r="AF78">
        <f t="shared" si="16"/>
        <v>10</v>
      </c>
      <c r="AG78">
        <f t="shared" si="17"/>
        <v>8</v>
      </c>
      <c r="AH78">
        <v>7</v>
      </c>
      <c r="AI78">
        <v>75</v>
      </c>
      <c r="AJ78">
        <v>1</v>
      </c>
      <c r="AK78" s="91">
        <f>IF('Amputation Summary'!$Q$4=3, AJ78, IF('Amputation Summary'!$Q$4=1, AH78, IF('Amputation Summary'!$Q$4=2, AI78)))</f>
        <v>1</v>
      </c>
      <c r="AL78" s="124">
        <v>0.79</v>
      </c>
    </row>
    <row r="79" spans="1:38" x14ac:dyDescent="0.25">
      <c r="A79" s="88" t="s">
        <v>76</v>
      </c>
      <c r="B79" s="88" t="s">
        <v>214</v>
      </c>
      <c r="C79" s="89">
        <v>94</v>
      </c>
      <c r="D79" s="89" t="s">
        <v>795</v>
      </c>
      <c r="E79" s="89" t="s">
        <v>796</v>
      </c>
      <c r="F79">
        <v>61</v>
      </c>
      <c r="G79" s="90">
        <v>1.0900000333786011</v>
      </c>
      <c r="H79" s="54">
        <v>1</v>
      </c>
      <c r="I79" s="54">
        <v>0.98</v>
      </c>
      <c r="J79" s="54">
        <v>0.05</v>
      </c>
      <c r="K79" s="40" t="str">
        <f t="shared" si="18"/>
        <v>RK9</v>
      </c>
      <c r="L79" s="40">
        <f t="shared" si="14"/>
        <v>4</v>
      </c>
      <c r="M79" s="40">
        <f t="shared" si="15"/>
        <v>4</v>
      </c>
      <c r="N79" s="91">
        <f>IF('Amputation Summary'!$Q$33=2, RANK(I79,I$8:I$82,1)+COUNTIF($I$8:I79,I79)-1, IF('Amputation Summary'!$Q$33=1, RANK(H79,H$8:H$82,1)+COUNTIF($H$8:H79,H79)-1))</f>
        <v>74</v>
      </c>
      <c r="O79" s="92">
        <f>IF('Amputation Summary'!$Q$33=2, I79, IF('Amputation Summary'!$Q$33=1, H79))</f>
        <v>1</v>
      </c>
      <c r="P79" s="91">
        <v>28</v>
      </c>
      <c r="Q79" s="91">
        <v>8</v>
      </c>
      <c r="R79" s="91">
        <f t="shared" si="19"/>
        <v>20</v>
      </c>
      <c r="S79" s="91">
        <v>86</v>
      </c>
      <c r="T79" s="91">
        <f t="shared" si="20"/>
        <v>58</v>
      </c>
      <c r="U79" s="91">
        <v>70</v>
      </c>
      <c r="V79" s="90">
        <v>0.72723478078842163</v>
      </c>
      <c r="W79" s="90">
        <v>1.6337229013442993</v>
      </c>
      <c r="X79" s="90">
        <f t="shared" si="21"/>
        <v>0.36276525259017944</v>
      </c>
      <c r="Y79" s="90">
        <f t="shared" si="22"/>
        <v>0.54372286796569824</v>
      </c>
      <c r="Z79" s="91">
        <f>IF('Amputation Summary'!$Q$4=3, RANK(G79,G$8:G$82,1)+COUNTIF($G$8:G79,G79)-1, IF('Amputation Summary'!$Q$4&lt;3, RANK(U79,U$8:U$82,1)+COUNTIF($U$8:U79,U79)-1))</f>
        <v>52</v>
      </c>
      <c r="AA79" s="91">
        <f>IF('Amputation Summary'!$Q$4=3,G79, IF( 'Amputation Summary'!$Q$4=1, P79, IF('Amputation Summary'!$Q$4=2, F79)))</f>
        <v>1.0900000333786011</v>
      </c>
      <c r="AB79" s="91">
        <f>IF('Amputation Summary'!$Q$4=3, V79, IF('Amputation Summary'!$Q$4=1, R79, IF('Amputation Summary'!$Q$4=2, AF79)))</f>
        <v>0.72723478078842163</v>
      </c>
      <c r="AC79" s="91">
        <f>IF('Amputation Summary'!$Q$4=3, Y79, IF('Amputation Summary'!$Q$4=1, T79, IF('Amputation Summary'!$Q$4=2, AG79)))</f>
        <v>0.54372286796569824</v>
      </c>
      <c r="AD79">
        <v>47</v>
      </c>
      <c r="AE79">
        <v>73</v>
      </c>
      <c r="AF79">
        <f t="shared" si="16"/>
        <v>14</v>
      </c>
      <c r="AG79">
        <f t="shared" si="17"/>
        <v>12</v>
      </c>
      <c r="AH79">
        <v>7</v>
      </c>
      <c r="AI79">
        <v>75</v>
      </c>
      <c r="AJ79">
        <v>1</v>
      </c>
      <c r="AK79" s="91">
        <f>IF('Amputation Summary'!$Q$4=3, AJ79, IF('Amputation Summary'!$Q$4=1, AH79, IF('Amputation Summary'!$Q$4=2, AI79)))</f>
        <v>1</v>
      </c>
      <c r="AL79" s="124">
        <v>0.61</v>
      </c>
    </row>
    <row r="80" spans="1:38" x14ac:dyDescent="0.25">
      <c r="A80" s="88" t="s">
        <v>136</v>
      </c>
      <c r="B80" s="88" t="s">
        <v>137</v>
      </c>
      <c r="C80" s="89">
        <v>8</v>
      </c>
      <c r="D80" s="89" t="s">
        <v>797</v>
      </c>
      <c r="E80" s="89" t="s">
        <v>798</v>
      </c>
      <c r="F80">
        <v>100</v>
      </c>
      <c r="G80" s="90">
        <v>1.6699999570846558</v>
      </c>
      <c r="H80" s="54">
        <v>1</v>
      </c>
      <c r="I80" s="54">
        <v>0.25</v>
      </c>
      <c r="J80" s="54">
        <v>0</v>
      </c>
      <c r="K80" s="40" t="str">
        <f t="shared" si="18"/>
        <v>RWG</v>
      </c>
      <c r="L80" s="40">
        <f t="shared" si="14"/>
        <v>4</v>
      </c>
      <c r="M80" s="40">
        <f t="shared" si="15"/>
        <v>1</v>
      </c>
      <c r="N80" s="91">
        <f>IF('Amputation Summary'!$Q$33=2, RANK(I80,I$8:I$82,1)+COUNTIF($I$8:I80,I80)-1, IF('Amputation Summary'!$Q$33=1, RANK(H80,H$8:H$82,1)+COUNTIF($H$8:H80,H80)-1))</f>
        <v>75</v>
      </c>
      <c r="O80" s="92">
        <f>IF('Amputation Summary'!$Q$33=2, I80, IF('Amputation Summary'!$Q$33=1, H80))</f>
        <v>1</v>
      </c>
      <c r="P80" s="91">
        <v>8</v>
      </c>
      <c r="Q80" s="91">
        <v>7</v>
      </c>
      <c r="R80" s="91">
        <f t="shared" si="19"/>
        <v>1</v>
      </c>
      <c r="S80" s="91">
        <v>19</v>
      </c>
      <c r="T80" s="91">
        <f t="shared" si="20"/>
        <v>11</v>
      </c>
      <c r="U80" s="91">
        <v>26</v>
      </c>
      <c r="V80" s="90">
        <v>0.3990941047668457</v>
      </c>
      <c r="W80" s="112">
        <v>5</v>
      </c>
      <c r="X80" s="90">
        <f t="shared" si="21"/>
        <v>1.2709058523178101</v>
      </c>
      <c r="Y80" s="112">
        <f t="shared" si="22"/>
        <v>3.3300000429153442</v>
      </c>
      <c r="Z80" s="91">
        <f>IF('Amputation Summary'!$Q$4=3, RANK(G80,G$8:G$82,1)+COUNTIF($G$8:G80,G80)-1, IF('Amputation Summary'!$Q$4&lt;3, RANK(U80,U$8:U$82,1)+COUNTIF($U$8:U80,U80)-1))</f>
        <v>67</v>
      </c>
      <c r="AA80" s="91">
        <f>IF('Amputation Summary'!$Q$4=3,G80, IF( 'Amputation Summary'!$Q$4=1, P80, IF('Amputation Summary'!$Q$4=2, F80)))</f>
        <v>1.6699999570846558</v>
      </c>
      <c r="AB80" s="91">
        <f>IF('Amputation Summary'!$Q$4=3, V80, IF('Amputation Summary'!$Q$4=1, R80, IF('Amputation Summary'!$Q$4=2, AF80)))</f>
        <v>0.3990941047668457</v>
      </c>
      <c r="AC80" s="91">
        <f>IF('Amputation Summary'!$Q$4=3, Y80, IF('Amputation Summary'!$Q$4=1, T80, IF('Amputation Summary'!$Q$4=2, AG80)))</f>
        <v>3.3300000429153442</v>
      </c>
      <c r="AD80">
        <v>54</v>
      </c>
      <c r="AE80">
        <v>100</v>
      </c>
      <c r="AF80">
        <f t="shared" si="16"/>
        <v>46</v>
      </c>
      <c r="AG80">
        <f t="shared" si="17"/>
        <v>0</v>
      </c>
      <c r="AH80">
        <v>7</v>
      </c>
      <c r="AI80">
        <v>75</v>
      </c>
      <c r="AJ80">
        <v>1</v>
      </c>
      <c r="AK80" s="91">
        <f>IF('Amputation Summary'!$Q$4=3, AJ80, IF('Amputation Summary'!$Q$4=1, AH80, IF('Amputation Summary'!$Q$4=2, AI80)))</f>
        <v>1</v>
      </c>
      <c r="AL80" s="124">
        <v>1</v>
      </c>
    </row>
    <row r="81" spans="1:38" x14ac:dyDescent="0.25">
      <c r="A81" s="88" t="s">
        <v>140</v>
      </c>
      <c r="B81" s="88" t="s">
        <v>141</v>
      </c>
      <c r="C81" s="89">
        <v>116</v>
      </c>
      <c r="D81" s="89" t="s">
        <v>799</v>
      </c>
      <c r="E81" s="89" t="s">
        <v>800</v>
      </c>
      <c r="F81">
        <v>96</v>
      </c>
      <c r="G81" s="90">
        <v>0.89999997615814209</v>
      </c>
      <c r="H81" s="54">
        <v>0.87</v>
      </c>
      <c r="I81" s="54">
        <v>0.97</v>
      </c>
      <c r="J81" s="54">
        <v>2.9000000000000001E-2</v>
      </c>
      <c r="K81" s="40" t="str">
        <f t="shared" si="18"/>
        <v>RWP</v>
      </c>
      <c r="L81" s="40">
        <f t="shared" si="14"/>
        <v>2</v>
      </c>
      <c r="M81" s="40">
        <f t="shared" si="15"/>
        <v>4</v>
      </c>
      <c r="N81" s="91">
        <f>IF('Amputation Summary'!$Q$33=2, RANK(I81,I$8:I$82,1)+COUNTIF($I$8:I81,I81)-1, IF('Amputation Summary'!$Q$33=1, RANK(H81,H$8:H$82,1)+COUNTIF($H$8:H81,H81)-1))</f>
        <v>29</v>
      </c>
      <c r="O81" s="92">
        <f>IF('Amputation Summary'!$Q$33=2, I81, IF('Amputation Summary'!$Q$33=1, H81))</f>
        <v>0.87</v>
      </c>
      <c r="P81" s="91">
        <v>7</v>
      </c>
      <c r="Q81" s="91">
        <v>3</v>
      </c>
      <c r="R81" s="91">
        <f t="shared" si="19"/>
        <v>4</v>
      </c>
      <c r="S81" s="91">
        <v>18</v>
      </c>
      <c r="T81" s="91">
        <f t="shared" si="20"/>
        <v>11</v>
      </c>
      <c r="U81" s="91">
        <v>14</v>
      </c>
      <c r="V81" s="90">
        <v>0.62512022256851196</v>
      </c>
      <c r="W81" s="90">
        <v>1.295750617980957</v>
      </c>
      <c r="X81" s="90">
        <f t="shared" si="21"/>
        <v>0.27487975358963013</v>
      </c>
      <c r="Y81" s="90">
        <f t="shared" si="22"/>
        <v>0.39575064182281494</v>
      </c>
      <c r="Z81" s="91">
        <f>IF('Amputation Summary'!$Q$4=3, RANK(G81,G$8:G$82,1)+COUNTIF($G$8:G81,G81)-1, IF('Amputation Summary'!$Q$4&lt;3, RANK(U81,U$8:U$82,1)+COUNTIF($U$8:U81,U81)-1))</f>
        <v>41</v>
      </c>
      <c r="AA81" s="91">
        <f>IF('Amputation Summary'!$Q$4=3,G81, IF( 'Amputation Summary'!$Q$4=1, P81, IF('Amputation Summary'!$Q$4=2, F81)))</f>
        <v>0.89999997615814209</v>
      </c>
      <c r="AB81" s="91">
        <f>IF('Amputation Summary'!$Q$4=3, V81, IF('Amputation Summary'!$Q$4=1, R81, IF('Amputation Summary'!$Q$4=2, AF81)))</f>
        <v>0.62512022256851196</v>
      </c>
      <c r="AC81" s="91">
        <f>IF('Amputation Summary'!$Q$4=3, Y81, IF('Amputation Summary'!$Q$4=1, T81, IF('Amputation Summary'!$Q$4=2, AG81)))</f>
        <v>0.39575064182281494</v>
      </c>
      <c r="AD81">
        <v>87</v>
      </c>
      <c r="AE81">
        <v>100</v>
      </c>
      <c r="AF81">
        <f t="shared" si="16"/>
        <v>9</v>
      </c>
      <c r="AG81">
        <f t="shared" si="17"/>
        <v>4</v>
      </c>
      <c r="AH81">
        <v>7</v>
      </c>
      <c r="AI81">
        <v>75</v>
      </c>
      <c r="AJ81">
        <v>1</v>
      </c>
      <c r="AK81" s="91">
        <f>IF('Amputation Summary'!$Q$4=3, AJ81, IF('Amputation Summary'!$Q$4=1, AH81, IF('Amputation Summary'!$Q$4=2, AI81)))</f>
        <v>1</v>
      </c>
      <c r="AL81" s="124">
        <v>0.96</v>
      </c>
    </row>
    <row r="82" spans="1:38" x14ac:dyDescent="0.25">
      <c r="A82" s="88" t="s">
        <v>35</v>
      </c>
      <c r="B82" s="88" t="s">
        <v>36</v>
      </c>
      <c r="C82" s="89">
        <v>90</v>
      </c>
      <c r="D82" s="89" t="s">
        <v>801</v>
      </c>
      <c r="E82" s="89" t="s">
        <v>802</v>
      </c>
      <c r="F82">
        <v>63</v>
      </c>
      <c r="G82" s="90">
        <v>0.9100000262260437</v>
      </c>
      <c r="H82" s="54">
        <v>0.94</v>
      </c>
      <c r="I82" s="54">
        <v>0.83</v>
      </c>
      <c r="J82" s="54">
        <v>5.5E-2</v>
      </c>
      <c r="K82" s="40" t="str">
        <f t="shared" si="18"/>
        <v>RCB</v>
      </c>
      <c r="L82" s="40">
        <f t="shared" si="14"/>
        <v>3</v>
      </c>
      <c r="M82" s="40">
        <f t="shared" si="15"/>
        <v>3</v>
      </c>
      <c r="N82" s="91">
        <f>IF('Amputation Summary'!$Q$33=2, RANK(I82,I$8:I$82,1)+COUNTIF($I$8:I82,I82)-1, IF('Amputation Summary'!$Q$33=1, RANK(H82,H$8:H$82,1)+COUNTIF($H$8:H82,H82)-1))</f>
        <v>42</v>
      </c>
      <c r="O82" s="92">
        <f>IF('Amputation Summary'!$Q$33=2, I82, IF('Amputation Summary'!$Q$33=1, H82))</f>
        <v>0.94</v>
      </c>
      <c r="P82" s="91">
        <v>10</v>
      </c>
      <c r="Q82" s="91">
        <v>4</v>
      </c>
      <c r="R82" s="91">
        <f t="shared" si="19"/>
        <v>6</v>
      </c>
      <c r="S82" s="91">
        <v>84</v>
      </c>
      <c r="T82" s="91">
        <f t="shared" si="20"/>
        <v>74</v>
      </c>
      <c r="U82" s="91">
        <v>43</v>
      </c>
      <c r="V82" s="90">
        <v>0.60174369812011719</v>
      </c>
      <c r="W82" s="90">
        <v>1.3761672973632813</v>
      </c>
      <c r="X82" s="90">
        <f t="shared" si="21"/>
        <v>0.30825632810592651</v>
      </c>
      <c r="Y82" s="90">
        <f t="shared" si="22"/>
        <v>0.46616727113723755</v>
      </c>
      <c r="Z82" s="91">
        <f>IF('Amputation Summary'!$Q$4=3, RANK(G82,G$8:G$82,1)+COUNTIF($G$8:G82,G82)-1, IF('Amputation Summary'!$Q$4&lt;3, RANK(U82,U$8:U$82,1)+COUNTIF($U$8:U82,U82)-1))</f>
        <v>42</v>
      </c>
      <c r="AA82" s="91">
        <f>IF('Amputation Summary'!$Q$4=3,G82, IF( 'Amputation Summary'!$Q$4=1, P82, IF('Amputation Summary'!$Q$4=2, F82)))</f>
        <v>0.9100000262260437</v>
      </c>
      <c r="AB82" s="91">
        <f>IF('Amputation Summary'!$Q$4=3, V82, IF('Amputation Summary'!$Q$4=1, R82, IF('Amputation Summary'!$Q$4=2, AF82)))</f>
        <v>0.60174369812011719</v>
      </c>
      <c r="AC82" s="91">
        <f>IF('Amputation Summary'!$Q$4=3, Y82, IF('Amputation Summary'!$Q$4=1, T82, IF('Amputation Summary'!$Q$4=2, AG82)))</f>
        <v>0.46616727113723755</v>
      </c>
      <c r="AD82">
        <v>48</v>
      </c>
      <c r="AE82">
        <v>77</v>
      </c>
      <c r="AF82">
        <f t="shared" si="16"/>
        <v>15</v>
      </c>
      <c r="AG82">
        <f t="shared" si="17"/>
        <v>14</v>
      </c>
      <c r="AH82">
        <v>7</v>
      </c>
      <c r="AI82">
        <v>75</v>
      </c>
      <c r="AJ82">
        <v>1</v>
      </c>
      <c r="AK82" s="91">
        <f>IF('Amputation Summary'!$Q$4=3, AJ82, IF('Amputation Summary'!$Q$4=1, AH82, IF('Amputation Summary'!$Q$4=2, AI82)))</f>
        <v>1</v>
      </c>
      <c r="AL82" s="124">
        <v>0.63</v>
      </c>
    </row>
  </sheetData>
  <sortState ref="A8:U91">
    <sortCondition ref="B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AAA Summary</vt:lpstr>
      <vt:lpstr>Elective Infra-Renal AAA Repair</vt:lpstr>
      <vt:lpstr>Bypass Summary</vt:lpstr>
      <vt:lpstr>Lower Limb Bypass</vt:lpstr>
      <vt:lpstr>Angioplasty Summary</vt:lpstr>
      <vt:lpstr>Lower Limb Angioplasty</vt:lpstr>
      <vt:lpstr>Amputation Summary</vt:lpstr>
      <vt:lpstr>Trusts Overview</vt:lpstr>
      <vt:lpstr>Major Lower Limb Amputation</vt:lpstr>
      <vt:lpstr>Amp Funnel</vt:lpstr>
      <vt:lpstr>Bypass Funnel</vt:lpstr>
      <vt:lpstr>Angio Funnel</vt:lpstr>
      <vt:lpstr>Carotid Endarterectomy</vt:lpstr>
      <vt:lpstr>CEA Summary</vt:lpstr>
      <vt:lpstr>CEA Limits</vt:lpstr>
      <vt:lpstr>CEA Funnel</vt:lpstr>
      <vt:lpstr>AAA 2019 Report</vt:lpstr>
      <vt:lpstr>AAA 2018 Report</vt:lpstr>
      <vt:lpstr>AAA Limits</vt:lpstr>
      <vt:lpstr>AAA Funnel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2019-09-16T10:41:18Z</dcterms:created>
  <dcterms:modified xsi:type="dcterms:W3CDTF">2020-11-18T09:42:03Z</dcterms:modified>
</cp:coreProperties>
</file>