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tabRatio="901"/>
  </bookViews>
  <sheets>
    <sheet name="AAA Summary" sheetId="15" r:id="rId1"/>
    <sheet name="CEA Summary" sheetId="12" r:id="rId2"/>
    <sheet name="Bypass Summary" sheetId="21" r:id="rId3"/>
    <sheet name="Angioplasty Summary" sheetId="23" r:id="rId4"/>
    <sheet name="Amputation Summary" sheetId="25" r:id="rId5"/>
    <sheet name="Trusts Overview" sheetId="1" state="hidden" r:id="rId6"/>
    <sheet name="Major Lower Limb Amputation" sheetId="11" state="hidden" r:id="rId7"/>
    <sheet name="Lower Limb Angioplasty" sheetId="10" state="hidden" r:id="rId8"/>
    <sheet name="Elective Infra-Renal AAA Repair" sheetId="3" state="hidden" r:id="rId9"/>
    <sheet name="AAA 2018 Report" sheetId="19" state="hidden" r:id="rId10"/>
    <sheet name="AAA 2017 Report" sheetId="20" state="hidden" r:id="rId11"/>
    <sheet name="Lower Limb Bypass" sheetId="9" state="hidden" r:id="rId12"/>
    <sheet name="Amp Funnel" sheetId="26" state="hidden" r:id="rId13"/>
    <sheet name="Bypass Funnel" sheetId="22" state="hidden" r:id="rId14"/>
    <sheet name="Angio Funnel" sheetId="24" state="hidden" r:id="rId15"/>
    <sheet name="Carotid Endarterectomy" sheetId="2" state="hidden" r:id="rId16"/>
    <sheet name="CEA Limits" sheetId="13" state="hidden" r:id="rId17"/>
    <sheet name="CEA Funnel" sheetId="14" state="hidden" r:id="rId18"/>
    <sheet name="AAA Limits" sheetId="17" state="hidden" r:id="rId19"/>
    <sheet name="AAA Funnel" sheetId="18" state="hidden" r:id="rId20"/>
    <sheet name="Repair of Complex AAA" sheetId="7" state="hidden" r:id="rId21"/>
    <sheet name="Repair of Ruptured AAA" sheetId="8" state="hidden" r:id="rId22"/>
  </sheets>
  <externalReferences>
    <externalReference r:id="rId23"/>
  </externalReferences>
  <definedNames>
    <definedName name="_xlnm._FilterDatabase" localSheetId="15" hidden="1">'Carotid Endarterectomy'!$A$1:$J$79</definedName>
    <definedName name="_xlnm._FilterDatabase" localSheetId="8" hidden="1">'Elective Infra-Renal AAA Repair'!$A$7:$L$83</definedName>
    <definedName name="_xlnm._FilterDatabase" localSheetId="7" hidden="1">'Lower Limb Angioplasty'!$A$1:$AC$92</definedName>
    <definedName name="_xlnm._FilterDatabase" localSheetId="11" hidden="1">'Lower Limb Bypass'!$A$1:$H$83</definedName>
    <definedName name="_xlnm._FilterDatabase" localSheetId="6" hidden="1">'Major Lower Limb Amputation'!$A$7:$AC$87</definedName>
    <definedName name="_xlnm._FilterDatabase" localSheetId="20" hidden="1">'Repair of Complex AAA'!$A$1:$E$72</definedName>
    <definedName name="_xlnm._FilterDatabase" localSheetId="21" hidden="1">'Repair of Ruptured AAA'!$A$1:$F$76</definedName>
    <definedName name="_xlnm.Print_Area" localSheetId="0">'AAA Summary'!$A$1:$L$69</definedName>
    <definedName name="_xlnm.Print_Area" localSheetId="4">'Amputation Summary'!$A$1:$Q$51</definedName>
    <definedName name="_xlnm.Print_Area" localSheetId="3">'Angioplasty Summary'!$A$1:$Q$84</definedName>
    <definedName name="_xlnm.Print_Area" localSheetId="2">'Bypass Summary'!$A$1:$O$53</definedName>
    <definedName name="_xlnm.Print_Area" localSheetId="1">'CEA Summary'!$A$1:$R$52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5" l="1"/>
  <c r="F29" i="25"/>
  <c r="AP2" i="15" l="1"/>
  <c r="Y93" i="10" l="1"/>
  <c r="X93" i="10"/>
  <c r="W93" i="10"/>
  <c r="V93" i="10"/>
  <c r="U93" i="10"/>
  <c r="T93" i="10"/>
  <c r="Y48" i="10"/>
  <c r="X48" i="10"/>
  <c r="W48" i="10"/>
  <c r="V48" i="10"/>
  <c r="U48" i="10"/>
  <c r="T48" i="10"/>
  <c r="Y23" i="10"/>
  <c r="X23" i="10"/>
  <c r="W23" i="10"/>
  <c r="V23" i="10"/>
  <c r="U23" i="10"/>
  <c r="T23" i="10"/>
  <c r="Y15" i="10"/>
  <c r="X15" i="10"/>
  <c r="W15" i="10"/>
  <c r="V15" i="10"/>
  <c r="U15" i="10"/>
  <c r="T15" i="10"/>
  <c r="Y13" i="10"/>
  <c r="X13" i="10"/>
  <c r="W13" i="10"/>
  <c r="V13" i="10"/>
  <c r="U13" i="10"/>
  <c r="T13" i="10"/>
  <c r="Y10" i="10"/>
  <c r="X10" i="10"/>
  <c r="W10" i="10"/>
  <c r="V10" i="10"/>
  <c r="U10" i="10"/>
  <c r="T10" i="10"/>
  <c r="R55" i="23" l="1"/>
  <c r="AC13" i="10" s="1"/>
  <c r="Y17" i="10"/>
  <c r="Y21" i="10"/>
  <c r="Y3" i="10"/>
  <c r="Y40" i="10"/>
  <c r="Y6" i="10"/>
  <c r="Y39" i="10"/>
  <c r="Y90" i="10"/>
  <c r="Y84" i="10"/>
  <c r="Y12" i="10"/>
  <c r="Y78" i="10"/>
  <c r="Y72" i="10"/>
  <c r="Y82" i="10"/>
  <c r="Y80" i="10"/>
  <c r="Y61" i="10"/>
  <c r="Y8" i="10"/>
  <c r="Y98" i="10"/>
  <c r="Y44" i="10"/>
  <c r="Y7" i="10"/>
  <c r="Y27" i="10"/>
  <c r="Y28" i="10"/>
  <c r="Y68" i="10"/>
  <c r="Y70" i="10"/>
  <c r="Y2" i="10"/>
  <c r="Y5" i="10"/>
  <c r="Y59" i="10"/>
  <c r="Y96" i="10"/>
  <c r="Y16" i="10"/>
  <c r="Y71" i="10"/>
  <c r="Y88" i="10"/>
  <c r="Y75" i="10"/>
  <c r="Y65" i="10"/>
  <c r="Y67" i="10"/>
  <c r="Y32" i="10"/>
  <c r="Y79" i="10"/>
  <c r="Y87" i="10"/>
  <c r="Y19" i="10"/>
  <c r="Y36" i="10"/>
  <c r="Y94" i="10"/>
  <c r="Y91" i="10"/>
  <c r="Y74" i="10"/>
  <c r="Y18" i="10"/>
  <c r="Y56" i="10"/>
  <c r="Y11" i="10"/>
  <c r="Y31" i="10"/>
  <c r="Y33" i="10"/>
  <c r="Y83" i="10"/>
  <c r="Y58" i="10"/>
  <c r="Y60" i="10"/>
  <c r="Y22" i="10"/>
  <c r="Y41" i="10"/>
  <c r="Y73" i="10"/>
  <c r="Y42" i="10"/>
  <c r="Y66" i="10"/>
  <c r="Y29" i="10"/>
  <c r="Y38" i="10"/>
  <c r="Y89" i="10"/>
  <c r="Y86" i="10"/>
  <c r="Y69" i="10"/>
  <c r="Y45" i="10"/>
  <c r="Y30" i="10"/>
  <c r="Y92" i="10"/>
  <c r="Y63" i="10"/>
  <c r="Y4" i="10"/>
  <c r="Y77" i="10"/>
  <c r="Y57" i="10"/>
  <c r="Y25" i="10"/>
  <c r="Y64" i="10"/>
  <c r="Y34" i="10"/>
  <c r="Y85" i="10"/>
  <c r="Y95" i="10"/>
  <c r="Y24" i="10"/>
  <c r="Y97" i="10"/>
  <c r="Y62" i="10"/>
  <c r="Y43" i="10"/>
  <c r="Y37" i="10"/>
  <c r="Y20" i="10"/>
  <c r="Y14" i="10"/>
  <c r="Y26" i="10"/>
  <c r="Y76" i="10"/>
  <c r="Y35" i="10"/>
  <c r="Y46" i="10"/>
  <c r="Y51" i="10"/>
  <c r="Y52" i="10"/>
  <c r="Y53" i="10"/>
  <c r="Y50" i="10"/>
  <c r="Y54" i="10"/>
  <c r="Y55" i="10"/>
  <c r="Y49" i="10"/>
  <c r="Y47" i="10"/>
  <c r="Y9" i="10"/>
  <c r="Y81" i="10"/>
  <c r="X17" i="10"/>
  <c r="X21" i="10"/>
  <c r="X3" i="10"/>
  <c r="X40" i="10"/>
  <c r="X6" i="10"/>
  <c r="X39" i="10"/>
  <c r="X90" i="10"/>
  <c r="X84" i="10"/>
  <c r="X12" i="10"/>
  <c r="X78" i="10"/>
  <c r="X72" i="10"/>
  <c r="X82" i="10"/>
  <c r="X80" i="10"/>
  <c r="X61" i="10"/>
  <c r="X8" i="10"/>
  <c r="X98" i="10"/>
  <c r="X44" i="10"/>
  <c r="X7" i="10"/>
  <c r="X27" i="10"/>
  <c r="X28" i="10"/>
  <c r="X68" i="10"/>
  <c r="X70" i="10"/>
  <c r="X2" i="10"/>
  <c r="X5" i="10"/>
  <c r="X59" i="10"/>
  <c r="X96" i="10"/>
  <c r="X16" i="10"/>
  <c r="X71" i="10"/>
  <c r="X88" i="10"/>
  <c r="X75" i="10"/>
  <c r="X65" i="10"/>
  <c r="X67" i="10"/>
  <c r="X32" i="10"/>
  <c r="X79" i="10"/>
  <c r="X87" i="10"/>
  <c r="X19" i="10"/>
  <c r="X36" i="10"/>
  <c r="X94" i="10"/>
  <c r="X91" i="10"/>
  <c r="X74" i="10"/>
  <c r="X18" i="10"/>
  <c r="X56" i="10"/>
  <c r="X11" i="10"/>
  <c r="X31" i="10"/>
  <c r="X33" i="10"/>
  <c r="X83" i="10"/>
  <c r="X58" i="10"/>
  <c r="X60" i="10"/>
  <c r="X22" i="10"/>
  <c r="X41" i="10"/>
  <c r="X73" i="10"/>
  <c r="X42" i="10"/>
  <c r="X66" i="10"/>
  <c r="X29" i="10"/>
  <c r="X38" i="10"/>
  <c r="X89" i="10"/>
  <c r="X86" i="10"/>
  <c r="X69" i="10"/>
  <c r="X45" i="10"/>
  <c r="X30" i="10"/>
  <c r="X92" i="10"/>
  <c r="X63" i="10"/>
  <c r="X4" i="10"/>
  <c r="X77" i="10"/>
  <c r="X57" i="10"/>
  <c r="X25" i="10"/>
  <c r="X64" i="10"/>
  <c r="X34" i="10"/>
  <c r="X85" i="10"/>
  <c r="X95" i="10"/>
  <c r="X24" i="10"/>
  <c r="X97" i="10"/>
  <c r="X62" i="10"/>
  <c r="X43" i="10"/>
  <c r="X37" i="10"/>
  <c r="X20" i="10"/>
  <c r="X14" i="10"/>
  <c r="X26" i="10"/>
  <c r="X76" i="10"/>
  <c r="X35" i="10"/>
  <c r="X46" i="10"/>
  <c r="X51" i="10"/>
  <c r="X52" i="10"/>
  <c r="X53" i="10"/>
  <c r="X50" i="10"/>
  <c r="X54" i="10"/>
  <c r="X55" i="10"/>
  <c r="X49" i="10"/>
  <c r="X47" i="10"/>
  <c r="X9" i="10"/>
  <c r="X81" i="10"/>
  <c r="V17" i="10"/>
  <c r="W17" i="10"/>
  <c r="V21" i="10"/>
  <c r="W21" i="10"/>
  <c r="V3" i="10"/>
  <c r="W3" i="10"/>
  <c r="V40" i="10"/>
  <c r="W40" i="10"/>
  <c r="V6" i="10"/>
  <c r="W6" i="10"/>
  <c r="V39" i="10"/>
  <c r="W39" i="10"/>
  <c r="V90" i="10"/>
  <c r="W90" i="10"/>
  <c r="V84" i="10"/>
  <c r="W84" i="10"/>
  <c r="V12" i="10"/>
  <c r="W12" i="10"/>
  <c r="V78" i="10"/>
  <c r="W78" i="10"/>
  <c r="V72" i="10"/>
  <c r="W72" i="10"/>
  <c r="V82" i="10"/>
  <c r="W82" i="10"/>
  <c r="V80" i="10"/>
  <c r="W80" i="10"/>
  <c r="V61" i="10"/>
  <c r="W61" i="10"/>
  <c r="V8" i="10"/>
  <c r="W8" i="10"/>
  <c r="V98" i="10"/>
  <c r="W98" i="10"/>
  <c r="V44" i="10"/>
  <c r="W44" i="10"/>
  <c r="V7" i="10"/>
  <c r="W7" i="10"/>
  <c r="V27" i="10"/>
  <c r="W27" i="10"/>
  <c r="V28" i="10"/>
  <c r="W28" i="10"/>
  <c r="V68" i="10"/>
  <c r="W68" i="10"/>
  <c r="V70" i="10"/>
  <c r="W70" i="10"/>
  <c r="V2" i="10"/>
  <c r="W2" i="10"/>
  <c r="V5" i="10"/>
  <c r="W5" i="10"/>
  <c r="V59" i="10"/>
  <c r="W59" i="10"/>
  <c r="V96" i="10"/>
  <c r="W96" i="10"/>
  <c r="V16" i="10"/>
  <c r="W16" i="10"/>
  <c r="V71" i="10"/>
  <c r="W71" i="10"/>
  <c r="V88" i="10"/>
  <c r="W88" i="10"/>
  <c r="V75" i="10"/>
  <c r="W75" i="10"/>
  <c r="V65" i="10"/>
  <c r="W65" i="10"/>
  <c r="V67" i="10"/>
  <c r="W67" i="10"/>
  <c r="V32" i="10"/>
  <c r="W32" i="10"/>
  <c r="V79" i="10"/>
  <c r="W79" i="10"/>
  <c r="V87" i="10"/>
  <c r="W87" i="10"/>
  <c r="V19" i="10"/>
  <c r="W19" i="10"/>
  <c r="V36" i="10"/>
  <c r="W36" i="10"/>
  <c r="V94" i="10"/>
  <c r="W94" i="10"/>
  <c r="V91" i="10"/>
  <c r="W91" i="10"/>
  <c r="V74" i="10"/>
  <c r="W74" i="10"/>
  <c r="V18" i="10"/>
  <c r="W18" i="10"/>
  <c r="V56" i="10"/>
  <c r="W56" i="10"/>
  <c r="V11" i="10"/>
  <c r="W11" i="10"/>
  <c r="V31" i="10"/>
  <c r="W31" i="10"/>
  <c r="V33" i="10"/>
  <c r="W33" i="10"/>
  <c r="V83" i="10"/>
  <c r="W83" i="10"/>
  <c r="V58" i="10"/>
  <c r="W58" i="10"/>
  <c r="V60" i="10"/>
  <c r="W60" i="10"/>
  <c r="V22" i="10"/>
  <c r="W22" i="10"/>
  <c r="V41" i="10"/>
  <c r="W41" i="10"/>
  <c r="V73" i="10"/>
  <c r="W73" i="10"/>
  <c r="V42" i="10"/>
  <c r="W42" i="10"/>
  <c r="V66" i="10"/>
  <c r="W66" i="10"/>
  <c r="V29" i="10"/>
  <c r="W29" i="10"/>
  <c r="V38" i="10"/>
  <c r="W38" i="10"/>
  <c r="V89" i="10"/>
  <c r="W89" i="10"/>
  <c r="V86" i="10"/>
  <c r="W86" i="10"/>
  <c r="V69" i="10"/>
  <c r="W69" i="10"/>
  <c r="V45" i="10"/>
  <c r="W45" i="10"/>
  <c r="V30" i="10"/>
  <c r="W30" i="10"/>
  <c r="V92" i="10"/>
  <c r="W92" i="10"/>
  <c r="V63" i="10"/>
  <c r="W63" i="10"/>
  <c r="V4" i="10"/>
  <c r="W4" i="10"/>
  <c r="V77" i="10"/>
  <c r="W77" i="10"/>
  <c r="V57" i="10"/>
  <c r="W57" i="10"/>
  <c r="V25" i="10"/>
  <c r="W25" i="10"/>
  <c r="V64" i="10"/>
  <c r="W64" i="10"/>
  <c r="V34" i="10"/>
  <c r="W34" i="10"/>
  <c r="V85" i="10"/>
  <c r="W85" i="10"/>
  <c r="V95" i="10"/>
  <c r="W95" i="10"/>
  <c r="V24" i="10"/>
  <c r="W24" i="10"/>
  <c r="V97" i="10"/>
  <c r="W97" i="10"/>
  <c r="V62" i="10"/>
  <c r="W62" i="10"/>
  <c r="V43" i="10"/>
  <c r="W43" i="10"/>
  <c r="V37" i="10"/>
  <c r="W37" i="10"/>
  <c r="V20" i="10"/>
  <c r="W20" i="10"/>
  <c r="V14" i="10"/>
  <c r="W14" i="10"/>
  <c r="V26" i="10"/>
  <c r="W26" i="10"/>
  <c r="V76" i="10"/>
  <c r="W76" i="10"/>
  <c r="V35" i="10"/>
  <c r="W35" i="10"/>
  <c r="V46" i="10"/>
  <c r="W46" i="10"/>
  <c r="V51" i="10"/>
  <c r="W51" i="10"/>
  <c r="V52" i="10"/>
  <c r="W52" i="10"/>
  <c r="V53" i="10"/>
  <c r="W53" i="10"/>
  <c r="V50" i="10"/>
  <c r="W50" i="10"/>
  <c r="V54" i="10"/>
  <c r="W54" i="10"/>
  <c r="V55" i="10"/>
  <c r="W55" i="10"/>
  <c r="V49" i="10"/>
  <c r="W49" i="10"/>
  <c r="V47" i="10"/>
  <c r="W47" i="10"/>
  <c r="V9" i="10"/>
  <c r="W9" i="10"/>
  <c r="W81" i="10"/>
  <c r="V81" i="10"/>
  <c r="U17" i="10"/>
  <c r="U21" i="10"/>
  <c r="U3" i="10"/>
  <c r="U40" i="10"/>
  <c r="U6" i="10"/>
  <c r="U39" i="10"/>
  <c r="U90" i="10"/>
  <c r="U84" i="10"/>
  <c r="U12" i="10"/>
  <c r="U78" i="10"/>
  <c r="U72" i="10"/>
  <c r="U82" i="10"/>
  <c r="U80" i="10"/>
  <c r="U61" i="10"/>
  <c r="U8" i="10"/>
  <c r="U98" i="10"/>
  <c r="U44" i="10"/>
  <c r="U7" i="10"/>
  <c r="U27" i="10"/>
  <c r="U28" i="10"/>
  <c r="U68" i="10"/>
  <c r="U70" i="10"/>
  <c r="U2" i="10"/>
  <c r="U5" i="10"/>
  <c r="U59" i="10"/>
  <c r="U96" i="10"/>
  <c r="U16" i="10"/>
  <c r="U71" i="10"/>
  <c r="U88" i="10"/>
  <c r="U75" i="10"/>
  <c r="U65" i="10"/>
  <c r="U67" i="10"/>
  <c r="U32" i="10"/>
  <c r="U79" i="10"/>
  <c r="U87" i="10"/>
  <c r="U19" i="10"/>
  <c r="U36" i="10"/>
  <c r="U94" i="10"/>
  <c r="U91" i="10"/>
  <c r="U74" i="10"/>
  <c r="U18" i="10"/>
  <c r="U56" i="10"/>
  <c r="U11" i="10"/>
  <c r="U31" i="10"/>
  <c r="U33" i="10"/>
  <c r="U83" i="10"/>
  <c r="U58" i="10"/>
  <c r="U60" i="10"/>
  <c r="U22" i="10"/>
  <c r="U41" i="10"/>
  <c r="U73" i="10"/>
  <c r="U42" i="10"/>
  <c r="U66" i="10"/>
  <c r="U29" i="10"/>
  <c r="U38" i="10"/>
  <c r="U89" i="10"/>
  <c r="U86" i="10"/>
  <c r="U69" i="10"/>
  <c r="U45" i="10"/>
  <c r="U30" i="10"/>
  <c r="U92" i="10"/>
  <c r="U63" i="10"/>
  <c r="U4" i="10"/>
  <c r="U77" i="10"/>
  <c r="U57" i="10"/>
  <c r="U25" i="10"/>
  <c r="U64" i="10"/>
  <c r="U34" i="10"/>
  <c r="U85" i="10"/>
  <c r="U95" i="10"/>
  <c r="U24" i="10"/>
  <c r="U97" i="10"/>
  <c r="U62" i="10"/>
  <c r="U43" i="10"/>
  <c r="U37" i="10"/>
  <c r="U20" i="10"/>
  <c r="U14" i="10"/>
  <c r="U26" i="10"/>
  <c r="U76" i="10"/>
  <c r="U35" i="10"/>
  <c r="U46" i="10"/>
  <c r="U51" i="10"/>
  <c r="U52" i="10"/>
  <c r="U53" i="10"/>
  <c r="U50" i="10"/>
  <c r="U54" i="10"/>
  <c r="U55" i="10"/>
  <c r="U49" i="10"/>
  <c r="U47" i="10"/>
  <c r="U9" i="10"/>
  <c r="U81" i="10"/>
  <c r="T17" i="10"/>
  <c r="T21" i="10"/>
  <c r="T3" i="10"/>
  <c r="T40" i="10"/>
  <c r="T6" i="10"/>
  <c r="T39" i="10"/>
  <c r="T90" i="10"/>
  <c r="T84" i="10"/>
  <c r="T12" i="10"/>
  <c r="T78" i="10"/>
  <c r="T72" i="10"/>
  <c r="T82" i="10"/>
  <c r="T80" i="10"/>
  <c r="T61" i="10"/>
  <c r="T8" i="10"/>
  <c r="T98" i="10"/>
  <c r="T44" i="10"/>
  <c r="T7" i="10"/>
  <c r="T27" i="10"/>
  <c r="T28" i="10"/>
  <c r="T68" i="10"/>
  <c r="T70" i="10"/>
  <c r="T2" i="10"/>
  <c r="T5" i="10"/>
  <c r="T59" i="10"/>
  <c r="T96" i="10"/>
  <c r="T16" i="10"/>
  <c r="T71" i="10"/>
  <c r="T88" i="10"/>
  <c r="T75" i="10"/>
  <c r="T65" i="10"/>
  <c r="T67" i="10"/>
  <c r="T32" i="10"/>
  <c r="T79" i="10"/>
  <c r="T87" i="10"/>
  <c r="T19" i="10"/>
  <c r="T36" i="10"/>
  <c r="T94" i="10"/>
  <c r="T91" i="10"/>
  <c r="T74" i="10"/>
  <c r="T18" i="10"/>
  <c r="T56" i="10"/>
  <c r="T11" i="10"/>
  <c r="T31" i="10"/>
  <c r="T33" i="10"/>
  <c r="T83" i="10"/>
  <c r="T58" i="10"/>
  <c r="T60" i="10"/>
  <c r="T22" i="10"/>
  <c r="T41" i="10"/>
  <c r="T73" i="10"/>
  <c r="T42" i="10"/>
  <c r="T66" i="10"/>
  <c r="T29" i="10"/>
  <c r="T38" i="10"/>
  <c r="T89" i="10"/>
  <c r="T86" i="10"/>
  <c r="T69" i="10"/>
  <c r="T45" i="10"/>
  <c r="T30" i="10"/>
  <c r="T92" i="10"/>
  <c r="T63" i="10"/>
  <c r="T4" i="10"/>
  <c r="T77" i="10"/>
  <c r="T57" i="10"/>
  <c r="T25" i="10"/>
  <c r="T64" i="10"/>
  <c r="T34" i="10"/>
  <c r="T85" i="10"/>
  <c r="T95" i="10"/>
  <c r="T24" i="10"/>
  <c r="T97" i="10"/>
  <c r="T62" i="10"/>
  <c r="T43" i="10"/>
  <c r="T37" i="10"/>
  <c r="T20" i="10"/>
  <c r="T14" i="10"/>
  <c r="T26" i="10"/>
  <c r="T76" i="10"/>
  <c r="T35" i="10"/>
  <c r="T46" i="10"/>
  <c r="T51" i="10"/>
  <c r="T52" i="10"/>
  <c r="T53" i="10"/>
  <c r="T50" i="10"/>
  <c r="T54" i="10"/>
  <c r="T55" i="10"/>
  <c r="T49" i="10"/>
  <c r="T47" i="10"/>
  <c r="T9" i="10"/>
  <c r="T81" i="10"/>
  <c r="AB48" i="10" l="1"/>
  <c r="AC10" i="10"/>
  <c r="AC48" i="10"/>
  <c r="AB13" i="10"/>
  <c r="AC23" i="10"/>
  <c r="AB10" i="10"/>
  <c r="AC15" i="10"/>
  <c r="AB93" i="10"/>
  <c r="Z3" i="10"/>
  <c r="AA93" i="10"/>
  <c r="AA48" i="10"/>
  <c r="AA23" i="10"/>
  <c r="AA15" i="10"/>
  <c r="AA13" i="10"/>
  <c r="AA10" i="10"/>
  <c r="Z93" i="10"/>
  <c r="Z48" i="10"/>
  <c r="Z23" i="10"/>
  <c r="Z15" i="10"/>
  <c r="Z13" i="10"/>
  <c r="Z10" i="10"/>
  <c r="AB23" i="10"/>
  <c r="AC93" i="10"/>
  <c r="AB15" i="10"/>
  <c r="AA29" i="10"/>
  <c r="AB55" i="10"/>
  <c r="AB76" i="10"/>
  <c r="AB24" i="10"/>
  <c r="AB4" i="10"/>
  <c r="AB38" i="10"/>
  <c r="AB58" i="10"/>
  <c r="AB91" i="10"/>
  <c r="AB65" i="10"/>
  <c r="AB2" i="10"/>
  <c r="AB8" i="10"/>
  <c r="AB90" i="10"/>
  <c r="AC9" i="10"/>
  <c r="AC51" i="10"/>
  <c r="AC43" i="10"/>
  <c r="AC25" i="10"/>
  <c r="AC69" i="10"/>
  <c r="AC41" i="10"/>
  <c r="AC56" i="10"/>
  <c r="AC79" i="10"/>
  <c r="AB47" i="10"/>
  <c r="AB46" i="10"/>
  <c r="AB62" i="10"/>
  <c r="AB57" i="10"/>
  <c r="AB86" i="10"/>
  <c r="AB22" i="10"/>
  <c r="AB18" i="10"/>
  <c r="AB32" i="10"/>
  <c r="AB59" i="10"/>
  <c r="AB44" i="10"/>
  <c r="AB12" i="10"/>
  <c r="AB17" i="10"/>
  <c r="AC53" i="10"/>
  <c r="AC20" i="10"/>
  <c r="AC34" i="10"/>
  <c r="AC30" i="10"/>
  <c r="AC42" i="10"/>
  <c r="AC31" i="10"/>
  <c r="AC19" i="10"/>
  <c r="AC71" i="10"/>
  <c r="AC28" i="10"/>
  <c r="AC82" i="10"/>
  <c r="AC40" i="10"/>
  <c r="AB9" i="10"/>
  <c r="AB51" i="10"/>
  <c r="AB43" i="10"/>
  <c r="AB25" i="10"/>
  <c r="AB69" i="10"/>
  <c r="AB41" i="10"/>
  <c r="AB56" i="10"/>
  <c r="AB79" i="10"/>
  <c r="AB96" i="10"/>
  <c r="AB7" i="10"/>
  <c r="AB78" i="10"/>
  <c r="AB21" i="10"/>
  <c r="AC50" i="10"/>
  <c r="AC14" i="10"/>
  <c r="AC85" i="10"/>
  <c r="AC92" i="10"/>
  <c r="AC66" i="10"/>
  <c r="AC33" i="10"/>
  <c r="AC36" i="10"/>
  <c r="AC88" i="10"/>
  <c r="AC68" i="10"/>
  <c r="AC80" i="10"/>
  <c r="AC6" i="10"/>
  <c r="AA61" i="10"/>
  <c r="AB50" i="10"/>
  <c r="AB14" i="10"/>
  <c r="AB85" i="10"/>
  <c r="AB92" i="10"/>
  <c r="AB66" i="10"/>
  <c r="AB33" i="10"/>
  <c r="AB36" i="10"/>
  <c r="AB88" i="10"/>
  <c r="AB68" i="10"/>
  <c r="AB80" i="10"/>
  <c r="AB49" i="10"/>
  <c r="AB35" i="10"/>
  <c r="AB97" i="10"/>
  <c r="AA54" i="10"/>
  <c r="AC49" i="10"/>
  <c r="AC97" i="10"/>
  <c r="AC89" i="10"/>
  <c r="AC60" i="10"/>
  <c r="AC67" i="10"/>
  <c r="AC5" i="10"/>
  <c r="AC98" i="10"/>
  <c r="Z94" i="10"/>
  <c r="AA85" i="10"/>
  <c r="AA36" i="10"/>
  <c r="Z7" i="10"/>
  <c r="AA63" i="10"/>
  <c r="AA75" i="10"/>
  <c r="AB6" i="10"/>
  <c r="AC35" i="10"/>
  <c r="AC77" i="10"/>
  <c r="AC74" i="10"/>
  <c r="AC84" i="10"/>
  <c r="AB81" i="10"/>
  <c r="AB52" i="10"/>
  <c r="AB37" i="10"/>
  <c r="AB64" i="10"/>
  <c r="AB45" i="10"/>
  <c r="AB73" i="10"/>
  <c r="AB11" i="10"/>
  <c r="AB87" i="10"/>
  <c r="AB16" i="10"/>
  <c r="AB27" i="10"/>
  <c r="AB72" i="10"/>
  <c r="AB3" i="10"/>
  <c r="AC54" i="10"/>
  <c r="AC26" i="10"/>
  <c r="AC95" i="10"/>
  <c r="AC63" i="10"/>
  <c r="AC29" i="10"/>
  <c r="AC83" i="10"/>
  <c r="Z44" i="10"/>
  <c r="AA92" i="10"/>
  <c r="AA70" i="10"/>
  <c r="AA50" i="10"/>
  <c r="AA66" i="10"/>
  <c r="AA39" i="10"/>
  <c r="AB77" i="10"/>
  <c r="AB89" i="10"/>
  <c r="AB60" i="10"/>
  <c r="AB74" i="10"/>
  <c r="AB67" i="10"/>
  <c r="AB5" i="10"/>
  <c r="AB98" i="10"/>
  <c r="AB84" i="10"/>
  <c r="AC81" i="10"/>
  <c r="AC52" i="10"/>
  <c r="AC37" i="10"/>
  <c r="AC64" i="10"/>
  <c r="AC45" i="10"/>
  <c r="AC73" i="10"/>
  <c r="AC11" i="10"/>
  <c r="AC87" i="10"/>
  <c r="AC16" i="10"/>
  <c r="AC27" i="10"/>
  <c r="AC72" i="10"/>
  <c r="AC3" i="10"/>
  <c r="Z9" i="10"/>
  <c r="AA26" i="10"/>
  <c r="AA83" i="10"/>
  <c r="AB34" i="10"/>
  <c r="Z26" i="10"/>
  <c r="AA14" i="10"/>
  <c r="AA33" i="10"/>
  <c r="AB40" i="10"/>
  <c r="AB54" i="10"/>
  <c r="AB26" i="10"/>
  <c r="AB95" i="10"/>
  <c r="AB63" i="10"/>
  <c r="AB29" i="10"/>
  <c r="AB83" i="10"/>
  <c r="AB94" i="10"/>
  <c r="AB75" i="10"/>
  <c r="AB70" i="10"/>
  <c r="AB61" i="10"/>
  <c r="AB39" i="10"/>
  <c r="AC47" i="10"/>
  <c r="AC46" i="10"/>
  <c r="AC62" i="10"/>
  <c r="AC57" i="10"/>
  <c r="AC86" i="10"/>
  <c r="AC22" i="10"/>
  <c r="AC18" i="10"/>
  <c r="AC32" i="10"/>
  <c r="AC59" i="10"/>
  <c r="AC44" i="10"/>
  <c r="AC12" i="10"/>
  <c r="AC17" i="10"/>
  <c r="Z43" i="10"/>
  <c r="AA95" i="10"/>
  <c r="AA94" i="10"/>
  <c r="AC65" i="10"/>
  <c r="AA88" i="10"/>
  <c r="AA68" i="10"/>
  <c r="AA80" i="10"/>
  <c r="AA6" i="10"/>
  <c r="AB30" i="10"/>
  <c r="AC55" i="10"/>
  <c r="AC2" i="10"/>
  <c r="Z63" i="10"/>
  <c r="Z78" i="10"/>
  <c r="AA53" i="10"/>
  <c r="AA20" i="10"/>
  <c r="AA34" i="10"/>
  <c r="AA30" i="10"/>
  <c r="AA42" i="10"/>
  <c r="AA31" i="10"/>
  <c r="AA19" i="10"/>
  <c r="AA71" i="10"/>
  <c r="AA28" i="10"/>
  <c r="AA82" i="10"/>
  <c r="AA40" i="10"/>
  <c r="AB42" i="10"/>
  <c r="AC76" i="10"/>
  <c r="AC8" i="10"/>
  <c r="AC94" i="10"/>
  <c r="AC75" i="10"/>
  <c r="AC70" i="10"/>
  <c r="AC61" i="10"/>
  <c r="AC39" i="10"/>
  <c r="Z69" i="10"/>
  <c r="AA81" i="10"/>
  <c r="AA52" i="10"/>
  <c r="AA37" i="10"/>
  <c r="AA64" i="10"/>
  <c r="AA45" i="10"/>
  <c r="AA73" i="10"/>
  <c r="AA11" i="10"/>
  <c r="AA87" i="10"/>
  <c r="AA16" i="10"/>
  <c r="AA27" i="10"/>
  <c r="AA72" i="10"/>
  <c r="AA3" i="10"/>
  <c r="AB31" i="10"/>
  <c r="AC24" i="10"/>
  <c r="AC90" i="10"/>
  <c r="Z29" i="10"/>
  <c r="AA9" i="10"/>
  <c r="AA51" i="10"/>
  <c r="AA43" i="10"/>
  <c r="AA25" i="10"/>
  <c r="AA69" i="10"/>
  <c r="AA41" i="10"/>
  <c r="AA56" i="10"/>
  <c r="AA79" i="10"/>
  <c r="AA96" i="10"/>
  <c r="AA7" i="10"/>
  <c r="AA78" i="10"/>
  <c r="AA21" i="10"/>
  <c r="AB19" i="10"/>
  <c r="AC4" i="10"/>
  <c r="Z18" i="10"/>
  <c r="AA47" i="10"/>
  <c r="AA46" i="10"/>
  <c r="AA62" i="10"/>
  <c r="AA57" i="10"/>
  <c r="AA86" i="10"/>
  <c r="AA22" i="10"/>
  <c r="AA18" i="10"/>
  <c r="AA32" i="10"/>
  <c r="AA59" i="10"/>
  <c r="AA44" i="10"/>
  <c r="AA12" i="10"/>
  <c r="AA17" i="10"/>
  <c r="AB71" i="10"/>
  <c r="AC38" i="10"/>
  <c r="AA49" i="10"/>
  <c r="AA35" i="10"/>
  <c r="AA97" i="10"/>
  <c r="AA77" i="10"/>
  <c r="AA89" i="10"/>
  <c r="AA60" i="10"/>
  <c r="AA74" i="10"/>
  <c r="AA67" i="10"/>
  <c r="AA5" i="10"/>
  <c r="AA98" i="10"/>
  <c r="AA84" i="10"/>
  <c r="AB53" i="10"/>
  <c r="AB28" i="10"/>
  <c r="AC58" i="10"/>
  <c r="AC96" i="10"/>
  <c r="AC7" i="10"/>
  <c r="AC78" i="10"/>
  <c r="AC21" i="10"/>
  <c r="Z46" i="10"/>
  <c r="Z32" i="10"/>
  <c r="AA55" i="10"/>
  <c r="AA76" i="10"/>
  <c r="AA24" i="10"/>
  <c r="AA4" i="10"/>
  <c r="AA38" i="10"/>
  <c r="AA58" i="10"/>
  <c r="AA91" i="10"/>
  <c r="AA65" i="10"/>
  <c r="AA2" i="10"/>
  <c r="AA8" i="10"/>
  <c r="AA90" i="10"/>
  <c r="AB20" i="10"/>
  <c r="AB82" i="10"/>
  <c r="AC91" i="10"/>
  <c r="Z14" i="10"/>
  <c r="Z86" i="10"/>
  <c r="Z79" i="10"/>
  <c r="Z61" i="10"/>
  <c r="Z47" i="10"/>
  <c r="Z12" i="10"/>
  <c r="Z54" i="10"/>
  <c r="Z95" i="10"/>
  <c r="Z22" i="10"/>
  <c r="Z96" i="10"/>
  <c r="Z39" i="10"/>
  <c r="Z62" i="10"/>
  <c r="Z75" i="10"/>
  <c r="Z50" i="10"/>
  <c r="Z25" i="10"/>
  <c r="Z83" i="10"/>
  <c r="Z59" i="10"/>
  <c r="Z21" i="10"/>
  <c r="Z41" i="10"/>
  <c r="Z51" i="10"/>
  <c r="Z57" i="10"/>
  <c r="Z56" i="10"/>
  <c r="Z70" i="10"/>
  <c r="Z17" i="10"/>
  <c r="Z49" i="10"/>
  <c r="Z35" i="10"/>
  <c r="Z97" i="10"/>
  <c r="Z77" i="10"/>
  <c r="Z89" i="10"/>
  <c r="Z60" i="10"/>
  <c r="Z74" i="10"/>
  <c r="Z67" i="10"/>
  <c r="Z5" i="10"/>
  <c r="Z98" i="10"/>
  <c r="Z84" i="10"/>
  <c r="Z55" i="10"/>
  <c r="Z76" i="10"/>
  <c r="Z24" i="10"/>
  <c r="Z4" i="10"/>
  <c r="Z38" i="10"/>
  <c r="Z58" i="10"/>
  <c r="Z91" i="10"/>
  <c r="Z65" i="10"/>
  <c r="Z2" i="10"/>
  <c r="Z8" i="10"/>
  <c r="Z90" i="10"/>
  <c r="Z85" i="10"/>
  <c r="Z92" i="10"/>
  <c r="Z66" i="10"/>
  <c r="Z33" i="10"/>
  <c r="Z36" i="10"/>
  <c r="Z88" i="10"/>
  <c r="Z68" i="10"/>
  <c r="Z80" i="10"/>
  <c r="Z6" i="10"/>
  <c r="Z53" i="10"/>
  <c r="Z34" i="10"/>
  <c r="Z42" i="10"/>
  <c r="Z31" i="10"/>
  <c r="Z19" i="10"/>
  <c r="Z71" i="10"/>
  <c r="Z28" i="10"/>
  <c r="Z40" i="10"/>
  <c r="Z20" i="10"/>
  <c r="Z30" i="10"/>
  <c r="Z82" i="10"/>
  <c r="Z81" i="10"/>
  <c r="Z52" i="10"/>
  <c r="Z37" i="10"/>
  <c r="Z64" i="10"/>
  <c r="Z45" i="10"/>
  <c r="Z73" i="10"/>
  <c r="Z11" i="10"/>
  <c r="Z87" i="10"/>
  <c r="Z16" i="10"/>
  <c r="Z27" i="10"/>
  <c r="Z72" i="10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Y84" i="11"/>
  <c r="Y85" i="11"/>
  <c r="Y86" i="11"/>
  <c r="Y87" i="11"/>
  <c r="Y8" i="11"/>
  <c r="U9" i="11"/>
  <c r="X9" i="11" s="1"/>
  <c r="U10" i="11"/>
  <c r="X10" i="11" s="1"/>
  <c r="U11" i="11"/>
  <c r="X11" i="11" s="1"/>
  <c r="U12" i="11"/>
  <c r="X12" i="11" s="1"/>
  <c r="U13" i="11"/>
  <c r="X13" i="11" s="1"/>
  <c r="U14" i="11"/>
  <c r="X14" i="11" s="1"/>
  <c r="U15" i="11"/>
  <c r="X15" i="11" s="1"/>
  <c r="U16" i="11"/>
  <c r="X16" i="11" s="1"/>
  <c r="U17" i="11"/>
  <c r="X17" i="11" s="1"/>
  <c r="U18" i="11"/>
  <c r="X18" i="11" s="1"/>
  <c r="U19" i="11"/>
  <c r="X19" i="11" s="1"/>
  <c r="U20" i="11"/>
  <c r="X20" i="11" s="1"/>
  <c r="U21" i="11"/>
  <c r="X21" i="11" s="1"/>
  <c r="U22" i="11"/>
  <c r="X22" i="11" s="1"/>
  <c r="U23" i="11"/>
  <c r="X23" i="11" s="1"/>
  <c r="U24" i="11"/>
  <c r="X24" i="11" s="1"/>
  <c r="U25" i="11"/>
  <c r="X25" i="11" s="1"/>
  <c r="U26" i="11"/>
  <c r="X26" i="11" s="1"/>
  <c r="U27" i="11"/>
  <c r="X27" i="11" s="1"/>
  <c r="U28" i="11"/>
  <c r="X28" i="11" s="1"/>
  <c r="U29" i="11"/>
  <c r="X29" i="11" s="1"/>
  <c r="U30" i="11"/>
  <c r="X30" i="11" s="1"/>
  <c r="U31" i="11"/>
  <c r="X31" i="11" s="1"/>
  <c r="U32" i="11"/>
  <c r="X32" i="11" s="1"/>
  <c r="U33" i="11"/>
  <c r="X33" i="11" s="1"/>
  <c r="U34" i="11"/>
  <c r="X34" i="11" s="1"/>
  <c r="U35" i="11"/>
  <c r="X35" i="11" s="1"/>
  <c r="U36" i="11"/>
  <c r="X36" i="11" s="1"/>
  <c r="U37" i="11"/>
  <c r="X37" i="11" s="1"/>
  <c r="U38" i="11"/>
  <c r="X38" i="11" s="1"/>
  <c r="U39" i="11"/>
  <c r="X39" i="11" s="1"/>
  <c r="U40" i="11"/>
  <c r="X40" i="11" s="1"/>
  <c r="U41" i="11"/>
  <c r="X41" i="11" s="1"/>
  <c r="U42" i="11"/>
  <c r="X42" i="11" s="1"/>
  <c r="U43" i="11"/>
  <c r="X43" i="11" s="1"/>
  <c r="U44" i="11"/>
  <c r="X44" i="11" s="1"/>
  <c r="U45" i="11"/>
  <c r="X45" i="11" s="1"/>
  <c r="U46" i="11"/>
  <c r="X46" i="11" s="1"/>
  <c r="U47" i="11"/>
  <c r="X47" i="11" s="1"/>
  <c r="U48" i="11"/>
  <c r="X48" i="11" s="1"/>
  <c r="U49" i="11"/>
  <c r="X49" i="11" s="1"/>
  <c r="U50" i="11"/>
  <c r="X50" i="11" s="1"/>
  <c r="U51" i="11"/>
  <c r="X51" i="11" s="1"/>
  <c r="U52" i="11"/>
  <c r="X52" i="11" s="1"/>
  <c r="U53" i="11"/>
  <c r="X53" i="11" s="1"/>
  <c r="U54" i="11"/>
  <c r="X54" i="11" s="1"/>
  <c r="U55" i="11"/>
  <c r="X55" i="11" s="1"/>
  <c r="U56" i="11"/>
  <c r="X56" i="11" s="1"/>
  <c r="U57" i="11"/>
  <c r="X57" i="11" s="1"/>
  <c r="U58" i="11"/>
  <c r="X58" i="11" s="1"/>
  <c r="U59" i="11"/>
  <c r="X59" i="11" s="1"/>
  <c r="U60" i="11"/>
  <c r="X60" i="11" s="1"/>
  <c r="U61" i="11"/>
  <c r="X61" i="11" s="1"/>
  <c r="U62" i="11"/>
  <c r="X62" i="11" s="1"/>
  <c r="U63" i="11"/>
  <c r="X63" i="11" s="1"/>
  <c r="U64" i="11"/>
  <c r="X64" i="11" s="1"/>
  <c r="U65" i="11"/>
  <c r="X65" i="11" s="1"/>
  <c r="U66" i="11"/>
  <c r="X66" i="11" s="1"/>
  <c r="U67" i="11"/>
  <c r="X67" i="11" s="1"/>
  <c r="U68" i="11"/>
  <c r="X68" i="11" s="1"/>
  <c r="U69" i="11"/>
  <c r="X69" i="11" s="1"/>
  <c r="U70" i="11"/>
  <c r="X70" i="11" s="1"/>
  <c r="U71" i="11"/>
  <c r="X71" i="11" s="1"/>
  <c r="U72" i="11"/>
  <c r="X72" i="11" s="1"/>
  <c r="U73" i="11"/>
  <c r="X73" i="11" s="1"/>
  <c r="U74" i="11"/>
  <c r="X74" i="11" s="1"/>
  <c r="U75" i="11"/>
  <c r="X75" i="11" s="1"/>
  <c r="U76" i="11"/>
  <c r="X76" i="11" s="1"/>
  <c r="U77" i="11"/>
  <c r="X77" i="11" s="1"/>
  <c r="U78" i="11"/>
  <c r="X78" i="11" s="1"/>
  <c r="U79" i="11"/>
  <c r="X79" i="11" s="1"/>
  <c r="U80" i="11"/>
  <c r="X80" i="11" s="1"/>
  <c r="U81" i="11"/>
  <c r="X81" i="11" s="1"/>
  <c r="U82" i="11"/>
  <c r="X82" i="11" s="1"/>
  <c r="U83" i="11"/>
  <c r="X83" i="11" s="1"/>
  <c r="U84" i="11"/>
  <c r="X84" i="11" s="1"/>
  <c r="U85" i="11"/>
  <c r="X85" i="11" s="1"/>
  <c r="U86" i="11"/>
  <c r="X86" i="11" s="1"/>
  <c r="U87" i="11"/>
  <c r="X87" i="11" s="1"/>
  <c r="U8" i="11"/>
  <c r="X8" i="11" s="1"/>
  <c r="Q4" i="25"/>
  <c r="AC4" i="23" l="1"/>
  <c r="AD4" i="23"/>
  <c r="AA4" i="23"/>
  <c r="AB4" i="23"/>
  <c r="AA11" i="11"/>
  <c r="AA85" i="11"/>
  <c r="AA77" i="11"/>
  <c r="AA69" i="11"/>
  <c r="AA62" i="11"/>
  <c r="AA54" i="11"/>
  <c r="AA46" i="11"/>
  <c r="AA39" i="11"/>
  <c r="AA31" i="11"/>
  <c r="AA24" i="11"/>
  <c r="AA16" i="11"/>
  <c r="AA9" i="11"/>
  <c r="AA84" i="11"/>
  <c r="AA76" i="11"/>
  <c r="AA68" i="11"/>
  <c r="AA61" i="11"/>
  <c r="AA53" i="11"/>
  <c r="AA45" i="11"/>
  <c r="AA38" i="11"/>
  <c r="AA30" i="11"/>
  <c r="AA23" i="11"/>
  <c r="AA83" i="11"/>
  <c r="AA75" i="11"/>
  <c r="AA67" i="11"/>
  <c r="AA60" i="11"/>
  <c r="AA52" i="11"/>
  <c r="AA44" i="11"/>
  <c r="AA37" i="11"/>
  <c r="AA29" i="11"/>
  <c r="AA22" i="11"/>
  <c r="AA15" i="11"/>
  <c r="AA86" i="11"/>
  <c r="AA78" i="11"/>
  <c r="AA70" i="11"/>
  <c r="AA63" i="11"/>
  <c r="AA55" i="11"/>
  <c r="AA47" i="11"/>
  <c r="AA40" i="11"/>
  <c r="AA32" i="11"/>
  <c r="AA25" i="11"/>
  <c r="AA17" i="11"/>
  <c r="AA10" i="11"/>
  <c r="AA82" i="11"/>
  <c r="AA74" i="11"/>
  <c r="AA66" i="11"/>
  <c r="AA59" i="11"/>
  <c r="AA51" i="11"/>
  <c r="AA43" i="11"/>
  <c r="AA36" i="11"/>
  <c r="AA28" i="11"/>
  <c r="AA21" i="11"/>
  <c r="AA14" i="11"/>
  <c r="AA81" i="11"/>
  <c r="AA73" i="11"/>
  <c r="AA65" i="11"/>
  <c r="AA58" i="11"/>
  <c r="AA50" i="11"/>
  <c r="AA35" i="11"/>
  <c r="AA27" i="11"/>
  <c r="AA20" i="11"/>
  <c r="AA13" i="11"/>
  <c r="AA8" i="11"/>
  <c r="AA80" i="11"/>
  <c r="AA72" i="11"/>
  <c r="AA64" i="11"/>
  <c r="AA57" i="11"/>
  <c r="AA49" i="11"/>
  <c r="AA42" i="11"/>
  <c r="AA34" i="11"/>
  <c r="AA26" i="11"/>
  <c r="AA19" i="11"/>
  <c r="AA12" i="11"/>
  <c r="AA87" i="11"/>
  <c r="AA79" i="11"/>
  <c r="AA71" i="11"/>
  <c r="AA56" i="11"/>
  <c r="AA48" i="11"/>
  <c r="AA41" i="11"/>
  <c r="AA33" i="11"/>
  <c r="AA18" i="11"/>
  <c r="AC17" i="11"/>
  <c r="Z65" i="11"/>
  <c r="Z35" i="11"/>
  <c r="AB58" i="11"/>
  <c r="AB27" i="11"/>
  <c r="AB13" i="11"/>
  <c r="AC54" i="11"/>
  <c r="AC32" i="11"/>
  <c r="Z78" i="11"/>
  <c r="Z63" i="11"/>
  <c r="Z32" i="11"/>
  <c r="AB86" i="11"/>
  <c r="AB70" i="11"/>
  <c r="AB55" i="11"/>
  <c r="AB25" i="11"/>
  <c r="AB10" i="11"/>
  <c r="AC70" i="11"/>
  <c r="AC51" i="11"/>
  <c r="AC31" i="11"/>
  <c r="AC10" i="11"/>
  <c r="Z77" i="11"/>
  <c r="Z62" i="11"/>
  <c r="Z46" i="11"/>
  <c r="Z31" i="11"/>
  <c r="Z16" i="11"/>
  <c r="AB85" i="11"/>
  <c r="AB69" i="11"/>
  <c r="AB54" i="11"/>
  <c r="AB39" i="11"/>
  <c r="AB24" i="11"/>
  <c r="AB9" i="11"/>
  <c r="AC69" i="11"/>
  <c r="AC47" i="11"/>
  <c r="AC28" i="11"/>
  <c r="Z74" i="11"/>
  <c r="Z59" i="11"/>
  <c r="Z43" i="11"/>
  <c r="Z28" i="11"/>
  <c r="Z14" i="11"/>
  <c r="AB82" i="11"/>
  <c r="AB66" i="11"/>
  <c r="AB51" i="11"/>
  <c r="AB36" i="11"/>
  <c r="AB21" i="11"/>
  <c r="AC86" i="11"/>
  <c r="AC66" i="11"/>
  <c r="AC46" i="11"/>
  <c r="AC25" i="11"/>
  <c r="Z81" i="11"/>
  <c r="Z50" i="11"/>
  <c r="Z20" i="11"/>
  <c r="AB73" i="11"/>
  <c r="AC74" i="11"/>
  <c r="AC14" i="11"/>
  <c r="Z47" i="11"/>
  <c r="Z17" i="11"/>
  <c r="AB40" i="11"/>
  <c r="Z73" i="11"/>
  <c r="Z13" i="11"/>
  <c r="AB81" i="11"/>
  <c r="AB50" i="11"/>
  <c r="AB35" i="11"/>
  <c r="AC85" i="11"/>
  <c r="AC43" i="11"/>
  <c r="Z86" i="11"/>
  <c r="Z55" i="11"/>
  <c r="Z25" i="11"/>
  <c r="Z10" i="11"/>
  <c r="AB78" i="11"/>
  <c r="AB47" i="11"/>
  <c r="AB32" i="11"/>
  <c r="AC40" i="11"/>
  <c r="Z85" i="11"/>
  <c r="Z69" i="11"/>
  <c r="Z54" i="11"/>
  <c r="Z39" i="11"/>
  <c r="Z24" i="11"/>
  <c r="Z9" i="11"/>
  <c r="AB77" i="11"/>
  <c r="AB62" i="11"/>
  <c r="AB46" i="11"/>
  <c r="AB31" i="11"/>
  <c r="AB16" i="11"/>
  <c r="AC78" i="11"/>
  <c r="AC59" i="11"/>
  <c r="AC39" i="11"/>
  <c r="AC11" i="11"/>
  <c r="AC18" i="11"/>
  <c r="AC33" i="11"/>
  <c r="AC41" i="11"/>
  <c r="AC48" i="11"/>
  <c r="AC56" i="11"/>
  <c r="AC71" i="11"/>
  <c r="AC79" i="11"/>
  <c r="AC87" i="11"/>
  <c r="AB15" i="11"/>
  <c r="AB22" i="11"/>
  <c r="AB29" i="11"/>
  <c r="AB37" i="11"/>
  <c r="AB44" i="11"/>
  <c r="AB52" i="11"/>
  <c r="AB60" i="11"/>
  <c r="AB67" i="11"/>
  <c r="AB75" i="11"/>
  <c r="AB83" i="11"/>
  <c r="Z15" i="11"/>
  <c r="Z22" i="11"/>
  <c r="Z29" i="11"/>
  <c r="Z37" i="11"/>
  <c r="Z44" i="11"/>
  <c r="Z52" i="11"/>
  <c r="Z60" i="11"/>
  <c r="Z67" i="11"/>
  <c r="Z75" i="11"/>
  <c r="Z83" i="11"/>
  <c r="AC12" i="11"/>
  <c r="AC26" i="11"/>
  <c r="AC34" i="11"/>
  <c r="AC49" i="11"/>
  <c r="AC57" i="11"/>
  <c r="AC72" i="11"/>
  <c r="AC8" i="11"/>
  <c r="AB30" i="11"/>
  <c r="AB38" i="11"/>
  <c r="AB53" i="11"/>
  <c r="AB68" i="11"/>
  <c r="AB84" i="11"/>
  <c r="Z30" i="11"/>
  <c r="Z38" i="11"/>
  <c r="Z53" i="11"/>
  <c r="Z76" i="11"/>
  <c r="Z84" i="11"/>
  <c r="AC13" i="11"/>
  <c r="AC27" i="11"/>
  <c r="AC35" i="11"/>
  <c r="AC50" i="11"/>
  <c r="AC58" i="11"/>
  <c r="AC65" i="11"/>
  <c r="AC81" i="11"/>
  <c r="AC19" i="11"/>
  <c r="AC42" i="11"/>
  <c r="AC64" i="11"/>
  <c r="AC80" i="11"/>
  <c r="AB23" i="11"/>
  <c r="AB45" i="11"/>
  <c r="AB61" i="11"/>
  <c r="AB76" i="11"/>
  <c r="Z23" i="11"/>
  <c r="Z45" i="11"/>
  <c r="Z61" i="11"/>
  <c r="Z68" i="11"/>
  <c r="AC20" i="11"/>
  <c r="AC73" i="11"/>
  <c r="AC15" i="11"/>
  <c r="AC22" i="11"/>
  <c r="AC29" i="11"/>
  <c r="AC37" i="11"/>
  <c r="AC44" i="11"/>
  <c r="AC52" i="11"/>
  <c r="AC60" i="11"/>
  <c r="AC67" i="11"/>
  <c r="AC75" i="11"/>
  <c r="AC83" i="11"/>
  <c r="AB11" i="11"/>
  <c r="AB18" i="11"/>
  <c r="AB33" i="11"/>
  <c r="AB41" i="11"/>
  <c r="AB48" i="11"/>
  <c r="AB56" i="11"/>
  <c r="AB71" i="11"/>
  <c r="AB79" i="11"/>
  <c r="AB87" i="11"/>
  <c r="Z11" i="11"/>
  <c r="Z18" i="11"/>
  <c r="Z33" i="11"/>
  <c r="Z41" i="11"/>
  <c r="Z48" i="11"/>
  <c r="Z56" i="11"/>
  <c r="Z71" i="11"/>
  <c r="Z79" i="11"/>
  <c r="Z87" i="11"/>
  <c r="AC23" i="11"/>
  <c r="AC30" i="11"/>
  <c r="AC38" i="11"/>
  <c r="AC45" i="11"/>
  <c r="AC53" i="11"/>
  <c r="AC61" i="11"/>
  <c r="AC68" i="11"/>
  <c r="AC76" i="11"/>
  <c r="AC84" i="11"/>
  <c r="AB12" i="11"/>
  <c r="AB19" i="11"/>
  <c r="AB26" i="11"/>
  <c r="AB34" i="11"/>
  <c r="AB42" i="11"/>
  <c r="AB49" i="11"/>
  <c r="AB57" i="11"/>
  <c r="AB64" i="11"/>
  <c r="AB72" i="11"/>
  <c r="AB80" i="11"/>
  <c r="AB8" i="11"/>
  <c r="Z12" i="11"/>
  <c r="Z19" i="11"/>
  <c r="Z26" i="11"/>
  <c r="Z34" i="11"/>
  <c r="Z42" i="11"/>
  <c r="Z49" i="11"/>
  <c r="Z57" i="11"/>
  <c r="Z64" i="11"/>
  <c r="Z72" i="11"/>
  <c r="Z80" i="11"/>
  <c r="Z8" i="11"/>
  <c r="AC9" i="11"/>
  <c r="Z58" i="11"/>
  <c r="Z27" i="11"/>
  <c r="AB65" i="11"/>
  <c r="AB20" i="11"/>
  <c r="AC63" i="11"/>
  <c r="AC24" i="11"/>
  <c r="Z70" i="11"/>
  <c r="Z40" i="11"/>
  <c r="AB63" i="11"/>
  <c r="AB17" i="11"/>
  <c r="AC82" i="11"/>
  <c r="AC62" i="11"/>
  <c r="AC21" i="11"/>
  <c r="Z82" i="11"/>
  <c r="Z66" i="11"/>
  <c r="Z51" i="11"/>
  <c r="Z36" i="11"/>
  <c r="Z21" i="11"/>
  <c r="AB74" i="11"/>
  <c r="AB59" i="11"/>
  <c r="AB43" i="11"/>
  <c r="AB28" i="11"/>
  <c r="AB14" i="11"/>
  <c r="AC77" i="11"/>
  <c r="AC55" i="11"/>
  <c r="AC36" i="11"/>
  <c r="AC16" i="11"/>
  <c r="Q33" i="25"/>
  <c r="M24" i="11" s="1"/>
  <c r="H5" i="11"/>
  <c r="H4" i="11"/>
  <c r="H3" i="11"/>
  <c r="H2" i="11"/>
  <c r="L73" i="11" s="1"/>
  <c r="H1" i="11"/>
  <c r="G5" i="11"/>
  <c r="G4" i="11"/>
  <c r="G3" i="11"/>
  <c r="G2" i="11"/>
  <c r="K40" i="11" s="1"/>
  <c r="G1" i="11"/>
  <c r="AA2" i="25" l="1"/>
  <c r="AC2" i="25"/>
  <c r="AD2" i="25"/>
  <c r="AB2" i="25"/>
  <c r="K14" i="11"/>
  <c r="K49" i="11"/>
  <c r="K17" i="11"/>
  <c r="K34" i="11"/>
  <c r="K32" i="11"/>
  <c r="K67" i="11"/>
  <c r="K21" i="11"/>
  <c r="K68" i="11"/>
  <c r="K29" i="11"/>
  <c r="K66" i="11"/>
  <c r="K24" i="11"/>
  <c r="L52" i="11"/>
  <c r="L69" i="11"/>
  <c r="L26" i="11"/>
  <c r="L70" i="11"/>
  <c r="L38" i="11"/>
  <c r="L56" i="11"/>
  <c r="L22" i="11"/>
  <c r="L10" i="11"/>
  <c r="L13" i="11"/>
  <c r="L39" i="11"/>
  <c r="K15" i="11"/>
  <c r="K50" i="11"/>
  <c r="K37" i="11"/>
  <c r="K77" i="11"/>
  <c r="K82" i="11"/>
  <c r="K42" i="11"/>
  <c r="K54" i="11"/>
  <c r="K33" i="11"/>
  <c r="K30" i="11"/>
  <c r="K74" i="11"/>
  <c r="K8" i="11"/>
  <c r="L53" i="11"/>
  <c r="L35" i="11"/>
  <c r="L86" i="11"/>
  <c r="L55" i="11"/>
  <c r="L80" i="11"/>
  <c r="L57" i="11"/>
  <c r="L36" i="11"/>
  <c r="L19" i="11"/>
  <c r="L87" i="11"/>
  <c r="L76" i="11"/>
  <c r="K45" i="11"/>
  <c r="K46" i="11"/>
  <c r="K59" i="11"/>
  <c r="K61" i="11"/>
  <c r="K43" i="11"/>
  <c r="K41" i="11"/>
  <c r="K81" i="11"/>
  <c r="K79" i="11"/>
  <c r="K12" i="11"/>
  <c r="K71" i="11"/>
  <c r="K20" i="11"/>
  <c r="L48" i="11"/>
  <c r="L28" i="11"/>
  <c r="L85" i="11"/>
  <c r="L9" i="11"/>
  <c r="L31" i="11"/>
  <c r="L75" i="11"/>
  <c r="L78" i="11"/>
  <c r="L64" i="11"/>
  <c r="L58" i="11"/>
  <c r="L11" i="11"/>
  <c r="K47" i="11"/>
  <c r="K44" i="11"/>
  <c r="K18" i="11"/>
  <c r="K27" i="11"/>
  <c r="K25" i="11"/>
  <c r="K84" i="11"/>
  <c r="K65" i="11"/>
  <c r="K16" i="11"/>
  <c r="K73" i="11"/>
  <c r="L51" i="11"/>
  <c r="L23" i="11"/>
  <c r="L83" i="11"/>
  <c r="L60" i="11"/>
  <c r="L62" i="11"/>
  <c r="L72" i="11"/>
  <c r="L63" i="11"/>
  <c r="L40" i="11"/>
  <c r="K53" i="11"/>
  <c r="K35" i="11"/>
  <c r="K86" i="11"/>
  <c r="K55" i="11"/>
  <c r="K80" i="11"/>
  <c r="K57" i="11"/>
  <c r="K36" i="11"/>
  <c r="K19" i="11"/>
  <c r="K87" i="11"/>
  <c r="K76" i="11"/>
  <c r="L15" i="11"/>
  <c r="L50" i="11"/>
  <c r="L37" i="11"/>
  <c r="L77" i="11"/>
  <c r="L82" i="11"/>
  <c r="L42" i="11"/>
  <c r="L54" i="11"/>
  <c r="L33" i="11"/>
  <c r="L30" i="11"/>
  <c r="L74" i="11"/>
  <c r="L8" i="11"/>
  <c r="K52" i="11"/>
  <c r="K69" i="11"/>
  <c r="K26" i="11"/>
  <c r="K70" i="11"/>
  <c r="K38" i="11"/>
  <c r="K56" i="11"/>
  <c r="K22" i="11"/>
  <c r="K10" i="11"/>
  <c r="K13" i="11"/>
  <c r="K39" i="11"/>
  <c r="L14" i="11"/>
  <c r="L49" i="11"/>
  <c r="L17" i="11"/>
  <c r="L34" i="11"/>
  <c r="L32" i="11"/>
  <c r="L67" i="11"/>
  <c r="L21" i="11"/>
  <c r="L68" i="11"/>
  <c r="L29" i="11"/>
  <c r="L66" i="11"/>
  <c r="L24" i="11"/>
  <c r="K48" i="11"/>
  <c r="K28" i="11"/>
  <c r="K85" i="11"/>
  <c r="K9" i="11"/>
  <c r="K31" i="11"/>
  <c r="K75" i="11"/>
  <c r="K78" i="11"/>
  <c r="K64" i="11"/>
  <c r="K58" i="11"/>
  <c r="K11" i="11"/>
  <c r="L45" i="11"/>
  <c r="L46" i="11"/>
  <c r="L59" i="11"/>
  <c r="L61" i="11"/>
  <c r="L43" i="11"/>
  <c r="L41" i="11"/>
  <c r="L81" i="11"/>
  <c r="L79" i="11"/>
  <c r="L12" i="11"/>
  <c r="L71" i="11"/>
  <c r="L20" i="11"/>
  <c r="K51" i="11"/>
  <c r="K23" i="11"/>
  <c r="K83" i="11"/>
  <c r="K60" i="11"/>
  <c r="K62" i="11"/>
  <c r="K72" i="11"/>
  <c r="K63" i="11"/>
  <c r="L47" i="11"/>
  <c r="L44" i="11"/>
  <c r="L18" i="11"/>
  <c r="L27" i="11"/>
  <c r="L25" i="11"/>
  <c r="L84" i="11"/>
  <c r="L65" i="11"/>
  <c r="L16" i="11"/>
  <c r="M61" i="11"/>
  <c r="M43" i="11"/>
  <c r="M41" i="11"/>
  <c r="M81" i="11"/>
  <c r="M79" i="11"/>
  <c r="M45" i="11"/>
  <c r="M12" i="11"/>
  <c r="M46" i="11"/>
  <c r="M71" i="11"/>
  <c r="M59" i="11"/>
  <c r="M20" i="11"/>
  <c r="M47" i="11"/>
  <c r="M18" i="11"/>
  <c r="M27" i="11"/>
  <c r="M25" i="11"/>
  <c r="M84" i="11"/>
  <c r="M65" i="11"/>
  <c r="M16" i="11"/>
  <c r="M73" i="11"/>
  <c r="M53" i="11"/>
  <c r="M35" i="11"/>
  <c r="M86" i="11"/>
  <c r="M55" i="11"/>
  <c r="M80" i="11"/>
  <c r="M57" i="11"/>
  <c r="M36" i="11"/>
  <c r="M19" i="11"/>
  <c r="M87" i="11"/>
  <c r="M76" i="11"/>
  <c r="M52" i="11"/>
  <c r="M69" i="11"/>
  <c r="M26" i="11"/>
  <c r="M70" i="11"/>
  <c r="M38" i="11"/>
  <c r="M56" i="11"/>
  <c r="M22" i="11"/>
  <c r="M10" i="11"/>
  <c r="M13" i="11"/>
  <c r="M39" i="11"/>
  <c r="M44" i="11"/>
  <c r="M48" i="11"/>
  <c r="M28" i="11"/>
  <c r="M85" i="11"/>
  <c r="M9" i="11"/>
  <c r="M31" i="11"/>
  <c r="M75" i="11"/>
  <c r="M78" i="11"/>
  <c r="M64" i="11"/>
  <c r="M58" i="11"/>
  <c r="M11" i="11"/>
  <c r="M51" i="11"/>
  <c r="M83" i="11"/>
  <c r="M62" i="11"/>
  <c r="M72" i="11"/>
  <c r="M15" i="11"/>
  <c r="M50" i="11"/>
  <c r="M37" i="11"/>
  <c r="M77" i="11"/>
  <c r="M82" i="11"/>
  <c r="M42" i="11"/>
  <c r="M54" i="11"/>
  <c r="M33" i="11"/>
  <c r="M30" i="11"/>
  <c r="M74" i="11"/>
  <c r="M8" i="11"/>
  <c r="M23" i="11"/>
  <c r="M60" i="11"/>
  <c r="M63" i="11"/>
  <c r="M40" i="11"/>
  <c r="M14" i="11"/>
  <c r="M49" i="11"/>
  <c r="M17" i="11"/>
  <c r="M34" i="11"/>
  <c r="M32" i="11"/>
  <c r="M67" i="11"/>
  <c r="M21" i="11"/>
  <c r="M68" i="11"/>
  <c r="M29" i="11"/>
  <c r="M66" i="11"/>
  <c r="N86" i="11"/>
  <c r="N55" i="11"/>
  <c r="N80" i="11"/>
  <c r="N57" i="11"/>
  <c r="N36" i="11"/>
  <c r="N19" i="11"/>
  <c r="N87" i="11"/>
  <c r="N76" i="11"/>
  <c r="N52" i="11"/>
  <c r="N69" i="11"/>
  <c r="N26" i="11"/>
  <c r="N70" i="11"/>
  <c r="N38" i="11"/>
  <c r="N56" i="11"/>
  <c r="N22" i="11"/>
  <c r="N10" i="11"/>
  <c r="N13" i="11"/>
  <c r="N39" i="11"/>
  <c r="N51" i="11"/>
  <c r="N23" i="11"/>
  <c r="N83" i="11"/>
  <c r="N60" i="11"/>
  <c r="N62" i="11"/>
  <c r="N72" i="11"/>
  <c r="N63" i="11"/>
  <c r="N40" i="11"/>
  <c r="N53" i="11"/>
  <c r="N9" i="11"/>
  <c r="N64" i="11"/>
  <c r="N50" i="11"/>
  <c r="N77" i="11"/>
  <c r="N82" i="11"/>
  <c r="N42" i="11"/>
  <c r="N33" i="11"/>
  <c r="N30" i="11"/>
  <c r="N74" i="11"/>
  <c r="N8" i="11"/>
  <c r="AB4" i="25" s="1"/>
  <c r="N35" i="11"/>
  <c r="N28" i="11"/>
  <c r="N75" i="11"/>
  <c r="N58" i="11"/>
  <c r="N15" i="11"/>
  <c r="N37" i="11"/>
  <c r="N54" i="11"/>
  <c r="N14" i="11"/>
  <c r="N49" i="11"/>
  <c r="N17" i="11"/>
  <c r="N34" i="11"/>
  <c r="N32" i="11"/>
  <c r="N67" i="11"/>
  <c r="N21" i="11"/>
  <c r="N68" i="11"/>
  <c r="N29" i="11"/>
  <c r="N66" i="11"/>
  <c r="N24" i="11"/>
  <c r="N48" i="11"/>
  <c r="N85" i="11"/>
  <c r="N31" i="11"/>
  <c r="N78" i="11"/>
  <c r="N11" i="11"/>
  <c r="N45" i="11"/>
  <c r="N46" i="11"/>
  <c r="N59" i="11"/>
  <c r="N61" i="11"/>
  <c r="N43" i="11"/>
  <c r="N41" i="11"/>
  <c r="N81" i="11"/>
  <c r="N79" i="11"/>
  <c r="N12" i="11"/>
  <c r="N71" i="11"/>
  <c r="N20" i="11"/>
  <c r="N47" i="11"/>
  <c r="N44" i="11"/>
  <c r="N18" i="11"/>
  <c r="N27" i="11"/>
  <c r="N25" i="11"/>
  <c r="N84" i="11"/>
  <c r="N65" i="11"/>
  <c r="N16" i="11"/>
  <c r="N73" i="11"/>
  <c r="B29" i="25"/>
  <c r="I29" i="25" s="1"/>
  <c r="AK3" i="25"/>
  <c r="AK4" i="25"/>
  <c r="AK5" i="25"/>
  <c r="AK6" i="25"/>
  <c r="AK7" i="25"/>
  <c r="AK8" i="25"/>
  <c r="AK9" i="25"/>
  <c r="AK10" i="25"/>
  <c r="AK11" i="25"/>
  <c r="AK12" i="25"/>
  <c r="AK13" i="25"/>
  <c r="AK14" i="25"/>
  <c r="AK15" i="25"/>
  <c r="AK16" i="25"/>
  <c r="AK17" i="25"/>
  <c r="AK18" i="25"/>
  <c r="AK19" i="25"/>
  <c r="AK20" i="25"/>
  <c r="AK21" i="25"/>
  <c r="AK22" i="25"/>
  <c r="AK23" i="25"/>
  <c r="AK24" i="25"/>
  <c r="AK25" i="25"/>
  <c r="AK26" i="25"/>
  <c r="AK27" i="25"/>
  <c r="AK28" i="25"/>
  <c r="AK29" i="25"/>
  <c r="AK30" i="25"/>
  <c r="AK31" i="25"/>
  <c r="AK32" i="25"/>
  <c r="AK33" i="25"/>
  <c r="AK34" i="25"/>
  <c r="AK35" i="25"/>
  <c r="AK36" i="25"/>
  <c r="AK37" i="25"/>
  <c r="AK38" i="25"/>
  <c r="AK39" i="25"/>
  <c r="AK40" i="25"/>
  <c r="AK41" i="25"/>
  <c r="AK42" i="25"/>
  <c r="AK43" i="25"/>
  <c r="AK44" i="25"/>
  <c r="AK45" i="25"/>
  <c r="AK46" i="25"/>
  <c r="AK47" i="25"/>
  <c r="AK48" i="25"/>
  <c r="AK49" i="25"/>
  <c r="AK50" i="25"/>
  <c r="AK51" i="25"/>
  <c r="AK52" i="25"/>
  <c r="AK53" i="25"/>
  <c r="AK54" i="25"/>
  <c r="AK55" i="25"/>
  <c r="AK56" i="25"/>
  <c r="AK57" i="25"/>
  <c r="AK58" i="25"/>
  <c r="AK59" i="25"/>
  <c r="AK60" i="25"/>
  <c r="AK61" i="25"/>
  <c r="AK62" i="25"/>
  <c r="AK63" i="25"/>
  <c r="AK64" i="25"/>
  <c r="AK65" i="25"/>
  <c r="AK66" i="25"/>
  <c r="AK67" i="25"/>
  <c r="AK68" i="25"/>
  <c r="AK69" i="25"/>
  <c r="AK70" i="25"/>
  <c r="AK71" i="25"/>
  <c r="AK72" i="25"/>
  <c r="AK73" i="25"/>
  <c r="AK74" i="25"/>
  <c r="AK75" i="25"/>
  <c r="AK76" i="25"/>
  <c r="AK77" i="25"/>
  <c r="AK78" i="25"/>
  <c r="AK79" i="25"/>
  <c r="AK80" i="25"/>
  <c r="AK2" i="25"/>
  <c r="AI3" i="25"/>
  <c r="AI4" i="25"/>
  <c r="AI5" i="25"/>
  <c r="AI6" i="25"/>
  <c r="AI7" i="25"/>
  <c r="AI8" i="25"/>
  <c r="AI9" i="25"/>
  <c r="AI10" i="25"/>
  <c r="AI11" i="25"/>
  <c r="AI12" i="25"/>
  <c r="AI13" i="25"/>
  <c r="AI14" i="25"/>
  <c r="AI15" i="25"/>
  <c r="AI16" i="25"/>
  <c r="AI17" i="25"/>
  <c r="AI18" i="25"/>
  <c r="AI19" i="25"/>
  <c r="AI20" i="25"/>
  <c r="AI21" i="25"/>
  <c r="AI22" i="25"/>
  <c r="AI23" i="25"/>
  <c r="AI24" i="25"/>
  <c r="AI25" i="25"/>
  <c r="AI26" i="25"/>
  <c r="AI27" i="25"/>
  <c r="AI28" i="25"/>
  <c r="AI29" i="25"/>
  <c r="AI30" i="25"/>
  <c r="AI31" i="25"/>
  <c r="AI32" i="25"/>
  <c r="AI33" i="25"/>
  <c r="AI34" i="25"/>
  <c r="AI35" i="25"/>
  <c r="AI36" i="25"/>
  <c r="AI37" i="25"/>
  <c r="AI38" i="25"/>
  <c r="AI39" i="25"/>
  <c r="AI40" i="25"/>
  <c r="AI41" i="25"/>
  <c r="AI42" i="25"/>
  <c r="AI43" i="25"/>
  <c r="AI44" i="25"/>
  <c r="AI45" i="25"/>
  <c r="AI46" i="25"/>
  <c r="AI47" i="25"/>
  <c r="AI48" i="25"/>
  <c r="AI49" i="25"/>
  <c r="AI50" i="25"/>
  <c r="AI51" i="25"/>
  <c r="AI52" i="25"/>
  <c r="AI53" i="25"/>
  <c r="AI54" i="25"/>
  <c r="AI55" i="25"/>
  <c r="AI56" i="25"/>
  <c r="AI57" i="25"/>
  <c r="AI58" i="25"/>
  <c r="AI59" i="25"/>
  <c r="AI60" i="25"/>
  <c r="AI61" i="25"/>
  <c r="AI62" i="25"/>
  <c r="AI63" i="25"/>
  <c r="AI64" i="25"/>
  <c r="AI65" i="25"/>
  <c r="AI66" i="25"/>
  <c r="AI67" i="25"/>
  <c r="AI68" i="25"/>
  <c r="AI69" i="25"/>
  <c r="AI70" i="25"/>
  <c r="AI71" i="25"/>
  <c r="AI72" i="25"/>
  <c r="AI73" i="25"/>
  <c r="AI74" i="25"/>
  <c r="AI75" i="25"/>
  <c r="AI76" i="25"/>
  <c r="AI77" i="25"/>
  <c r="AI78" i="25"/>
  <c r="AI79" i="25"/>
  <c r="AI80" i="25"/>
  <c r="AI2" i="25"/>
  <c r="AD4" i="25" l="1"/>
  <c r="J29" i="25"/>
  <c r="C29" i="25"/>
  <c r="D29" i="25"/>
  <c r="G29" i="25"/>
  <c r="H29" i="25"/>
  <c r="AD2" i="23"/>
  <c r="AC2" i="23"/>
  <c r="AB2" i="23"/>
  <c r="AA2" i="23"/>
  <c r="AK3" i="23"/>
  <c r="AK4" i="23"/>
  <c r="AK5" i="23"/>
  <c r="AK6" i="23"/>
  <c r="AK7" i="23"/>
  <c r="AK8" i="23"/>
  <c r="AK9" i="23"/>
  <c r="AK10" i="23"/>
  <c r="AK11" i="23"/>
  <c r="AK12" i="23"/>
  <c r="AK13" i="23"/>
  <c r="AK14" i="23"/>
  <c r="AK15" i="23"/>
  <c r="AK16" i="23"/>
  <c r="AK17" i="23"/>
  <c r="AK18" i="23"/>
  <c r="AK19" i="23"/>
  <c r="AK20" i="23"/>
  <c r="AK21" i="23"/>
  <c r="AK22" i="23"/>
  <c r="AK23" i="23"/>
  <c r="AK24" i="23"/>
  <c r="AK25" i="23"/>
  <c r="AK26" i="23"/>
  <c r="AK27" i="23"/>
  <c r="AK28" i="23"/>
  <c r="AK29" i="23"/>
  <c r="AK30" i="23"/>
  <c r="AK31" i="23"/>
  <c r="AK32" i="23"/>
  <c r="AK33" i="23"/>
  <c r="AK34" i="23"/>
  <c r="AK35" i="23"/>
  <c r="AK36" i="23"/>
  <c r="AK37" i="23"/>
  <c r="AK38" i="23"/>
  <c r="AK39" i="23"/>
  <c r="AK40" i="23"/>
  <c r="AK41" i="23"/>
  <c r="AK42" i="23"/>
  <c r="AK43" i="23"/>
  <c r="AK44" i="23"/>
  <c r="AK45" i="23"/>
  <c r="AK46" i="23"/>
  <c r="AK47" i="23"/>
  <c r="AK48" i="23"/>
  <c r="AK49" i="23"/>
  <c r="AK50" i="23"/>
  <c r="AK51" i="23"/>
  <c r="AK52" i="23"/>
  <c r="AK53" i="23"/>
  <c r="AK54" i="23"/>
  <c r="AK55" i="23"/>
  <c r="AK2" i="23"/>
  <c r="AI3" i="23"/>
  <c r="AI4" i="23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28" i="23"/>
  <c r="AI29" i="23"/>
  <c r="AI30" i="23"/>
  <c r="AI31" i="23"/>
  <c r="AI32" i="23"/>
  <c r="AI33" i="23"/>
  <c r="AI34" i="23"/>
  <c r="AI35" i="23"/>
  <c r="AI36" i="23"/>
  <c r="AI37" i="23"/>
  <c r="AI38" i="23"/>
  <c r="AI39" i="23"/>
  <c r="AI40" i="23"/>
  <c r="AI41" i="23"/>
  <c r="AI42" i="23"/>
  <c r="AI43" i="23"/>
  <c r="AI44" i="23"/>
  <c r="AI45" i="23"/>
  <c r="AI46" i="23"/>
  <c r="AI47" i="23"/>
  <c r="AI48" i="23"/>
  <c r="AI49" i="23"/>
  <c r="AI50" i="23"/>
  <c r="AI51" i="23"/>
  <c r="AI52" i="23"/>
  <c r="AI53" i="23"/>
  <c r="AI54" i="23"/>
  <c r="AI55" i="23"/>
  <c r="AI2" i="23"/>
  <c r="B30" i="23" l="1"/>
  <c r="J30" i="23" s="1"/>
  <c r="C30" i="23" l="1"/>
  <c r="H30" i="23"/>
  <c r="D30" i="23"/>
  <c r="I30" i="23"/>
  <c r="E30" i="23"/>
  <c r="K30" i="23"/>
  <c r="G30" i="23"/>
  <c r="L30" i="23"/>
  <c r="F30" i="23"/>
  <c r="B30" i="21"/>
  <c r="F30" i="21" s="1"/>
  <c r="D30" i="21" l="1"/>
  <c r="C30" i="21"/>
  <c r="G30" i="21"/>
  <c r="H30" i="21"/>
  <c r="E30" i="21"/>
  <c r="I30" i="21"/>
  <c r="L35" i="15"/>
  <c r="AA2" i="21" l="1"/>
  <c r="AD2" i="21"/>
  <c r="AK3" i="21"/>
  <c r="AK4" i="21"/>
  <c r="AK5" i="21"/>
  <c r="AK6" i="21"/>
  <c r="AK7" i="21"/>
  <c r="AK8" i="21"/>
  <c r="AK9" i="21"/>
  <c r="AK10" i="21"/>
  <c r="AK11" i="21"/>
  <c r="AK12" i="21"/>
  <c r="AK13" i="21"/>
  <c r="AK14" i="21"/>
  <c r="AK15" i="21"/>
  <c r="AK16" i="21"/>
  <c r="AK17" i="21"/>
  <c r="AK18" i="21"/>
  <c r="AK19" i="21"/>
  <c r="AK20" i="21"/>
  <c r="AK21" i="21"/>
  <c r="AK22" i="21"/>
  <c r="AK23" i="21"/>
  <c r="AK24" i="21"/>
  <c r="AK25" i="21"/>
  <c r="AK26" i="21"/>
  <c r="AK27" i="21"/>
  <c r="AK28" i="21"/>
  <c r="AK29" i="21"/>
  <c r="AK30" i="21"/>
  <c r="AK31" i="21"/>
  <c r="AK32" i="21"/>
  <c r="AK33" i="21"/>
  <c r="AK34" i="21"/>
  <c r="AK35" i="21"/>
  <c r="AK36" i="21"/>
  <c r="AK37" i="21"/>
  <c r="AK38" i="21"/>
  <c r="AK39" i="21"/>
  <c r="AK40" i="21"/>
  <c r="AK41" i="21"/>
  <c r="AK42" i="21"/>
  <c r="AK43" i="21"/>
  <c r="AK44" i="21"/>
  <c r="AK45" i="21"/>
  <c r="AK46" i="21"/>
  <c r="AK47" i="21"/>
  <c r="AK48" i="21"/>
  <c r="AC2" i="21" s="1"/>
  <c r="AK49" i="21"/>
  <c r="AK50" i="21"/>
  <c r="AK51" i="21"/>
  <c r="AK52" i="21"/>
  <c r="AK53" i="21"/>
  <c r="AK54" i="21"/>
  <c r="AK55" i="21"/>
  <c r="AK56" i="21"/>
  <c r="AK57" i="21"/>
  <c r="AK58" i="21"/>
  <c r="AK59" i="21"/>
  <c r="AK60" i="21"/>
  <c r="AK61" i="21"/>
  <c r="AK62" i="21"/>
  <c r="AK63" i="21"/>
  <c r="AK64" i="21"/>
  <c r="AK65" i="21"/>
  <c r="AK66" i="21"/>
  <c r="AK67" i="21"/>
  <c r="AK68" i="21"/>
  <c r="AK69" i="21"/>
  <c r="AK70" i="21"/>
  <c r="AK71" i="21"/>
  <c r="AK72" i="21"/>
  <c r="AK73" i="21"/>
  <c r="AK74" i="21"/>
  <c r="AK75" i="21"/>
  <c r="AK76" i="21"/>
  <c r="AK2" i="21"/>
  <c r="AI3" i="21"/>
  <c r="AI4" i="21"/>
  <c r="AI5" i="21"/>
  <c r="AI6" i="21"/>
  <c r="AI7" i="21"/>
  <c r="AI8" i="21"/>
  <c r="AI9" i="21"/>
  <c r="AI10" i="21"/>
  <c r="AI11" i="21"/>
  <c r="AI12" i="21"/>
  <c r="AI13" i="21"/>
  <c r="AI14" i="21"/>
  <c r="AI15" i="21"/>
  <c r="AI16" i="21"/>
  <c r="AI17" i="21"/>
  <c r="AI18" i="21"/>
  <c r="AI19" i="21"/>
  <c r="AI20" i="21"/>
  <c r="AI21" i="21"/>
  <c r="AI22" i="21"/>
  <c r="AI23" i="21"/>
  <c r="AI24" i="21"/>
  <c r="AI25" i="21"/>
  <c r="AI26" i="21"/>
  <c r="AI27" i="21"/>
  <c r="AI28" i="21"/>
  <c r="AI29" i="21"/>
  <c r="AI30" i="21"/>
  <c r="AI31" i="21"/>
  <c r="AI32" i="21"/>
  <c r="AI33" i="21"/>
  <c r="AI34" i="21"/>
  <c r="AI35" i="21"/>
  <c r="AI36" i="21"/>
  <c r="AI37" i="21"/>
  <c r="AI38" i="21"/>
  <c r="AI39" i="21"/>
  <c r="AI40" i="21"/>
  <c r="AI41" i="21"/>
  <c r="AI42" i="21"/>
  <c r="AI43" i="21"/>
  <c r="AI44" i="21"/>
  <c r="AI45" i="21"/>
  <c r="AI46" i="21"/>
  <c r="AI47" i="21"/>
  <c r="AI48" i="21"/>
  <c r="AB2" i="21" s="1"/>
  <c r="AI49" i="21"/>
  <c r="AI50" i="21"/>
  <c r="AI51" i="21"/>
  <c r="AI52" i="21"/>
  <c r="AI53" i="21"/>
  <c r="AI54" i="21"/>
  <c r="AI55" i="21"/>
  <c r="AI56" i="21"/>
  <c r="AI57" i="21"/>
  <c r="AI58" i="21"/>
  <c r="AI59" i="21"/>
  <c r="AI60" i="21"/>
  <c r="AI61" i="21"/>
  <c r="AI62" i="21"/>
  <c r="AI63" i="21"/>
  <c r="AI64" i="21"/>
  <c r="AI65" i="21"/>
  <c r="AI66" i="21"/>
  <c r="AI67" i="21"/>
  <c r="AI68" i="21"/>
  <c r="AI69" i="21"/>
  <c r="AI70" i="21"/>
  <c r="AI71" i="21"/>
  <c r="AI72" i="21"/>
  <c r="AI73" i="21"/>
  <c r="AI74" i="21"/>
  <c r="AI75" i="21"/>
  <c r="AI76" i="21"/>
  <c r="AI2" i="21"/>
  <c r="H5" i="3" l="1"/>
  <c r="H4" i="3"/>
  <c r="H3" i="3"/>
  <c r="H2" i="3"/>
  <c r="H1" i="3"/>
  <c r="G5" i="3"/>
  <c r="G4" i="3"/>
  <c r="G3" i="3"/>
  <c r="G2" i="3"/>
  <c r="G1" i="3"/>
  <c r="F5" i="3"/>
  <c r="F4" i="3"/>
  <c r="F3" i="3"/>
  <c r="F2" i="3"/>
  <c r="F1" i="3"/>
  <c r="E5" i="3"/>
  <c r="E4" i="3"/>
  <c r="E3" i="3"/>
  <c r="E2" i="3"/>
  <c r="E1" i="3"/>
  <c r="H5" i="19"/>
  <c r="G5" i="19"/>
  <c r="F5" i="19"/>
  <c r="E5" i="19"/>
  <c r="H4" i="19"/>
  <c r="G4" i="19"/>
  <c r="F4" i="19"/>
  <c r="E4" i="19"/>
  <c r="H3" i="19"/>
  <c r="G3" i="19"/>
  <c r="F3" i="19"/>
  <c r="E3" i="19"/>
  <c r="H2" i="19"/>
  <c r="P84" i="19" s="1"/>
  <c r="G2" i="19"/>
  <c r="F2" i="19"/>
  <c r="N85" i="19" s="1"/>
  <c r="E2" i="19"/>
  <c r="M76" i="19" s="1"/>
  <c r="H1" i="19"/>
  <c r="G1" i="19"/>
  <c r="F1" i="19"/>
  <c r="E1" i="19"/>
  <c r="G85" i="20"/>
  <c r="F85" i="20"/>
  <c r="G84" i="20"/>
  <c r="F84" i="20"/>
  <c r="G83" i="20"/>
  <c r="F83" i="20"/>
  <c r="G82" i="20"/>
  <c r="F82" i="20"/>
  <c r="G81" i="20"/>
  <c r="F81" i="20"/>
  <c r="G80" i="20"/>
  <c r="F80" i="20"/>
  <c r="G79" i="20"/>
  <c r="F79" i="20"/>
  <c r="G78" i="20"/>
  <c r="F78" i="20"/>
  <c r="G77" i="20"/>
  <c r="F77" i="20"/>
  <c r="G76" i="20"/>
  <c r="F76" i="20"/>
  <c r="G75" i="20"/>
  <c r="F75" i="20"/>
  <c r="G74" i="20"/>
  <c r="F74" i="20"/>
  <c r="G73" i="20"/>
  <c r="F73" i="20"/>
  <c r="G72" i="20"/>
  <c r="F72" i="20"/>
  <c r="G71" i="20"/>
  <c r="F71" i="20"/>
  <c r="G70" i="20"/>
  <c r="F70" i="20"/>
  <c r="G69" i="20"/>
  <c r="F69" i="20"/>
  <c r="G68" i="20"/>
  <c r="F68" i="20"/>
  <c r="G67" i="20"/>
  <c r="F67" i="20"/>
  <c r="G66" i="20"/>
  <c r="F66" i="20"/>
  <c r="G65" i="20"/>
  <c r="F65" i="20"/>
  <c r="G64" i="20"/>
  <c r="F64" i="20"/>
  <c r="G63" i="20"/>
  <c r="F63" i="20"/>
  <c r="G62" i="20"/>
  <c r="F62" i="20"/>
  <c r="G61" i="20"/>
  <c r="F61" i="20"/>
  <c r="G60" i="20"/>
  <c r="F60" i="20"/>
  <c r="G59" i="20"/>
  <c r="F59" i="20"/>
  <c r="G58" i="20"/>
  <c r="F58" i="20"/>
  <c r="G57" i="20"/>
  <c r="F57" i="20"/>
  <c r="G56" i="20"/>
  <c r="F56" i="20"/>
  <c r="G55" i="20"/>
  <c r="F55" i="20"/>
  <c r="G54" i="20"/>
  <c r="F54" i="20"/>
  <c r="G53" i="20"/>
  <c r="F53" i="20"/>
  <c r="G52" i="20"/>
  <c r="F52" i="20"/>
  <c r="G51" i="20"/>
  <c r="F51" i="20"/>
  <c r="G50" i="20"/>
  <c r="F50" i="20"/>
  <c r="G49" i="20"/>
  <c r="F49" i="20"/>
  <c r="G48" i="20"/>
  <c r="F48" i="20"/>
  <c r="G47" i="20"/>
  <c r="F47" i="20"/>
  <c r="G46" i="20"/>
  <c r="F46" i="20"/>
  <c r="G45" i="20"/>
  <c r="F45" i="20"/>
  <c r="G44" i="20"/>
  <c r="F44" i="20"/>
  <c r="G43" i="20"/>
  <c r="F43" i="20"/>
  <c r="G42" i="20"/>
  <c r="F42" i="20"/>
  <c r="G41" i="20"/>
  <c r="F41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34" i="20"/>
  <c r="F34" i="20"/>
  <c r="G33" i="20"/>
  <c r="F33" i="20"/>
  <c r="G32" i="20"/>
  <c r="F32" i="20"/>
  <c r="G31" i="20"/>
  <c r="F31" i="20"/>
  <c r="G30" i="20"/>
  <c r="F30" i="20"/>
  <c r="G29" i="20"/>
  <c r="F29" i="20"/>
  <c r="G28" i="20"/>
  <c r="F28" i="20"/>
  <c r="G27" i="20"/>
  <c r="F27" i="20"/>
  <c r="G26" i="20"/>
  <c r="F26" i="20"/>
  <c r="G25" i="20"/>
  <c r="F25" i="20"/>
  <c r="G24" i="20"/>
  <c r="F24" i="20"/>
  <c r="G23" i="20"/>
  <c r="F23" i="20"/>
  <c r="G22" i="20"/>
  <c r="F22" i="20"/>
  <c r="G21" i="20"/>
  <c r="F21" i="20"/>
  <c r="G20" i="20"/>
  <c r="F20" i="20"/>
  <c r="G19" i="20"/>
  <c r="F19" i="20"/>
  <c r="G18" i="20"/>
  <c r="F18" i="20"/>
  <c r="G17" i="20"/>
  <c r="F17" i="20"/>
  <c r="G16" i="20"/>
  <c r="F16" i="20"/>
  <c r="G15" i="20"/>
  <c r="F15" i="20"/>
  <c r="G14" i="20"/>
  <c r="F14" i="20"/>
  <c r="G13" i="20"/>
  <c r="F13" i="20"/>
  <c r="G12" i="20"/>
  <c r="F12" i="20"/>
  <c r="G11" i="20"/>
  <c r="F11" i="20"/>
  <c r="G10" i="20"/>
  <c r="F10" i="20"/>
  <c r="G9" i="20"/>
  <c r="F9" i="20"/>
  <c r="G8" i="20"/>
  <c r="F8" i="20"/>
  <c r="L5" i="20"/>
  <c r="K5" i="20"/>
  <c r="J5" i="20"/>
  <c r="I5" i="20"/>
  <c r="L4" i="20"/>
  <c r="K4" i="20"/>
  <c r="J4" i="20"/>
  <c r="I4" i="20"/>
  <c r="L3" i="20"/>
  <c r="K3" i="20"/>
  <c r="J3" i="20"/>
  <c r="I3" i="20"/>
  <c r="L2" i="20"/>
  <c r="T85" i="20" s="1"/>
  <c r="K2" i="20"/>
  <c r="S85" i="20" s="1"/>
  <c r="J2" i="20"/>
  <c r="R84" i="20" s="1"/>
  <c r="I2" i="20"/>
  <c r="Q84" i="20" s="1"/>
  <c r="L1" i="20"/>
  <c r="K1" i="20"/>
  <c r="J1" i="20"/>
  <c r="I1" i="20"/>
  <c r="Q80" i="3" l="1"/>
  <c r="Q76" i="3"/>
  <c r="Q72" i="3"/>
  <c r="Q68" i="3"/>
  <c r="Q64" i="3"/>
  <c r="Q60" i="3"/>
  <c r="Q56" i="3"/>
  <c r="Q52" i="3"/>
  <c r="Q48" i="3"/>
  <c r="Q44" i="3"/>
  <c r="Q40" i="3"/>
  <c r="Q36" i="3"/>
  <c r="Q32" i="3"/>
  <c r="Q28" i="3"/>
  <c r="Q24" i="3"/>
  <c r="Q20" i="3"/>
  <c r="Q16" i="3"/>
  <c r="Q12" i="3"/>
  <c r="Q8" i="3"/>
  <c r="Q61" i="3"/>
  <c r="Q49" i="3"/>
  <c r="Q41" i="3"/>
  <c r="Q33" i="3"/>
  <c r="Q25" i="3"/>
  <c r="Q13" i="3"/>
  <c r="Q83" i="3"/>
  <c r="Q79" i="3"/>
  <c r="Q75" i="3"/>
  <c r="Q71" i="3"/>
  <c r="Q67" i="3"/>
  <c r="Q63" i="3"/>
  <c r="Q59" i="3"/>
  <c r="Q55" i="3"/>
  <c r="Q51" i="3"/>
  <c r="Q47" i="3"/>
  <c r="Q43" i="3"/>
  <c r="Q39" i="3"/>
  <c r="Q35" i="3"/>
  <c r="Q31" i="3"/>
  <c r="Q27" i="3"/>
  <c r="Q23" i="3"/>
  <c r="Q19" i="3"/>
  <c r="Q15" i="3"/>
  <c r="Q11" i="3"/>
  <c r="Q82" i="3"/>
  <c r="Q78" i="3"/>
  <c r="Q74" i="3"/>
  <c r="Q70" i="3"/>
  <c r="Q66" i="3"/>
  <c r="Q62" i="3"/>
  <c r="Q58" i="3"/>
  <c r="Q54" i="3"/>
  <c r="Q50" i="3"/>
  <c r="Q46" i="3"/>
  <c r="Q42" i="3"/>
  <c r="Q38" i="3"/>
  <c r="Q34" i="3"/>
  <c r="Q30" i="3"/>
  <c r="Q26" i="3"/>
  <c r="Q22" i="3"/>
  <c r="Q18" i="3"/>
  <c r="Q14" i="3"/>
  <c r="Q10" i="3"/>
  <c r="Q81" i="3"/>
  <c r="Q77" i="3"/>
  <c r="Q73" i="3"/>
  <c r="Q69" i="3"/>
  <c r="Q65" i="3"/>
  <c r="Q57" i="3"/>
  <c r="Q53" i="3"/>
  <c r="Q45" i="3"/>
  <c r="Q37" i="3"/>
  <c r="Q29" i="3"/>
  <c r="Q21" i="3"/>
  <c r="Q17" i="3"/>
  <c r="Q9" i="3"/>
  <c r="P82" i="3"/>
  <c r="P80" i="3"/>
  <c r="P78" i="3"/>
  <c r="P76" i="3"/>
  <c r="P74" i="3"/>
  <c r="P72" i="3"/>
  <c r="P70" i="3"/>
  <c r="P68" i="3"/>
  <c r="P66" i="3"/>
  <c r="P64" i="3"/>
  <c r="P62" i="3"/>
  <c r="P60" i="3"/>
  <c r="P58" i="3"/>
  <c r="P56" i="3"/>
  <c r="P54" i="3"/>
  <c r="P52" i="3"/>
  <c r="P50" i="3"/>
  <c r="P48" i="3"/>
  <c r="P46" i="3"/>
  <c r="P44" i="3"/>
  <c r="P42" i="3"/>
  <c r="P40" i="3"/>
  <c r="P38" i="3"/>
  <c r="P36" i="3"/>
  <c r="P34" i="3"/>
  <c r="P32" i="3"/>
  <c r="P30" i="3"/>
  <c r="P28" i="3"/>
  <c r="P26" i="3"/>
  <c r="P24" i="3"/>
  <c r="P22" i="3"/>
  <c r="P20" i="3"/>
  <c r="P18" i="3"/>
  <c r="P16" i="3"/>
  <c r="P10" i="3"/>
  <c r="P8" i="3"/>
  <c r="P14" i="3"/>
  <c r="P83" i="3"/>
  <c r="P81" i="3"/>
  <c r="P79" i="3"/>
  <c r="P77" i="3"/>
  <c r="P75" i="3"/>
  <c r="P73" i="3"/>
  <c r="P71" i="3"/>
  <c r="P69" i="3"/>
  <c r="P67" i="3"/>
  <c r="P65" i="3"/>
  <c r="P63" i="3"/>
  <c r="P61" i="3"/>
  <c r="P59" i="3"/>
  <c r="P57" i="3"/>
  <c r="P55" i="3"/>
  <c r="P53" i="3"/>
  <c r="P51" i="3"/>
  <c r="P49" i="3"/>
  <c r="P47" i="3"/>
  <c r="P45" i="3"/>
  <c r="P43" i="3"/>
  <c r="P41" i="3"/>
  <c r="P39" i="3"/>
  <c r="P37" i="3"/>
  <c r="P35" i="3"/>
  <c r="P33" i="3"/>
  <c r="P31" i="3"/>
  <c r="P29" i="3"/>
  <c r="P27" i="3"/>
  <c r="P25" i="3"/>
  <c r="P23" i="3"/>
  <c r="P21" i="3"/>
  <c r="P19" i="3"/>
  <c r="P17" i="3"/>
  <c r="P15" i="3"/>
  <c r="P13" i="3"/>
  <c r="P11" i="3"/>
  <c r="P9" i="3"/>
  <c r="P12" i="3"/>
  <c r="O80" i="3"/>
  <c r="O76" i="3"/>
  <c r="O72" i="3"/>
  <c r="O68" i="3"/>
  <c r="O64" i="3"/>
  <c r="O60" i="3"/>
  <c r="O56" i="3"/>
  <c r="O52" i="3"/>
  <c r="O48" i="3"/>
  <c r="O44" i="3"/>
  <c r="O40" i="3"/>
  <c r="O36" i="3"/>
  <c r="O32" i="3"/>
  <c r="O28" i="3"/>
  <c r="O24" i="3"/>
  <c r="O20" i="3"/>
  <c r="O16" i="3"/>
  <c r="O12" i="3"/>
  <c r="O8" i="3"/>
  <c r="O82" i="3"/>
  <c r="O78" i="3"/>
  <c r="O74" i="3"/>
  <c r="O70" i="3"/>
  <c r="O66" i="3"/>
  <c r="O62" i="3"/>
  <c r="O58" i="3"/>
  <c r="O54" i="3"/>
  <c r="O50" i="3"/>
  <c r="O46" i="3"/>
  <c r="O42" i="3"/>
  <c r="O38" i="3"/>
  <c r="O34" i="3"/>
  <c r="O30" i="3"/>
  <c r="O26" i="3"/>
  <c r="O22" i="3"/>
  <c r="O18" i="3"/>
  <c r="O14" i="3"/>
  <c r="O10" i="3"/>
  <c r="O83" i="3"/>
  <c r="O79" i="3"/>
  <c r="O75" i="3"/>
  <c r="O71" i="3"/>
  <c r="O67" i="3"/>
  <c r="O63" i="3"/>
  <c r="O59" i="3"/>
  <c r="O51" i="3"/>
  <c r="O47" i="3"/>
  <c r="O43" i="3"/>
  <c r="O35" i="3"/>
  <c r="O27" i="3"/>
  <c r="O19" i="3"/>
  <c r="O11" i="3"/>
  <c r="O81" i="3"/>
  <c r="O77" i="3"/>
  <c r="O73" i="3"/>
  <c r="O69" i="3"/>
  <c r="O65" i="3"/>
  <c r="O61" i="3"/>
  <c r="O57" i="3"/>
  <c r="O53" i="3"/>
  <c r="O49" i="3"/>
  <c r="O45" i="3"/>
  <c r="O41" i="3"/>
  <c r="O37" i="3"/>
  <c r="O33" i="3"/>
  <c r="O29" i="3"/>
  <c r="O25" i="3"/>
  <c r="O21" i="3"/>
  <c r="O17" i="3"/>
  <c r="O13" i="3"/>
  <c r="O9" i="3"/>
  <c r="O55" i="3"/>
  <c r="O39" i="3"/>
  <c r="O31" i="3"/>
  <c r="O23" i="3"/>
  <c r="O15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6" i="3"/>
  <c r="N25" i="3"/>
  <c r="N24" i="3"/>
  <c r="N22" i="3"/>
  <c r="N21" i="3"/>
  <c r="N19" i="3"/>
  <c r="N18" i="3"/>
  <c r="N16" i="3"/>
  <c r="N14" i="3"/>
  <c r="N12" i="3"/>
  <c r="N10" i="3"/>
  <c r="N8" i="3"/>
  <c r="N27" i="3"/>
  <c r="N23" i="3"/>
  <c r="N20" i="3"/>
  <c r="N17" i="3"/>
  <c r="N15" i="3"/>
  <c r="N13" i="3"/>
  <c r="N11" i="3"/>
  <c r="N9" i="3"/>
  <c r="O76" i="19"/>
  <c r="O66" i="19"/>
  <c r="O84" i="19"/>
  <c r="O82" i="19"/>
  <c r="O80" i="19"/>
  <c r="O78" i="19"/>
  <c r="O74" i="19"/>
  <c r="O72" i="19"/>
  <c r="O70" i="19"/>
  <c r="O68" i="19"/>
  <c r="O85" i="19"/>
  <c r="O83" i="19"/>
  <c r="O81" i="19"/>
  <c r="O79" i="19"/>
  <c r="O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41" i="19"/>
  <c r="O42" i="19"/>
  <c r="O43" i="19"/>
  <c r="O44" i="19"/>
  <c r="O45" i="19"/>
  <c r="O46" i="19"/>
  <c r="O47" i="19"/>
  <c r="O48" i="19"/>
  <c r="O49" i="19"/>
  <c r="O50" i="19"/>
  <c r="O51" i="19"/>
  <c r="O52" i="19"/>
  <c r="O53" i="19"/>
  <c r="O54" i="19"/>
  <c r="O55" i="19"/>
  <c r="O56" i="19"/>
  <c r="O57" i="19"/>
  <c r="O58" i="19"/>
  <c r="O59" i="19"/>
  <c r="O60" i="19"/>
  <c r="O61" i="19"/>
  <c r="O62" i="19"/>
  <c r="O63" i="19"/>
  <c r="O64" i="19"/>
  <c r="O65" i="19"/>
  <c r="O69" i="19"/>
  <c r="O73" i="19"/>
  <c r="O77" i="19"/>
  <c r="M68" i="19"/>
  <c r="M72" i="19"/>
  <c r="O67" i="19"/>
  <c r="O71" i="19"/>
  <c r="O75" i="19"/>
  <c r="M77" i="19"/>
  <c r="M67" i="19"/>
  <c r="M85" i="19"/>
  <c r="M83" i="19"/>
  <c r="M81" i="19"/>
  <c r="M79" i="19"/>
  <c r="M75" i="19"/>
  <c r="M73" i="19"/>
  <c r="M71" i="19"/>
  <c r="M69" i="19"/>
  <c r="M84" i="19"/>
  <c r="M82" i="19"/>
  <c r="M80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59" i="19"/>
  <c r="M60" i="19"/>
  <c r="M61" i="19"/>
  <c r="M62" i="19"/>
  <c r="M63" i="19"/>
  <c r="M64" i="19"/>
  <c r="M65" i="19"/>
  <c r="M66" i="19"/>
  <c r="M70" i="19"/>
  <c r="M74" i="19"/>
  <c r="M78" i="19"/>
  <c r="N8" i="19"/>
  <c r="P9" i="19"/>
  <c r="N10" i="19"/>
  <c r="P11" i="19"/>
  <c r="N12" i="19"/>
  <c r="P13" i="19"/>
  <c r="N14" i="19"/>
  <c r="P15" i="19"/>
  <c r="N16" i="19"/>
  <c r="P17" i="19"/>
  <c r="N18" i="19"/>
  <c r="P19" i="19"/>
  <c r="N20" i="19"/>
  <c r="P21" i="19"/>
  <c r="N22" i="19"/>
  <c r="P23" i="19"/>
  <c r="N24" i="19"/>
  <c r="P25" i="19"/>
  <c r="N26" i="19"/>
  <c r="P27" i="19"/>
  <c r="N28" i="19"/>
  <c r="P29" i="19"/>
  <c r="N30" i="19"/>
  <c r="P31" i="19"/>
  <c r="N32" i="19"/>
  <c r="P33" i="19"/>
  <c r="N34" i="19"/>
  <c r="P35" i="19"/>
  <c r="N36" i="19"/>
  <c r="P37" i="19"/>
  <c r="N38" i="19"/>
  <c r="P39" i="19"/>
  <c r="N40" i="19"/>
  <c r="P41" i="19"/>
  <c r="N42" i="19"/>
  <c r="P43" i="19"/>
  <c r="N44" i="19"/>
  <c r="P45" i="19"/>
  <c r="N46" i="19"/>
  <c r="P47" i="19"/>
  <c r="N48" i="19"/>
  <c r="P49" i="19"/>
  <c r="N50" i="19"/>
  <c r="P51" i="19"/>
  <c r="N52" i="19"/>
  <c r="P53" i="19"/>
  <c r="N54" i="19"/>
  <c r="P55" i="19"/>
  <c r="N56" i="19"/>
  <c r="P57" i="19"/>
  <c r="N58" i="19"/>
  <c r="P59" i="19"/>
  <c r="N60" i="19"/>
  <c r="P61" i="19"/>
  <c r="N62" i="19"/>
  <c r="P63" i="19"/>
  <c r="N64" i="19"/>
  <c r="P65" i="19"/>
  <c r="N66" i="19"/>
  <c r="P67" i="19"/>
  <c r="N68" i="19"/>
  <c r="P69" i="19"/>
  <c r="N70" i="19"/>
  <c r="P71" i="19"/>
  <c r="N72" i="19"/>
  <c r="P73" i="19"/>
  <c r="N74" i="19"/>
  <c r="P75" i="19"/>
  <c r="N76" i="19"/>
  <c r="P77" i="19"/>
  <c r="N78" i="19"/>
  <c r="P79" i="19"/>
  <c r="N80" i="19"/>
  <c r="P81" i="19"/>
  <c r="N82" i="19"/>
  <c r="P83" i="19"/>
  <c r="N84" i="19"/>
  <c r="P85" i="19"/>
  <c r="P8" i="19"/>
  <c r="N9" i="19"/>
  <c r="P10" i="19"/>
  <c r="N11" i="19"/>
  <c r="P12" i="19"/>
  <c r="N13" i="19"/>
  <c r="P14" i="19"/>
  <c r="N15" i="19"/>
  <c r="P16" i="19"/>
  <c r="N17" i="19"/>
  <c r="P18" i="19"/>
  <c r="N19" i="19"/>
  <c r="P20" i="19"/>
  <c r="N21" i="19"/>
  <c r="P22" i="19"/>
  <c r="N23" i="19"/>
  <c r="P24" i="19"/>
  <c r="N25" i="19"/>
  <c r="P26" i="19"/>
  <c r="N27" i="19"/>
  <c r="P28" i="19"/>
  <c r="N29" i="19"/>
  <c r="P30" i="19"/>
  <c r="N31" i="19"/>
  <c r="P32" i="19"/>
  <c r="N33" i="19"/>
  <c r="P34" i="19"/>
  <c r="N35" i="19"/>
  <c r="P36" i="19"/>
  <c r="N37" i="19"/>
  <c r="P38" i="19"/>
  <c r="N39" i="19"/>
  <c r="P40" i="19"/>
  <c r="N41" i="19"/>
  <c r="P42" i="19"/>
  <c r="N43" i="19"/>
  <c r="P44" i="19"/>
  <c r="N45" i="19"/>
  <c r="P46" i="19"/>
  <c r="N47" i="19"/>
  <c r="P48" i="19"/>
  <c r="N49" i="19"/>
  <c r="P50" i="19"/>
  <c r="N51" i="19"/>
  <c r="P52" i="19"/>
  <c r="N53" i="19"/>
  <c r="P54" i="19"/>
  <c r="N55" i="19"/>
  <c r="P56" i="19"/>
  <c r="N57" i="19"/>
  <c r="P58" i="19"/>
  <c r="N59" i="19"/>
  <c r="P60" i="19"/>
  <c r="N61" i="19"/>
  <c r="P62" i="19"/>
  <c r="N63" i="19"/>
  <c r="P64" i="19"/>
  <c r="N65" i="19"/>
  <c r="P66" i="19"/>
  <c r="N67" i="19"/>
  <c r="P68" i="19"/>
  <c r="N69" i="19"/>
  <c r="P70" i="19"/>
  <c r="N71" i="19"/>
  <c r="P72" i="19"/>
  <c r="N73" i="19"/>
  <c r="P74" i="19"/>
  <c r="N75" i="19"/>
  <c r="P76" i="19"/>
  <c r="N77" i="19"/>
  <c r="P78" i="19"/>
  <c r="N79" i="19"/>
  <c r="P80" i="19"/>
  <c r="N81" i="19"/>
  <c r="P82" i="19"/>
  <c r="N83" i="19"/>
  <c r="S8" i="20"/>
  <c r="Q9" i="20"/>
  <c r="S10" i="20"/>
  <c r="Q11" i="20"/>
  <c r="S12" i="20"/>
  <c r="Q13" i="20"/>
  <c r="S14" i="20"/>
  <c r="Q15" i="20"/>
  <c r="S16" i="20"/>
  <c r="Q17" i="20"/>
  <c r="S18" i="20"/>
  <c r="Q19" i="20"/>
  <c r="S20" i="20"/>
  <c r="Q21" i="20"/>
  <c r="S22" i="20"/>
  <c r="Q23" i="20"/>
  <c r="S24" i="20"/>
  <c r="Q25" i="20"/>
  <c r="S26" i="20"/>
  <c r="Q27" i="20"/>
  <c r="S28" i="20"/>
  <c r="Q29" i="20"/>
  <c r="S30" i="20"/>
  <c r="Q31" i="20"/>
  <c r="S32" i="20"/>
  <c r="Q33" i="20"/>
  <c r="S34" i="20"/>
  <c r="Q35" i="20"/>
  <c r="S36" i="20"/>
  <c r="Q37" i="20"/>
  <c r="S38" i="20"/>
  <c r="Q39" i="20"/>
  <c r="S40" i="20"/>
  <c r="Q41" i="20"/>
  <c r="S42" i="20"/>
  <c r="Q43" i="20"/>
  <c r="S44" i="20"/>
  <c r="Q45" i="20"/>
  <c r="S46" i="20"/>
  <c r="Q47" i="20"/>
  <c r="S48" i="20"/>
  <c r="Q49" i="20"/>
  <c r="S50" i="20"/>
  <c r="Q51" i="20"/>
  <c r="S52" i="20"/>
  <c r="Q53" i="20"/>
  <c r="S54" i="20"/>
  <c r="Q55" i="20"/>
  <c r="S56" i="20"/>
  <c r="Q57" i="20"/>
  <c r="S58" i="20"/>
  <c r="Q59" i="20"/>
  <c r="S60" i="20"/>
  <c r="Q61" i="20"/>
  <c r="S62" i="20"/>
  <c r="Q63" i="20"/>
  <c r="S64" i="20"/>
  <c r="Q65" i="20"/>
  <c r="S66" i="20"/>
  <c r="Q67" i="20"/>
  <c r="S68" i="20"/>
  <c r="Q69" i="20"/>
  <c r="S70" i="20"/>
  <c r="Q71" i="20"/>
  <c r="S72" i="20"/>
  <c r="Q73" i="20"/>
  <c r="S74" i="20"/>
  <c r="Q75" i="20"/>
  <c r="S76" i="20"/>
  <c r="Q77" i="20"/>
  <c r="S78" i="20"/>
  <c r="Q79" i="20"/>
  <c r="S80" i="20"/>
  <c r="Q81" i="20"/>
  <c r="S82" i="20"/>
  <c r="Q83" i="20"/>
  <c r="S84" i="20"/>
  <c r="Q85" i="20"/>
  <c r="T8" i="20"/>
  <c r="R9" i="20"/>
  <c r="T10" i="20"/>
  <c r="R11" i="20"/>
  <c r="T12" i="20"/>
  <c r="R13" i="20"/>
  <c r="T14" i="20"/>
  <c r="R15" i="20"/>
  <c r="T16" i="20"/>
  <c r="R17" i="20"/>
  <c r="T18" i="20"/>
  <c r="R19" i="20"/>
  <c r="T20" i="20"/>
  <c r="R21" i="20"/>
  <c r="T22" i="20"/>
  <c r="R23" i="20"/>
  <c r="T24" i="20"/>
  <c r="R25" i="20"/>
  <c r="T26" i="20"/>
  <c r="R27" i="20"/>
  <c r="T28" i="20"/>
  <c r="R29" i="20"/>
  <c r="T30" i="20"/>
  <c r="R31" i="20"/>
  <c r="T32" i="20"/>
  <c r="R33" i="20"/>
  <c r="T34" i="20"/>
  <c r="R35" i="20"/>
  <c r="T36" i="20"/>
  <c r="R37" i="20"/>
  <c r="T38" i="20"/>
  <c r="R39" i="20"/>
  <c r="T40" i="20"/>
  <c r="R41" i="20"/>
  <c r="T42" i="20"/>
  <c r="R43" i="20"/>
  <c r="T44" i="20"/>
  <c r="R45" i="20"/>
  <c r="T46" i="20"/>
  <c r="R47" i="20"/>
  <c r="T48" i="20"/>
  <c r="R49" i="20"/>
  <c r="T50" i="20"/>
  <c r="R51" i="20"/>
  <c r="T52" i="20"/>
  <c r="R53" i="20"/>
  <c r="T54" i="20"/>
  <c r="R55" i="20"/>
  <c r="T56" i="20"/>
  <c r="R57" i="20"/>
  <c r="T58" i="20"/>
  <c r="R59" i="20"/>
  <c r="T60" i="20"/>
  <c r="R61" i="20"/>
  <c r="T62" i="20"/>
  <c r="R63" i="20"/>
  <c r="T64" i="20"/>
  <c r="R65" i="20"/>
  <c r="T66" i="20"/>
  <c r="R67" i="20"/>
  <c r="T68" i="20"/>
  <c r="R69" i="20"/>
  <c r="T70" i="20"/>
  <c r="R71" i="20"/>
  <c r="T72" i="20"/>
  <c r="R73" i="20"/>
  <c r="T74" i="20"/>
  <c r="R75" i="20"/>
  <c r="T76" i="20"/>
  <c r="R77" i="20"/>
  <c r="T78" i="20"/>
  <c r="R79" i="20"/>
  <c r="T80" i="20"/>
  <c r="R81" i="20"/>
  <c r="T82" i="20"/>
  <c r="R83" i="20"/>
  <c r="T84" i="20"/>
  <c r="R85" i="20"/>
  <c r="Q8" i="20"/>
  <c r="S9" i="20"/>
  <c r="Q10" i="20"/>
  <c r="S11" i="20"/>
  <c r="Q12" i="20"/>
  <c r="S13" i="20"/>
  <c r="Q14" i="20"/>
  <c r="S15" i="20"/>
  <c r="Q16" i="20"/>
  <c r="S17" i="20"/>
  <c r="Q18" i="20"/>
  <c r="S19" i="20"/>
  <c r="Q20" i="20"/>
  <c r="S21" i="20"/>
  <c r="Q22" i="20"/>
  <c r="S23" i="20"/>
  <c r="Q24" i="20"/>
  <c r="S25" i="20"/>
  <c r="Q26" i="20"/>
  <c r="S27" i="20"/>
  <c r="Q28" i="20"/>
  <c r="S29" i="20"/>
  <c r="Q30" i="20"/>
  <c r="S31" i="20"/>
  <c r="Q32" i="20"/>
  <c r="S33" i="20"/>
  <c r="Q34" i="20"/>
  <c r="S35" i="20"/>
  <c r="Q36" i="20"/>
  <c r="S37" i="20"/>
  <c r="Q38" i="20"/>
  <c r="S39" i="20"/>
  <c r="Q40" i="20"/>
  <c r="S41" i="20"/>
  <c r="Q42" i="20"/>
  <c r="S43" i="20"/>
  <c r="Q44" i="20"/>
  <c r="S45" i="20"/>
  <c r="Q46" i="20"/>
  <c r="S47" i="20"/>
  <c r="Q48" i="20"/>
  <c r="S49" i="20"/>
  <c r="Q50" i="20"/>
  <c r="S51" i="20"/>
  <c r="Q52" i="20"/>
  <c r="S53" i="20"/>
  <c r="Q54" i="20"/>
  <c r="S55" i="20"/>
  <c r="Q56" i="20"/>
  <c r="S57" i="20"/>
  <c r="Q58" i="20"/>
  <c r="S59" i="20"/>
  <c r="Q60" i="20"/>
  <c r="S61" i="20"/>
  <c r="Q62" i="20"/>
  <c r="S63" i="20"/>
  <c r="Q64" i="20"/>
  <c r="S65" i="20"/>
  <c r="Q66" i="20"/>
  <c r="S67" i="20"/>
  <c r="Q68" i="20"/>
  <c r="S69" i="20"/>
  <c r="Q70" i="20"/>
  <c r="S71" i="20"/>
  <c r="Q72" i="20"/>
  <c r="S73" i="20"/>
  <c r="Q74" i="20"/>
  <c r="S75" i="20"/>
  <c r="Q76" i="20"/>
  <c r="S77" i="20"/>
  <c r="Q78" i="20"/>
  <c r="S79" i="20"/>
  <c r="Q80" i="20"/>
  <c r="S81" i="20"/>
  <c r="Q82" i="20"/>
  <c r="S83" i="20"/>
  <c r="R8" i="20"/>
  <c r="T9" i="20"/>
  <c r="R10" i="20"/>
  <c r="T11" i="20"/>
  <c r="R12" i="20"/>
  <c r="T13" i="20"/>
  <c r="R14" i="20"/>
  <c r="T15" i="20"/>
  <c r="R16" i="20"/>
  <c r="T17" i="20"/>
  <c r="R18" i="20"/>
  <c r="T19" i="20"/>
  <c r="R20" i="20"/>
  <c r="T21" i="20"/>
  <c r="R22" i="20"/>
  <c r="T23" i="20"/>
  <c r="R24" i="20"/>
  <c r="T25" i="20"/>
  <c r="R26" i="20"/>
  <c r="T27" i="20"/>
  <c r="R28" i="20"/>
  <c r="T29" i="20"/>
  <c r="R30" i="20"/>
  <c r="T31" i="20"/>
  <c r="R32" i="20"/>
  <c r="T33" i="20"/>
  <c r="R34" i="20"/>
  <c r="T35" i="20"/>
  <c r="R36" i="20"/>
  <c r="T37" i="20"/>
  <c r="R38" i="20"/>
  <c r="T39" i="20"/>
  <c r="R40" i="20"/>
  <c r="T41" i="20"/>
  <c r="R42" i="20"/>
  <c r="T43" i="20"/>
  <c r="R44" i="20"/>
  <c r="T45" i="20"/>
  <c r="R46" i="20"/>
  <c r="T47" i="20"/>
  <c r="R48" i="20"/>
  <c r="T49" i="20"/>
  <c r="R50" i="20"/>
  <c r="T51" i="20"/>
  <c r="R52" i="20"/>
  <c r="T53" i="20"/>
  <c r="R54" i="20"/>
  <c r="T55" i="20"/>
  <c r="R56" i="20"/>
  <c r="T57" i="20"/>
  <c r="R58" i="20"/>
  <c r="T59" i="20"/>
  <c r="R60" i="20"/>
  <c r="T61" i="20"/>
  <c r="R62" i="20"/>
  <c r="T63" i="20"/>
  <c r="R64" i="20"/>
  <c r="T65" i="20"/>
  <c r="R66" i="20"/>
  <c r="T67" i="20"/>
  <c r="R68" i="20"/>
  <c r="T69" i="20"/>
  <c r="R70" i="20"/>
  <c r="T71" i="20"/>
  <c r="R72" i="20"/>
  <c r="T73" i="20"/>
  <c r="R74" i="20"/>
  <c r="T75" i="20"/>
  <c r="R76" i="20"/>
  <c r="T77" i="20"/>
  <c r="R78" i="20"/>
  <c r="T79" i="20"/>
  <c r="R80" i="20"/>
  <c r="T81" i="20"/>
  <c r="R82" i="20"/>
  <c r="T83" i="20"/>
  <c r="AI3" i="15" l="1"/>
  <c r="AI4" i="15"/>
  <c r="AI5" i="15"/>
  <c r="AI6" i="15"/>
  <c r="AI7" i="15"/>
  <c r="AI8" i="15"/>
  <c r="AI9" i="15"/>
  <c r="AI10" i="15"/>
  <c r="AI11" i="15"/>
  <c r="AI12" i="15"/>
  <c r="AI13" i="15"/>
  <c r="AI14" i="15"/>
  <c r="AI15" i="15"/>
  <c r="AI16" i="15"/>
  <c r="AI17" i="15"/>
  <c r="AI18" i="15"/>
  <c r="AI19" i="15"/>
  <c r="AI20" i="15"/>
  <c r="AI21" i="15"/>
  <c r="AI22" i="15"/>
  <c r="AI23" i="15"/>
  <c r="AI24" i="15"/>
  <c r="AI25" i="15"/>
  <c r="AI26" i="15"/>
  <c r="AI27" i="15"/>
  <c r="AI28" i="15"/>
  <c r="AI29" i="15"/>
  <c r="AI30" i="15"/>
  <c r="AI31" i="15"/>
  <c r="AI32" i="15"/>
  <c r="AI33" i="15"/>
  <c r="AI34" i="15"/>
  <c r="AI35" i="15"/>
  <c r="AI36" i="15"/>
  <c r="AI37" i="15"/>
  <c r="AI38" i="15"/>
  <c r="AI39" i="15"/>
  <c r="AI40" i="15"/>
  <c r="AI41" i="15"/>
  <c r="AI42" i="15"/>
  <c r="AI43" i="15"/>
  <c r="AI44" i="15"/>
  <c r="AI45" i="15"/>
  <c r="AI46" i="15"/>
  <c r="AI47" i="15"/>
  <c r="AI48" i="15"/>
  <c r="AI49" i="15"/>
  <c r="AI50" i="15"/>
  <c r="AI51" i="15"/>
  <c r="AI52" i="15"/>
  <c r="AI53" i="15"/>
  <c r="AI54" i="15"/>
  <c r="AI55" i="15"/>
  <c r="AI56" i="15"/>
  <c r="AI57" i="15"/>
  <c r="AI58" i="15"/>
  <c r="AI59" i="15"/>
  <c r="AI60" i="15"/>
  <c r="AI61" i="15"/>
  <c r="AI62" i="15"/>
  <c r="AI63" i="15"/>
  <c r="AI64" i="15"/>
  <c r="AI65" i="15"/>
  <c r="AI66" i="15"/>
  <c r="AI67" i="15"/>
  <c r="AI68" i="15"/>
  <c r="AI69" i="15"/>
  <c r="AI70" i="15"/>
  <c r="AI71" i="15"/>
  <c r="AI72" i="15"/>
  <c r="AI73" i="15"/>
  <c r="AI74" i="15"/>
  <c r="AI75" i="15"/>
  <c r="AI76" i="15"/>
  <c r="AI77" i="15"/>
  <c r="AI2" i="15"/>
  <c r="AC2" i="15"/>
  <c r="AD2" i="15"/>
  <c r="AB2" i="15"/>
  <c r="AA2" i="15"/>
  <c r="AK3" i="15"/>
  <c r="AK4" i="15"/>
  <c r="AK5" i="15"/>
  <c r="AK6" i="15"/>
  <c r="AK7" i="15"/>
  <c r="AK8" i="15"/>
  <c r="AK9" i="15"/>
  <c r="AK10" i="15"/>
  <c r="AK11" i="15"/>
  <c r="AK12" i="15"/>
  <c r="AK13" i="15"/>
  <c r="AK14" i="15"/>
  <c r="AK15" i="15"/>
  <c r="AK16" i="15"/>
  <c r="AK17" i="15"/>
  <c r="AK18" i="15"/>
  <c r="AK19" i="15"/>
  <c r="AK20" i="15"/>
  <c r="AK21" i="15"/>
  <c r="AK22" i="15"/>
  <c r="AK23" i="15"/>
  <c r="AK24" i="15"/>
  <c r="AK25" i="15"/>
  <c r="AK26" i="15"/>
  <c r="AK27" i="15"/>
  <c r="AK28" i="15"/>
  <c r="AK29" i="15"/>
  <c r="AK30" i="15"/>
  <c r="AK31" i="15"/>
  <c r="AK32" i="15"/>
  <c r="AK33" i="15"/>
  <c r="AK34" i="15"/>
  <c r="AK35" i="15"/>
  <c r="AK36" i="15"/>
  <c r="AK37" i="15"/>
  <c r="AK38" i="15"/>
  <c r="AK39" i="15"/>
  <c r="AK40" i="15"/>
  <c r="AK41" i="15"/>
  <c r="AK42" i="15"/>
  <c r="AK43" i="15"/>
  <c r="AK44" i="15"/>
  <c r="AK45" i="15"/>
  <c r="AK46" i="15"/>
  <c r="AK47" i="15"/>
  <c r="AK48" i="15"/>
  <c r="AK49" i="15"/>
  <c r="AK50" i="15"/>
  <c r="AK51" i="15"/>
  <c r="AK52" i="15"/>
  <c r="AK53" i="15"/>
  <c r="AK54" i="15"/>
  <c r="AK55" i="15"/>
  <c r="AK56" i="15"/>
  <c r="AK57" i="15"/>
  <c r="AK58" i="15"/>
  <c r="AK59" i="15"/>
  <c r="AK60" i="15"/>
  <c r="AK61" i="15"/>
  <c r="AK62" i="15"/>
  <c r="AK63" i="15"/>
  <c r="AK64" i="15"/>
  <c r="AK65" i="15"/>
  <c r="AK66" i="15"/>
  <c r="AK67" i="15"/>
  <c r="AK68" i="15"/>
  <c r="AK69" i="15"/>
  <c r="AK70" i="15"/>
  <c r="AK71" i="15"/>
  <c r="AK72" i="15"/>
  <c r="AK73" i="15"/>
  <c r="AK74" i="15"/>
  <c r="AK75" i="15"/>
  <c r="AK76" i="15"/>
  <c r="AK77" i="15"/>
  <c r="AK2" i="15"/>
  <c r="S42" i="3"/>
  <c r="B29" i="15"/>
  <c r="I29" i="15" s="1"/>
  <c r="C29" i="15" l="1"/>
  <c r="E35" i="15" s="1"/>
  <c r="S12" i="3"/>
  <c r="S16" i="3"/>
  <c r="S20" i="3"/>
  <c r="S24" i="3"/>
  <c r="S28" i="3"/>
  <c r="S32" i="3"/>
  <c r="S36" i="3"/>
  <c r="S40" i="3"/>
  <c r="S44" i="3"/>
  <c r="S48" i="3"/>
  <c r="S52" i="3"/>
  <c r="S56" i="3"/>
  <c r="S60" i="3"/>
  <c r="S64" i="3"/>
  <c r="S68" i="3"/>
  <c r="S72" i="3"/>
  <c r="S76" i="3"/>
  <c r="S80" i="3"/>
  <c r="S8" i="3"/>
  <c r="R12" i="3"/>
  <c r="R16" i="3"/>
  <c r="R20" i="3"/>
  <c r="R24" i="3"/>
  <c r="R28" i="3"/>
  <c r="R32" i="3"/>
  <c r="R36" i="3"/>
  <c r="R40" i="3"/>
  <c r="R44" i="3"/>
  <c r="R48" i="3"/>
  <c r="R52" i="3"/>
  <c r="R56" i="3"/>
  <c r="R60" i="3"/>
  <c r="R64" i="3"/>
  <c r="R68" i="3"/>
  <c r="R72" i="3"/>
  <c r="R76" i="3"/>
  <c r="R80" i="3"/>
  <c r="R8" i="3"/>
  <c r="S15" i="3"/>
  <c r="S27" i="3"/>
  <c r="S39" i="3"/>
  <c r="S51" i="3"/>
  <c r="S63" i="3"/>
  <c r="S75" i="3"/>
  <c r="R11" i="3"/>
  <c r="R19" i="3"/>
  <c r="R31" i="3"/>
  <c r="R47" i="3"/>
  <c r="R55" i="3"/>
  <c r="R59" i="3"/>
  <c r="R71" i="3"/>
  <c r="R83" i="3"/>
  <c r="S9" i="3"/>
  <c r="S13" i="3"/>
  <c r="S17" i="3"/>
  <c r="S21" i="3"/>
  <c r="S25" i="3"/>
  <c r="S29" i="3"/>
  <c r="S33" i="3"/>
  <c r="S37" i="3"/>
  <c r="S41" i="3"/>
  <c r="S45" i="3"/>
  <c r="S49" i="3"/>
  <c r="S53" i="3"/>
  <c r="S57" i="3"/>
  <c r="S61" i="3"/>
  <c r="S65" i="3"/>
  <c r="S69" i="3"/>
  <c r="S73" i="3"/>
  <c r="S77" i="3"/>
  <c r="S81" i="3"/>
  <c r="R9" i="3"/>
  <c r="R13" i="3"/>
  <c r="R17" i="3"/>
  <c r="R21" i="3"/>
  <c r="R25" i="3"/>
  <c r="R29" i="3"/>
  <c r="R33" i="3"/>
  <c r="R37" i="3"/>
  <c r="R41" i="3"/>
  <c r="R45" i="3"/>
  <c r="R49" i="3"/>
  <c r="R53" i="3"/>
  <c r="R57" i="3"/>
  <c r="R61" i="3"/>
  <c r="R65" i="3"/>
  <c r="R69" i="3"/>
  <c r="R73" i="3"/>
  <c r="R77" i="3"/>
  <c r="R81" i="3"/>
  <c r="S19" i="3"/>
  <c r="S31" i="3"/>
  <c r="S47" i="3"/>
  <c r="S55" i="3"/>
  <c r="S71" i="3"/>
  <c r="S83" i="3"/>
  <c r="R23" i="3"/>
  <c r="R35" i="3"/>
  <c r="R43" i="3"/>
  <c r="R67" i="3"/>
  <c r="R79" i="3"/>
  <c r="S10" i="3"/>
  <c r="S14" i="3"/>
  <c r="S18" i="3"/>
  <c r="S22" i="3"/>
  <c r="S26" i="3"/>
  <c r="S30" i="3"/>
  <c r="S34" i="3"/>
  <c r="S38" i="3"/>
  <c r="S46" i="3"/>
  <c r="S50" i="3"/>
  <c r="S54" i="3"/>
  <c r="S58" i="3"/>
  <c r="S62" i="3"/>
  <c r="S66" i="3"/>
  <c r="S70" i="3"/>
  <c r="S74" i="3"/>
  <c r="S78" i="3"/>
  <c r="S82" i="3"/>
  <c r="R10" i="3"/>
  <c r="R14" i="3"/>
  <c r="R18" i="3"/>
  <c r="R22" i="3"/>
  <c r="R26" i="3"/>
  <c r="R30" i="3"/>
  <c r="R34" i="3"/>
  <c r="R38" i="3"/>
  <c r="R42" i="3"/>
  <c r="R46" i="3"/>
  <c r="R50" i="3"/>
  <c r="R54" i="3"/>
  <c r="R58" i="3"/>
  <c r="R62" i="3"/>
  <c r="R66" i="3"/>
  <c r="R70" i="3"/>
  <c r="R74" i="3"/>
  <c r="R78" i="3"/>
  <c r="R82" i="3"/>
  <c r="S11" i="3"/>
  <c r="S23" i="3"/>
  <c r="S35" i="3"/>
  <c r="S43" i="3"/>
  <c r="S59" i="3"/>
  <c r="S67" i="3"/>
  <c r="S79" i="3"/>
  <c r="R15" i="3"/>
  <c r="R27" i="3"/>
  <c r="R39" i="3"/>
  <c r="R51" i="3"/>
  <c r="R63" i="3"/>
  <c r="R75" i="3"/>
  <c r="E43" i="15"/>
  <c r="F29" i="15"/>
  <c r="G29" i="15"/>
  <c r="D29" i="15"/>
  <c r="H29" i="15"/>
  <c r="AO2" i="15"/>
  <c r="E29" i="15"/>
  <c r="AN2" i="15" l="1"/>
  <c r="D37" i="15"/>
  <c r="D34" i="15"/>
  <c r="E38" i="15"/>
  <c r="E34" i="15"/>
  <c r="D41" i="15"/>
  <c r="AB4" i="15"/>
  <c r="D46" i="15"/>
  <c r="D47" i="15"/>
  <c r="E37" i="15"/>
  <c r="E33" i="15"/>
  <c r="E47" i="15"/>
  <c r="D42" i="15"/>
  <c r="D38" i="15"/>
  <c r="E41" i="15"/>
  <c r="E46" i="15"/>
  <c r="D35" i="15"/>
  <c r="D45" i="15"/>
  <c r="E45" i="15"/>
  <c r="E42" i="15"/>
  <c r="D33" i="15"/>
  <c r="D39" i="15"/>
  <c r="D43" i="15"/>
  <c r="AD4" i="15"/>
  <c r="E39" i="15"/>
  <c r="AD2" i="12"/>
  <c r="AC2" i="12"/>
  <c r="AB2" i="12"/>
  <c r="AA2" i="12"/>
  <c r="AI2" i="12"/>
  <c r="AK2" i="12"/>
  <c r="AI3" i="12"/>
  <c r="AK3" i="12"/>
  <c r="AI4" i="12"/>
  <c r="AK4" i="12"/>
  <c r="AI5" i="12"/>
  <c r="AK5" i="12"/>
  <c r="AI6" i="12"/>
  <c r="AK6" i="12"/>
  <c r="AI7" i="12"/>
  <c r="AK7" i="12"/>
  <c r="AI8" i="12"/>
  <c r="AK8" i="12"/>
  <c r="AI9" i="12"/>
  <c r="AK9" i="12"/>
  <c r="AI10" i="12"/>
  <c r="AK10" i="12"/>
  <c r="AI11" i="12"/>
  <c r="AK11" i="12"/>
  <c r="AI12" i="12"/>
  <c r="AK12" i="12"/>
  <c r="AI13" i="12"/>
  <c r="AK13" i="12"/>
  <c r="AI14" i="12"/>
  <c r="AK14" i="12"/>
  <c r="AI15" i="12"/>
  <c r="AK15" i="12"/>
  <c r="AI16" i="12"/>
  <c r="AK16" i="12"/>
  <c r="AI17" i="12"/>
  <c r="AK17" i="12"/>
  <c r="AI18" i="12"/>
  <c r="AK18" i="12"/>
  <c r="AI19" i="12"/>
  <c r="AK19" i="12"/>
  <c r="AI20" i="12"/>
  <c r="AK20" i="12"/>
  <c r="AI21" i="12"/>
  <c r="AK21" i="12"/>
  <c r="AI22" i="12"/>
  <c r="AK22" i="12"/>
  <c r="AI23" i="12"/>
  <c r="AK23" i="12"/>
  <c r="AI24" i="12"/>
  <c r="AK24" i="12"/>
  <c r="AI25" i="12"/>
  <c r="AK25" i="12"/>
  <c r="AI26" i="12"/>
  <c r="AK26" i="12"/>
  <c r="AI27" i="12"/>
  <c r="AK27" i="12"/>
  <c r="AI28" i="12"/>
  <c r="AK28" i="12"/>
  <c r="AI29" i="12"/>
  <c r="AK29" i="12"/>
  <c r="AI30" i="12"/>
  <c r="AK30" i="12"/>
  <c r="AI31" i="12"/>
  <c r="AK31" i="12"/>
  <c r="AI32" i="12"/>
  <c r="AK32" i="12"/>
  <c r="AI33" i="12"/>
  <c r="AK33" i="12"/>
  <c r="AI34" i="12"/>
  <c r="AK34" i="12"/>
  <c r="AI35" i="12"/>
  <c r="AK35" i="12"/>
  <c r="AI36" i="12"/>
  <c r="AK36" i="12"/>
  <c r="AI37" i="12"/>
  <c r="AK37" i="12"/>
  <c r="AI38" i="12"/>
  <c r="AK38" i="12"/>
  <c r="AI39" i="12"/>
  <c r="AK39" i="12"/>
  <c r="AI40" i="12"/>
  <c r="AK40" i="12"/>
  <c r="AI41" i="12"/>
  <c r="AK41" i="12"/>
  <c r="AI42" i="12"/>
  <c r="AK42" i="12"/>
  <c r="AI43" i="12"/>
  <c r="AK43" i="12"/>
  <c r="AI44" i="12"/>
  <c r="AK44" i="12"/>
  <c r="AI45" i="12"/>
  <c r="AK45" i="12"/>
  <c r="AI46" i="12"/>
  <c r="AK46" i="12"/>
  <c r="AI47" i="12"/>
  <c r="AK47" i="12"/>
  <c r="AI48" i="12"/>
  <c r="AK48" i="12"/>
  <c r="AI49" i="12"/>
  <c r="AK49" i="12"/>
  <c r="AI50" i="12"/>
  <c r="AK50" i="12"/>
  <c r="AI51" i="12"/>
  <c r="AK51" i="12"/>
  <c r="AI52" i="12"/>
  <c r="AK52" i="12"/>
  <c r="AI53" i="12"/>
  <c r="AK53" i="12"/>
  <c r="AI54" i="12"/>
  <c r="AK54" i="12"/>
  <c r="AI55" i="12"/>
  <c r="AK55" i="12"/>
  <c r="AI56" i="12"/>
  <c r="AK56" i="12"/>
  <c r="AI57" i="12"/>
  <c r="AK57" i="12"/>
  <c r="AI58" i="12"/>
  <c r="AK58" i="12"/>
  <c r="AI59" i="12"/>
  <c r="AK59" i="12"/>
  <c r="AI60" i="12"/>
  <c r="AK60" i="12"/>
  <c r="AI61" i="12"/>
  <c r="AK61" i="12"/>
  <c r="AI62" i="12"/>
  <c r="AK62" i="12"/>
  <c r="AI63" i="12"/>
  <c r="AK63" i="12"/>
  <c r="AI64" i="12"/>
  <c r="AK64" i="12"/>
  <c r="AI65" i="12"/>
  <c r="AK65" i="12"/>
  <c r="AI66" i="12"/>
  <c r="AK66" i="12"/>
  <c r="AI67" i="12"/>
  <c r="AK67" i="12"/>
  <c r="AI68" i="12"/>
  <c r="AK68" i="12"/>
  <c r="AI69" i="12"/>
  <c r="AK69" i="12"/>
  <c r="AI70" i="12"/>
  <c r="AK70" i="12"/>
  <c r="AI71" i="12"/>
  <c r="AK71" i="12"/>
  <c r="AI72" i="12"/>
  <c r="AK72" i="12"/>
  <c r="AI73" i="12"/>
  <c r="AK73" i="12"/>
  <c r="AI74" i="12"/>
  <c r="AK74" i="12"/>
  <c r="AI75" i="12"/>
  <c r="AK75" i="12"/>
  <c r="AI76" i="12"/>
  <c r="AK76" i="12"/>
  <c r="AI77" i="12"/>
  <c r="AK77" i="12"/>
  <c r="AI78" i="12"/>
  <c r="AK78" i="12"/>
  <c r="AI79" i="12"/>
  <c r="AK79" i="12"/>
  <c r="B29" i="12" l="1"/>
  <c r="J29" i="12" s="1"/>
  <c r="K29" i="12" l="1"/>
  <c r="H29" i="12"/>
  <c r="E29" i="12"/>
  <c r="I29" i="12"/>
  <c r="G29" i="12"/>
  <c r="D29" i="12"/>
  <c r="C29" i="12"/>
  <c r="F29" i="12"/>
  <c r="AN2" i="12" l="1"/>
  <c r="AO2" i="12"/>
</calcChain>
</file>

<file path=xl/sharedStrings.xml><?xml version="1.0" encoding="utf-8"?>
<sst xmlns="http://schemas.openxmlformats.org/spreadsheetml/2006/main" count="6025" uniqueCount="1152">
  <si>
    <t>7A1</t>
  </si>
  <si>
    <t>Betsi Cadwaladr University Health Board</t>
  </si>
  <si>
    <t>No</t>
  </si>
  <si>
    <t>Yes</t>
  </si>
  <si>
    <t>7A3</t>
  </si>
  <si>
    <t>7A4</t>
  </si>
  <si>
    <t>Cardiff and Vale University Health Board</t>
  </si>
  <si>
    <t>7A5</t>
  </si>
  <si>
    <t>Cwm Taf University Health Board</t>
  </si>
  <si>
    <t>7A6</t>
  </si>
  <si>
    <t>Aneurin Bevan University Health Board</t>
  </si>
  <si>
    <t>R0A</t>
  </si>
  <si>
    <t>Manchester University NHS Foundation Trust</t>
  </si>
  <si>
    <t>R1H</t>
  </si>
  <si>
    <t>Barts Health NHS Trust</t>
  </si>
  <si>
    <t>R1K</t>
  </si>
  <si>
    <t>London North West Healthcare NHS Trust</t>
  </si>
  <si>
    <t>RA9</t>
  </si>
  <si>
    <t>Torbay and South Devon NHS Foundation Trust</t>
  </si>
  <si>
    <t>RAE</t>
  </si>
  <si>
    <t>Bradford Teaching Hospitals NHS Foundation Trust</t>
  </si>
  <si>
    <t>RAJ</t>
  </si>
  <si>
    <t>Southend University Hospital NHS Foundation Trust</t>
  </si>
  <si>
    <t>RAL</t>
  </si>
  <si>
    <t>Royal Free London NHS Foundation Trust</t>
  </si>
  <si>
    <t>RBA</t>
  </si>
  <si>
    <t>Taunton and Somerset NHS Foundation Trust</t>
  </si>
  <si>
    <t>RBD</t>
  </si>
  <si>
    <t>Dorset County Hospital NHS Foundation Trust</t>
  </si>
  <si>
    <t>RBN</t>
  </si>
  <si>
    <t>St Helens &amp; Knowsley Teaching Hospitals NHS Trust</t>
  </si>
  <si>
    <t>RBZ</t>
  </si>
  <si>
    <t>Northern Devon Healthcare NHS Trust</t>
  </si>
  <si>
    <t>RC1</t>
  </si>
  <si>
    <t>Bedford Hospital NHS Trust</t>
  </si>
  <si>
    <t>RCB</t>
  </si>
  <si>
    <t>York Teaching Hospital NHS Foundation Trust</t>
  </si>
  <si>
    <t>RDD</t>
  </si>
  <si>
    <t>Basildon and Thurrock University Hospitals NHS Foundation Trust</t>
  </si>
  <si>
    <t>RDE</t>
  </si>
  <si>
    <t>RDU</t>
  </si>
  <si>
    <t>Frimley Health NHS Foundation Trust</t>
  </si>
  <si>
    <t>RDZ</t>
  </si>
  <si>
    <t>Royal Bournemouth and Christchurch Hospitals NHS Foundation Trust</t>
  </si>
  <si>
    <t>REF</t>
  </si>
  <si>
    <t>Royal Cornwall Hospitals NHS Trust</t>
  </si>
  <si>
    <t>REM</t>
  </si>
  <si>
    <t>Aintree University Hospital NHS Foundation Trust</t>
  </si>
  <si>
    <t>RF4</t>
  </si>
  <si>
    <t>Barking, Havering And Redbridge University Hospitals NHS Trust</t>
  </si>
  <si>
    <t>RGN</t>
  </si>
  <si>
    <t>North West Anglia NHS Foundation Trust</t>
  </si>
  <si>
    <t>RGR</t>
  </si>
  <si>
    <t>West Suffolk NHS Foundation Trust</t>
  </si>
  <si>
    <t>RGT</t>
  </si>
  <si>
    <t>Cambridge University Hospitals NHS Foundation Trust</t>
  </si>
  <si>
    <t>RH8</t>
  </si>
  <si>
    <t>Royal Devon and Exeter NHS Foundation Trust</t>
  </si>
  <si>
    <t>RHM</t>
  </si>
  <si>
    <t>University Hospital Southampton NHS Foundation Trust</t>
  </si>
  <si>
    <t>RHQ</t>
  </si>
  <si>
    <t>Sheffield Teaching Hospitals NHS Foundation Trust</t>
  </si>
  <si>
    <t>RHU</t>
  </si>
  <si>
    <t>Portsmouth Hospitals NHS Trust</t>
  </si>
  <si>
    <t>RHW</t>
  </si>
  <si>
    <t>Royal Berkshire NHS Foundation Trust</t>
  </si>
  <si>
    <t>RJ1</t>
  </si>
  <si>
    <t>Guy's and St Thomas' NHS Foundation Trust</t>
  </si>
  <si>
    <t>RJ7</t>
  </si>
  <si>
    <t>St George's University Hospitals NHS Foundation Trust</t>
  </si>
  <si>
    <t>RJE</t>
  </si>
  <si>
    <t>University Hospital of North Midlands NHS Trust</t>
  </si>
  <si>
    <t>RJR</t>
  </si>
  <si>
    <t>Countess of Chester Hospital NHS Foundation Trust</t>
  </si>
  <si>
    <t>RJZ</t>
  </si>
  <si>
    <t>King's College Hospital NHS Foundation Trust</t>
  </si>
  <si>
    <t>RK9</t>
  </si>
  <si>
    <t>RKB</t>
  </si>
  <si>
    <t>University Hospitals Coventry and Warwickshire NHS Trust</t>
  </si>
  <si>
    <t>RL4</t>
  </si>
  <si>
    <t>Royal Wolverhampton Hospitals NHS Trust</t>
  </si>
  <si>
    <t>RLN</t>
  </si>
  <si>
    <t>City Hospitals Sunderland NHS Foundation Trust</t>
  </si>
  <si>
    <t>RM1</t>
  </si>
  <si>
    <t>Norfolk and Norwich University Hospitals NHS Foundation Trust</t>
  </si>
  <si>
    <t>RMC</t>
  </si>
  <si>
    <t>Bolton NHS Foundation Trust</t>
  </si>
  <si>
    <t>RNA</t>
  </si>
  <si>
    <t>The Dudley Group NHS Foundation Trust</t>
  </si>
  <si>
    <t>RNL</t>
  </si>
  <si>
    <t>North Cumbria University Hospitals NHS Trust</t>
  </si>
  <si>
    <t>RNS</t>
  </si>
  <si>
    <t>Northampton General Hospital NHS Trust</t>
  </si>
  <si>
    <t>RP5</t>
  </si>
  <si>
    <t>Doncaster and Bassetlaw Hospitals NHS Foundation Trust</t>
  </si>
  <si>
    <t>RPA</t>
  </si>
  <si>
    <t>Medway NHS Foundation Trust</t>
  </si>
  <si>
    <t>RQ6</t>
  </si>
  <si>
    <t>Royal Liverpool and Broadgreen University Hospitals NHS Trust</t>
  </si>
  <si>
    <t>RQ8</t>
  </si>
  <si>
    <t>Mid Essex Hospital Services NHS Trust</t>
  </si>
  <si>
    <t>RQW</t>
  </si>
  <si>
    <t>Princess Alexandra Hospital NHS Trust</t>
  </si>
  <si>
    <t>RR7</t>
  </si>
  <si>
    <t>Gateshead Health NHS Foundation Trust</t>
  </si>
  <si>
    <t>RR8</t>
  </si>
  <si>
    <t>Leeds Teaching Hospitals NHS Trust</t>
  </si>
  <si>
    <t>RRK</t>
  </si>
  <si>
    <t>University Hospitals Birmingham NHS Foundation Trust</t>
  </si>
  <si>
    <t>RRV</t>
  </si>
  <si>
    <t>University College London Hospitals NHS Foundation Trust</t>
  </si>
  <si>
    <t>RT3</t>
  </si>
  <si>
    <t>Royal Brompton &amp; Harefield NHS Foundation Trust</t>
  </si>
  <si>
    <t>RTD</t>
  </si>
  <si>
    <t>Newcastle upon Tyne Hospitals NHS Foundation Trust</t>
  </si>
  <si>
    <t>RTE</t>
  </si>
  <si>
    <t>Gloucestershire Hospitals NHS Foundation Trust</t>
  </si>
  <si>
    <t>RTG</t>
  </si>
  <si>
    <t>RTH</t>
  </si>
  <si>
    <t>Oxford University Hospitals NHS Trust</t>
  </si>
  <si>
    <t>RTK</t>
  </si>
  <si>
    <t>Ashford And St Peter's Hospitals NHS Foundation Trust</t>
  </si>
  <si>
    <t>RTR</t>
  </si>
  <si>
    <t>South Tees Hospitals NHS Foundation Trust</t>
  </si>
  <si>
    <t>RVJ</t>
  </si>
  <si>
    <t>North Bristol NHS Trust</t>
  </si>
  <si>
    <t>RVV</t>
  </si>
  <si>
    <t>East Kent Hospitals University NHS Foundation Trust</t>
  </si>
  <si>
    <t>RW6</t>
  </si>
  <si>
    <t>Pennine Acute Hospitals NHS Trust</t>
  </si>
  <si>
    <t>RWA</t>
  </si>
  <si>
    <t>Hull and East Yorkshire Hospitals NHS Trust</t>
  </si>
  <si>
    <t>RWD</t>
  </si>
  <si>
    <t>United Lincolnshire Hospitals NHS Trust</t>
  </si>
  <si>
    <t>RWE</t>
  </si>
  <si>
    <t>University Hospitals of Leicester NHS Trust</t>
  </si>
  <si>
    <t>RWG</t>
  </si>
  <si>
    <t>West Hertfordshire Hospitals NHS Trust</t>
  </si>
  <si>
    <t>RWH</t>
  </si>
  <si>
    <t>East and North Hertfordshire NHS Trust</t>
  </si>
  <si>
    <t>RWP</t>
  </si>
  <si>
    <t>Worcestershire Acute Hospitals NHS Trust</t>
  </si>
  <si>
    <t>RWY</t>
  </si>
  <si>
    <t>Calderdale and Huddersfield NHS Foundation Trust</t>
  </si>
  <si>
    <t>RX1</t>
  </si>
  <si>
    <t>Nottingham University Hospitals NHS Trust</t>
  </si>
  <si>
    <t>RXF</t>
  </si>
  <si>
    <t>Mid Yorkshire Hospitals NHS Trust</t>
  </si>
  <si>
    <t>RXH</t>
  </si>
  <si>
    <t>Brighton and Sussex University Hospitals NHS Trust</t>
  </si>
  <si>
    <t>RXN</t>
  </si>
  <si>
    <t>Lancashire Teaching Hospitals NHS Foundation Trust</t>
  </si>
  <si>
    <t>RXP</t>
  </si>
  <si>
    <t>County Durham and Darlington NHS Foundation Trust</t>
  </si>
  <si>
    <t>RXR</t>
  </si>
  <si>
    <t>East Lancashire Hospitals NHS Trust</t>
  </si>
  <si>
    <t>RXW</t>
  </si>
  <si>
    <t>Shrewsbury and Telford Hospital NHS Trust</t>
  </si>
  <si>
    <t>RYJ</t>
  </si>
  <si>
    <t>Imperial College Healthcare NHS Trust</t>
  </si>
  <si>
    <t>SA999</t>
  </si>
  <si>
    <t>NHS Ayrshire &amp; Arran</t>
  </si>
  <si>
    <t>SF999</t>
  </si>
  <si>
    <t>NHS Fife</t>
  </si>
  <si>
    <t>SG999</t>
  </si>
  <si>
    <t>NHS Greater Glasgow and Clyde</t>
  </si>
  <si>
    <t>SH999</t>
  </si>
  <si>
    <t>NHS Highland</t>
  </si>
  <si>
    <t>SL999</t>
  </si>
  <si>
    <t>NHS Lanarkshire</t>
  </si>
  <si>
    <t>SN999</t>
  </si>
  <si>
    <t>NHS Grampian</t>
  </si>
  <si>
    <t>SS999</t>
  </si>
  <si>
    <t>NHS Lothian</t>
  </si>
  <si>
    <t>ST999</t>
  </si>
  <si>
    <t>NHS Tayside</t>
  </si>
  <si>
    <t>SV999</t>
  </si>
  <si>
    <t>NHS Forth Valley</t>
  </si>
  <si>
    <t>SY999</t>
  </si>
  <si>
    <t>NHS Dumfries and Galloway</t>
  </si>
  <si>
    <t>ZT001</t>
  </si>
  <si>
    <t>Belfast Health and Social Care Trust</t>
  </si>
  <si>
    <t>Trust Code</t>
  </si>
  <si>
    <t>Trust Name</t>
  </si>
  <si>
    <t>Performs CEA</t>
  </si>
  <si>
    <t>Performs AAA Repairs</t>
  </si>
  <si>
    <t>Performs Lower Limb Bypass</t>
  </si>
  <si>
    <t>Performs Lower Limb Angioplasty/Stent</t>
  </si>
  <si>
    <t>Performs Major Lower Limb Amputations</t>
  </si>
  <si>
    <t>Trust code</t>
  </si>
  <si>
    <t>NVR cases</t>
  </si>
  <si>
    <t>Patients referred within 7 days of symptom</t>
  </si>
  <si>
    <t>Patients receiving surgery within 7 days of referral</t>
  </si>
  <si>
    <t>Patients receiving surgery within 14 days of symptom</t>
  </si>
  <si>
    <t>Median(IQR) length of stay (days)</t>
  </si>
  <si>
    <t>Symptomatic cases</t>
  </si>
  <si>
    <t>Median delay and IQR from index symptom to surgery (days)</t>
  </si>
  <si>
    <t>NVR Cases</t>
  </si>
  <si>
    <t>No. of EVAR</t>
  </si>
  <si>
    <t>% patients with anaesthetic review</t>
  </si>
  <si>
    <t>% patients undergoing pre-op CT/MR angiogram assessment</t>
  </si>
  <si>
    <t>%patients discussed at MDT</t>
  </si>
  <si>
    <t>Median delay and IQR from assessment to surgery (days)</t>
  </si>
  <si>
    <t>Median (IQR) length of stay for open repairs (days)</t>
  </si>
  <si>
    <t>Median (IQR) length of stay for EVAR (days)</t>
  </si>
  <si>
    <t>% patients with date of assessment</t>
  </si>
  <si>
    <t>Median (IQR) length of stay (days)</t>
  </si>
  <si>
    <t>% Adjusted in-hosp mortality</t>
  </si>
  <si>
    <t>% Adjusted in-hospital mortality</t>
  </si>
  <si>
    <t>Adjusted in-hospital mortality</t>
  </si>
  <si>
    <t>AKA:BKA</t>
  </si>
  <si>
    <t>% Consultant Present in Theatre</t>
  </si>
  <si>
    <t>% Prophylactic Antibiotics</t>
  </si>
  <si>
    <t>Adjusted 30 day in-hospital mortality</t>
  </si>
  <si>
    <t>Swansea Bay University Health Board</t>
  </si>
  <si>
    <t>University Hospitals Plymouth NHS Trust</t>
  </si>
  <si>
    <t>East Suffolk and North Essex NHS Foundation Trust</t>
  </si>
  <si>
    <t>11 (7 - 20)</t>
  </si>
  <si>
    <t>14 (7 - 27)</t>
  </si>
  <si>
    <t>10 (5 - 15)</t>
  </si>
  <si>
    <t>9 (6 - 14)</t>
  </si>
  <si>
    <t>12 (6 - 27)</t>
  </si>
  <si>
    <t>11 (6 - 18)</t>
  </si>
  <si>
    <t>9 (5 - 16)</t>
  </si>
  <si>
    <t>10 (3 - 17)</t>
  </si>
  <si>
    <t>9 (4 - 16)</t>
  </si>
  <si>
    <t>7 (3 - 12)</t>
  </si>
  <si>
    <t>8 (5 - 15)</t>
  </si>
  <si>
    <t>10 (5 - 19)</t>
  </si>
  <si>
    <t>15 (6 - 25)</t>
  </si>
  <si>
    <t>9 (3 - 13)</t>
  </si>
  <si>
    <t>7 (1 - 11)</t>
  </si>
  <si>
    <t>11 (6 - 21)</t>
  </si>
  <si>
    <t>12 (5 - 30)</t>
  </si>
  <si>
    <t>10 (2 - 19)</t>
  </si>
  <si>
    <t>7 (1 - 16)</t>
  </si>
  <si>
    <t>12 (6 - 26)</t>
  </si>
  <si>
    <t>11 (3 - 21)</t>
  </si>
  <si>
    <t>8 (3 - 16)</t>
  </si>
  <si>
    <t>8 (4 - 11)</t>
  </si>
  <si>
    <t>10 (3 - 16)</t>
  </si>
  <si>
    <t>10 (7 - 16)</t>
  </si>
  <si>
    <t>7 (3 - 15)</t>
  </si>
  <si>
    <t>7 (1 - 15)</t>
  </si>
  <si>
    <t>7 (1 - 12)</t>
  </si>
  <si>
    <t>7 (2 - 29)</t>
  </si>
  <si>
    <t>10 (4 - 22)</t>
  </si>
  <si>
    <t>11 (4 - 15)</t>
  </si>
  <si>
    <t>6 (1 - 11)</t>
  </si>
  <si>
    <t>16 (5 - 25)</t>
  </si>
  <si>
    <t>12 (6 - 23)</t>
  </si>
  <si>
    <t>20 (6 - 30)</t>
  </si>
  <si>
    <t>3 (0 - 35)</t>
  </si>
  <si>
    <t>22 (8 - 26)</t>
  </si>
  <si>
    <t>13 (8 - 18)</t>
  </si>
  <si>
    <t>12 (1 - 36)</t>
  </si>
  <si>
    <t>10 (2 - 44)</t>
  </si>
  <si>
    <t>9 (8 - 11)</t>
  </si>
  <si>
    <t>11 (9 - 19)</t>
  </si>
  <si>
    <t>5 (4 - 9)</t>
  </si>
  <si>
    <t>4 (3 - 7)</t>
  </si>
  <si>
    <t>4 (3 - 6)</t>
  </si>
  <si>
    <t>5 (3 - 8)</t>
  </si>
  <si>
    <t>7 (4 - 13)</t>
  </si>
  <si>
    <t>4 (2 - 6)</t>
  </si>
  <si>
    <t>7 (5 - 12)</t>
  </si>
  <si>
    <t>5 (3 - 7)</t>
  </si>
  <si>
    <t>2 (2 - 5)</t>
  </si>
  <si>
    <t>3 (2 - 6)</t>
  </si>
  <si>
    <t>4 (2 - 8)</t>
  </si>
  <si>
    <t>6 (5 - 8)</t>
  </si>
  <si>
    <t>3 (2 - 4)</t>
  </si>
  <si>
    <t>1 (1 - 4)</t>
  </si>
  <si>
    <t>6 (4 - 10)</t>
  </si>
  <si>
    <t>3 (1 - 9)</t>
  </si>
  <si>
    <t>6 (5 - 9)</t>
  </si>
  <si>
    <t>6 (4 - 9)</t>
  </si>
  <si>
    <t>7 (5 - 9)</t>
  </si>
  <si>
    <t>3 (2 - 5)</t>
  </si>
  <si>
    <t>2 (1 - 4)</t>
  </si>
  <si>
    <t>8 (5 - 12)</t>
  </si>
  <si>
    <t>3 (2 - 7)</t>
  </si>
  <si>
    <t>9 (5 - 28)</t>
  </si>
  <si>
    <t>16 (9 - 24)</t>
  </si>
  <si>
    <t>5 (3 - 9)</t>
  </si>
  <si>
    <t>4 (3 - 9)</t>
  </si>
  <si>
    <t>8 (5 - 9)</t>
  </si>
  <si>
    <t>4 (2 - 7)</t>
  </si>
  <si>
    <t>6 (5 - 10)</t>
  </si>
  <si>
    <t>5 (1 - 8)</t>
  </si>
  <si>
    <t>3 (3 - 6)</t>
  </si>
  <si>
    <t>28 (13 - 44)</t>
  </si>
  <si>
    <t>24 (12 - 26)</t>
  </si>
  <si>
    <t>12 (5 - 17)</t>
  </si>
  <si>
    <t>7 (6 - 7)</t>
  </si>
  <si>
    <t>6 (2 - 6)</t>
  </si>
  <si>
    <t>4 (3 - 5)</t>
  </si>
  <si>
    <t>8 (5 - 11)</t>
  </si>
  <si>
    <t>1 (1 - 1)</t>
  </si>
  <si>
    <t>2 (2 - 2)</t>
  </si>
  <si>
    <t>RXQ</t>
  </si>
  <si>
    <t>5 (4 - 8)</t>
  </si>
  <si>
    <t>12 (6 - 20)</t>
  </si>
  <si>
    <t>7 (4 - 12)</t>
  </si>
  <si>
    <t>8 (4 - 17)</t>
  </si>
  <si>
    <t>8 (5 - 24)</t>
  </si>
  <si>
    <t>9 (4 - 21)</t>
  </si>
  <si>
    <t>RA7</t>
  </si>
  <si>
    <t>10 (7 - 17)</t>
  </si>
  <si>
    <t>8 (5 - 21)</t>
  </si>
  <si>
    <t>7 (4 - 20)</t>
  </si>
  <si>
    <t>6 (4 - 13)</t>
  </si>
  <si>
    <t>5 (3 - 10)</t>
  </si>
  <si>
    <t>6 (3 - 13)</t>
  </si>
  <si>
    <t>10 (6 - 27)</t>
  </si>
  <si>
    <t>6 (3 - 14)</t>
  </si>
  <si>
    <t>5 (3 - 13)</t>
  </si>
  <si>
    <t>5 (3 - 11)</t>
  </si>
  <si>
    <t>6 (4 - 11)</t>
  </si>
  <si>
    <t>8 (4 - 18)</t>
  </si>
  <si>
    <t>7 (4 - 16)</t>
  </si>
  <si>
    <t>15 (8 - 27)</t>
  </si>
  <si>
    <t>6 (4 - 14)</t>
  </si>
  <si>
    <t>5 (3 - 20)</t>
  </si>
  <si>
    <t>8 (5 - 17)</t>
  </si>
  <si>
    <t>6 (3 - 11)</t>
  </si>
  <si>
    <t>7 (4 - 15)</t>
  </si>
  <si>
    <t>6 (3 - 12)</t>
  </si>
  <si>
    <t>7 (4 - 14)</t>
  </si>
  <si>
    <t>7 (5 - 8)</t>
  </si>
  <si>
    <t>9 (4 - 19)</t>
  </si>
  <si>
    <t>8 (4 - 15)</t>
  </si>
  <si>
    <t>4 (2 - 12)</t>
  </si>
  <si>
    <t>7 (5 - 14)</t>
  </si>
  <si>
    <t>13 (5 - 24)</t>
  </si>
  <si>
    <t>6 (4 - 12)</t>
  </si>
  <si>
    <t>9 (6 - 18)</t>
  </si>
  <si>
    <t>9 (5 - 18)</t>
  </si>
  <si>
    <t>8 (5 - 14)</t>
  </si>
  <si>
    <t>4 (2 - 11)</t>
  </si>
  <si>
    <t>10 (6 - 22)</t>
  </si>
  <si>
    <t>4 (2 - 9)</t>
  </si>
  <si>
    <t>12 (5 - 21)</t>
  </si>
  <si>
    <t>15 (6 - 38)</t>
  </si>
  <si>
    <t>9 (5 - 14)</t>
  </si>
  <si>
    <t>7 (4 - 18)</t>
  </si>
  <si>
    <t>9 (7 - 20)</t>
  </si>
  <si>
    <t>7 (5 - 13)</t>
  </si>
  <si>
    <t>13 (7 - 23)</t>
  </si>
  <si>
    <t>6 (3 - 15)</t>
  </si>
  <si>
    <t>9 (6 - 23)</t>
  </si>
  <si>
    <t>RD8</t>
  </si>
  <si>
    <t>RN3</t>
  </si>
  <si>
    <t>RN5</t>
  </si>
  <si>
    <t>8 (1 - 22)</t>
  </si>
  <si>
    <t>2 (0 - 10)</t>
  </si>
  <si>
    <t>0 (0 - 11)</t>
  </si>
  <si>
    <t>0 (0 - 8)</t>
  </si>
  <si>
    <t>1 (0 - 6)</t>
  </si>
  <si>
    <t>6 (0 - 24)</t>
  </si>
  <si>
    <t>3 (1 - 12)</t>
  </si>
  <si>
    <t>0 (0 - 0)</t>
  </si>
  <si>
    <t>0 (0 - 7)</t>
  </si>
  <si>
    <t>2 (0 - 15)</t>
  </si>
  <si>
    <t>3 (1 - 15)</t>
  </si>
  <si>
    <t>0 (0 - 2)</t>
  </si>
  <si>
    <t>0 (0 - 1)</t>
  </si>
  <si>
    <t>0 (0 - 4)</t>
  </si>
  <si>
    <t>2 (1 - 2)</t>
  </si>
  <si>
    <t>1 (1 - 5)</t>
  </si>
  <si>
    <t>1 (0 - 3)</t>
  </si>
  <si>
    <t>1 (0 - 2)</t>
  </si>
  <si>
    <t>2 (0 - 14)</t>
  </si>
  <si>
    <t>5 (1 - 18)</t>
  </si>
  <si>
    <t>1 (0 - 10)</t>
  </si>
  <si>
    <t>0 (0 - 3)</t>
  </si>
  <si>
    <t>2 (1 - 7)</t>
  </si>
  <si>
    <t>3 (1 - 8)</t>
  </si>
  <si>
    <t>1 (1 - 3)</t>
  </si>
  <si>
    <t>3 (1 - 7)</t>
  </si>
  <si>
    <t>1 (0 - 5)</t>
  </si>
  <si>
    <t>0 (0 - 5)</t>
  </si>
  <si>
    <t>3 (2 - 12)</t>
  </si>
  <si>
    <t>1 (1 - 8)</t>
  </si>
  <si>
    <t>1 (0 - 9)</t>
  </si>
  <si>
    <t>3 (2 - 8)</t>
  </si>
  <si>
    <t>1 (0 - 4)</t>
  </si>
  <si>
    <t>2 (1 - 5)</t>
  </si>
  <si>
    <t>5 (2 - 7)</t>
  </si>
  <si>
    <t>2 (1 - 11)</t>
  </si>
  <si>
    <t>1 (1 - 6)</t>
  </si>
  <si>
    <t>2 (1 - 8)</t>
  </si>
  <si>
    <t>1 (0 - 14)</t>
  </si>
  <si>
    <t>0 (0 - 6)</t>
  </si>
  <si>
    <t>4 (1 - 12)</t>
  </si>
  <si>
    <t>9 (1 - 21)</t>
  </si>
  <si>
    <t>2 (0 - 13)</t>
  </si>
  <si>
    <t>7 (3 - 22)</t>
  </si>
  <si>
    <t>8 (3 - 21)</t>
  </si>
  <si>
    <t>6 (2 - 13)</t>
  </si>
  <si>
    <t>5 (2 - 12)</t>
  </si>
  <si>
    <t>5 (2 - 13)</t>
  </si>
  <si>
    <t>7 (3 - 16)</t>
  </si>
  <si>
    <t>8 (8 - 10)</t>
  </si>
  <si>
    <t>8 (3 - 14)</t>
  </si>
  <si>
    <t>16 (12 - 25)</t>
  </si>
  <si>
    <t>20 (14 - 29)</t>
  </si>
  <si>
    <t>42 (23 - 77)</t>
  </si>
  <si>
    <t>30 (14 - 49)</t>
  </si>
  <si>
    <t>28 (14 - 41)</t>
  </si>
  <si>
    <t>35 (20 - 51)</t>
  </si>
  <si>
    <t>28 (14 - 53)</t>
  </si>
  <si>
    <t>28 (19 - 48)</t>
  </si>
  <si>
    <t>12 (7 - 16)</t>
  </si>
  <si>
    <t>23 (17 - 43)</t>
  </si>
  <si>
    <t>26 (16 - 43)</t>
  </si>
  <si>
    <t>24 (15 - 41)</t>
  </si>
  <si>
    <t>21 (12 - 32)</t>
  </si>
  <si>
    <t>19 (11 - 37)</t>
  </si>
  <si>
    <t>20 (12 - 35)</t>
  </si>
  <si>
    <t>21 (11 - 41)</t>
  </si>
  <si>
    <t>45 (22 - 60)</t>
  </si>
  <si>
    <t>17 (9 - 41)</t>
  </si>
  <si>
    <t>24 (13 - 41)</t>
  </si>
  <si>
    <t>16 (10 - 30)</t>
  </si>
  <si>
    <t>19 (14 - 32)</t>
  </si>
  <si>
    <t>36 (21 - 58)</t>
  </si>
  <si>
    <t>19 (11 - 33)</t>
  </si>
  <si>
    <t>21 (15 - 36)</t>
  </si>
  <si>
    <t>14 (9 - 23)</t>
  </si>
  <si>
    <t>23 (14 - 40)</t>
  </si>
  <si>
    <t>34 (21 - 61)</t>
  </si>
  <si>
    <t>26 (14 - 44)</t>
  </si>
  <si>
    <t>24 (14 - 42)</t>
  </si>
  <si>
    <t>53 (42 - 87)</t>
  </si>
  <si>
    <t>14 (9 - 20)</t>
  </si>
  <si>
    <t>31 (16 - 48)</t>
  </si>
  <si>
    <t>31 (18 - 48)</t>
  </si>
  <si>
    <t>17 (11 - 29)</t>
  </si>
  <si>
    <t>22 (12 - 41)</t>
  </si>
  <si>
    <t>17 (9 - 29)</t>
  </si>
  <si>
    <t>24 (14 - 44)</t>
  </si>
  <si>
    <t>24 (10 - 36)</t>
  </si>
  <si>
    <t>36 (19 - 60)</t>
  </si>
  <si>
    <t>36 (25 - 57)</t>
  </si>
  <si>
    <t>23 (14 - 39)</t>
  </si>
  <si>
    <t>33 (17 - 52)</t>
  </si>
  <si>
    <t>27 (22 - 45)</t>
  </si>
  <si>
    <t>19 (12 - 34)</t>
  </si>
  <si>
    <t>25 (15 - 42)</t>
  </si>
  <si>
    <t>24 (15 - 39)</t>
  </si>
  <si>
    <t>18 (12 - 25)</t>
  </si>
  <si>
    <t>19 (12 - 32)</t>
  </si>
  <si>
    <t>17 (9 - 28)</t>
  </si>
  <si>
    <t>17 (12 - 30)</t>
  </si>
  <si>
    <t>22 (13 - 39)</t>
  </si>
  <si>
    <t>21 (14 - 30)</t>
  </si>
  <si>
    <t>25 (14 - 38)</t>
  </si>
  <si>
    <t>19 (12 - 30)</t>
  </si>
  <si>
    <t>24 (16 - 34)</t>
  </si>
  <si>
    <t>17 (10 - 25)</t>
  </si>
  <si>
    <t>23 (22 - 40)</t>
  </si>
  <si>
    <t>24 (16 - 45)</t>
  </si>
  <si>
    <t>22 (13 - 34)</t>
  </si>
  <si>
    <t>21 (10 - 38)</t>
  </si>
  <si>
    <t>20 (13 - 32)</t>
  </si>
  <si>
    <t>18 (13 - 28)</t>
  </si>
  <si>
    <t>26 (16 - 42)</t>
  </si>
  <si>
    <t>23 (13 - 42)</t>
  </si>
  <si>
    <t>35 (14 - 62)</t>
  </si>
  <si>
    <t>20 (12 - 32)</t>
  </si>
  <si>
    <t>37 (21 - 52)</t>
  </si>
  <si>
    <t>32 (21 - 54)</t>
  </si>
  <si>
    <t>24 (22 - 34)</t>
  </si>
  <si>
    <t>37 (25 - 55)</t>
  </si>
  <si>
    <t>37 (23 - 55)</t>
  </si>
  <si>
    <t>33 (19 - 52)</t>
  </si>
  <si>
    <t>38 (20 - 60)</t>
  </si>
  <si>
    <t>13 (6 - 20)</t>
  </si>
  <si>
    <t>33 (20 - 61)</t>
  </si>
  <si>
    <t>28 (21 - 47)</t>
  </si>
  <si>
    <t>29 (16 - 60)</t>
  </si>
  <si>
    <t>16 (9 - 26)</t>
  </si>
  <si>
    <t>11 (5 - 20)</t>
  </si>
  <si>
    <t>10 (6 - 17)</t>
  </si>
  <si>
    <t>7 (2 - 12)</t>
  </si>
  <si>
    <t>11 (3 - 19)</t>
  </si>
  <si>
    <t>14 (6 - 26)</t>
  </si>
  <si>
    <t>11 (3 - 20)</t>
  </si>
  <si>
    <t>9 (1 - 17)</t>
  </si>
  <si>
    <t>12 (2 - 15)</t>
  </si>
  <si>
    <t>10 (5 - 24)</t>
  </si>
  <si>
    <t>11 (6 - 17)</t>
  </si>
  <si>
    <t>8 (1 - 13)</t>
  </si>
  <si>
    <t>10 (3 - 14)</t>
  </si>
  <si>
    <t>11 (4 - 14)</t>
  </si>
  <si>
    <t>15 (9 - 26)</t>
  </si>
  <si>
    <t>9 (4 - 12)</t>
  </si>
  <si>
    <t>9 (1 - 24)</t>
  </si>
  <si>
    <t>8 (2 - 14)</t>
  </si>
  <si>
    <t>16 (3 - 26)</t>
  </si>
  <si>
    <t>13 (6 - 16)</t>
  </si>
  <si>
    <t>3 (0 - 16)</t>
  </si>
  <si>
    <t>10 (4 - 18)</t>
  </si>
  <si>
    <t>11 (7 - 21)</t>
  </si>
  <si>
    <t>11 (2 - 18)</t>
  </si>
  <si>
    <t>8 (7 - 16)</t>
  </si>
  <si>
    <t>8 (8 - 28)</t>
  </si>
  <si>
    <t>7 (1 - 9)</t>
  </si>
  <si>
    <t>10 (6 - 18)</t>
  </si>
  <si>
    <t>8 (6 - 16)</t>
  </si>
  <si>
    <t>8 (4 - 10)</t>
  </si>
  <si>
    <t>6 (4 - 15)</t>
  </si>
  <si>
    <t>5 (2 - 8)</t>
  </si>
  <si>
    <t>2 (2 - 6)</t>
  </si>
  <si>
    <t>2 (1 - 3)</t>
  </si>
  <si>
    <t>6 (2 - 12)</t>
  </si>
  <si>
    <t>7 (3 - 14)</t>
  </si>
  <si>
    <t>3 (2 - 3)</t>
  </si>
  <si>
    <t>10 (5 - 20)</t>
  </si>
  <si>
    <t>9 (4 - 20)</t>
  </si>
  <si>
    <t>9 (5 - 25)</t>
  </si>
  <si>
    <t>9 (5 - 15)</t>
  </si>
  <si>
    <t>CLI waiting time cases</t>
  </si>
  <si>
    <t>CLI waiting tIme (IQR) (days)</t>
  </si>
  <si>
    <t>21 (11 - 37)</t>
  </si>
  <si>
    <t>10 (8 - 13)</t>
  </si>
  <si>
    <t>1 (1 - 2)</t>
  </si>
  <si>
    <t>9 (6 - 19)</t>
  </si>
  <si>
    <t>9 (3 - 15)</t>
  </si>
  <si>
    <t>6 (3 - 8)</t>
  </si>
  <si>
    <t>8 (6 - 10)</t>
  </si>
  <si>
    <t>10 (7 - 12)</t>
  </si>
  <si>
    <t>13 (9 - 17)</t>
  </si>
  <si>
    <t>15 (10 - 25)</t>
  </si>
  <si>
    <t>3 (1 - 5)</t>
  </si>
  <si>
    <t>25 (13 - 50)</t>
  </si>
  <si>
    <t>4 (3 - 8)</t>
  </si>
  <si>
    <t>8 (6 - 14)</t>
  </si>
  <si>
    <t>19 (8 - 40)</t>
  </si>
  <si>
    <t>2 (2 - 3)</t>
  </si>
  <si>
    <t>10 (5 - 14)</t>
  </si>
  <si>
    <t>5 (2 - 10)</t>
  </si>
  <si>
    <t>13 (7 - 24)</t>
  </si>
  <si>
    <t>8 (5 - 13)</t>
  </si>
  <si>
    <t>14 (14 - 21)</t>
  </si>
  <si>
    <t>10 (8 - 17)</t>
  </si>
  <si>
    <t>8 (6 - 11)</t>
  </si>
  <si>
    <t>26 (17 - 41)</t>
  </si>
  <si>
    <t>9 (5 - 24)</t>
  </si>
  <si>
    <t>16 (9 - 49)</t>
  </si>
  <si>
    <t>24 (9 - 56)</t>
  </si>
  <si>
    <t>2 (1 - 6)</t>
  </si>
  <si>
    <t>12 (9 - 19)</t>
  </si>
  <si>
    <t>3 (2 - 10)</t>
  </si>
  <si>
    <t>12 (7 - 33)</t>
  </si>
  <si>
    <t>13 (9 - 30)</t>
  </si>
  <si>
    <t>14 (11 - 19)</t>
  </si>
  <si>
    <t>22 (16 - 40)</t>
  </si>
  <si>
    <t>10 (7 - 24)</t>
  </si>
  <si>
    <t>8 (5 - 16)</t>
  </si>
  <si>
    <t>2 (2 - 7)</t>
  </si>
  <si>
    <t>14 (8 - 37)</t>
  </si>
  <si>
    <t>13 (9 - 22)</t>
  </si>
  <si>
    <t>11 (6 - 19)</t>
  </si>
  <si>
    <t>12 (8 - 22)</t>
  </si>
  <si>
    <t>10 (6 - 28)</t>
  </si>
  <si>
    <t>6 (2 - 11)</t>
  </si>
  <si>
    <t>9 (7 - 14)</t>
  </si>
  <si>
    <t>9 (5 - 32)</t>
  </si>
  <si>
    <t>17 (7 - 60)</t>
  </si>
  <si>
    <t>13 (7 - 17)</t>
  </si>
  <si>
    <t>6 (3 - 10)</t>
  </si>
  <si>
    <t>7 (5 - 11)</t>
  </si>
  <si>
    <t>3 (1 - 6)</t>
  </si>
  <si>
    <t>12 (10 - 15)</t>
  </si>
  <si>
    <t>13 (9 - 18)</t>
  </si>
  <si>
    <t>13 (7 - 26)</t>
  </si>
  <si>
    <t>2 (1 - 9)</t>
  </si>
  <si>
    <t>12 (9 - 14)</t>
  </si>
  <si>
    <t>18 (8 - 39)</t>
  </si>
  <si>
    <t>14 (10 - 20)</t>
  </si>
  <si>
    <t>3 (3 - 4)</t>
  </si>
  <si>
    <t>11 (8 - 16)</t>
  </si>
  <si>
    <t>3 (3 - 5)</t>
  </si>
  <si>
    <t>22 (17 - 41)</t>
  </si>
  <si>
    <t>17 (9 - 35)</t>
  </si>
  <si>
    <t>% Adjusted Stroke and/or death  rate (2016-2018)</t>
  </si>
  <si>
    <t>Adjusted in-hospital mortality (2016-2018)</t>
  </si>
  <si>
    <t>13 (11 - 14)</t>
  </si>
  <si>
    <t>8 (7 - 13)</t>
  </si>
  <si>
    <t>2 (2 - 4)</t>
  </si>
  <si>
    <t>111 (35 - 161)</t>
  </si>
  <si>
    <t>4 (2 - 5)</t>
  </si>
  <si>
    <t>6 (5 - 11)</t>
  </si>
  <si>
    <t>7 (6 - 9)</t>
  </si>
  <si>
    <t>61 (35 - 103)</t>
  </si>
  <si>
    <t>54 (35 - 88)</t>
  </si>
  <si>
    <t>6 (5 - 6)</t>
  </si>
  <si>
    <t>90 (66 - 145)</t>
  </si>
  <si>
    <t>9 (8 - 10)</t>
  </si>
  <si>
    <t>84 (31 - 121)</t>
  </si>
  <si>
    <t>7 (6 - 11)</t>
  </si>
  <si>
    <t>70 (48 - 126)</t>
  </si>
  <si>
    <t>62 (23 - 95)</t>
  </si>
  <si>
    <t>59 (41 - 101)</t>
  </si>
  <si>
    <t>8 (6 - 9)</t>
  </si>
  <si>
    <t>67 (29 - 109)</t>
  </si>
  <si>
    <t>54 (31 - 91)</t>
  </si>
  <si>
    <t>7 (6 - 8)</t>
  </si>
  <si>
    <t>132 (78 - 173)</t>
  </si>
  <si>
    <t>7 (6 - 12)</t>
  </si>
  <si>
    <t>66 (38 - 106)</t>
  </si>
  <si>
    <t>6 (5 - 7)</t>
  </si>
  <si>
    <t>140 (81 - 174)</t>
  </si>
  <si>
    <t>8 (7 - 9)</t>
  </si>
  <si>
    <t>58 (25 - 100)</t>
  </si>
  <si>
    <t>65 (27 - 111)</t>
  </si>
  <si>
    <t>7 (5 - 10)</t>
  </si>
  <si>
    <t>84 (36 - 128)</t>
  </si>
  <si>
    <t>74 (9 - 222)</t>
  </si>
  <si>
    <t>5 (5 - 9)</t>
  </si>
  <si>
    <t>63 (30 - 125)</t>
  </si>
  <si>
    <t>6 (4 - 7)</t>
  </si>
  <si>
    <t>86 (60 - 123)</t>
  </si>
  <si>
    <t>51 (31 - 83)</t>
  </si>
  <si>
    <t>61 (35 - 90)</t>
  </si>
  <si>
    <t>50 (34 - 88)</t>
  </si>
  <si>
    <t>59 (40 - 83)</t>
  </si>
  <si>
    <t>85 (39 - 120)</t>
  </si>
  <si>
    <t>148 (92 - 234)</t>
  </si>
  <si>
    <t>143 (98 - 220)</t>
  </si>
  <si>
    <t>8 (5 - 10)</t>
  </si>
  <si>
    <t>100 (63 - 140)</t>
  </si>
  <si>
    <t>3 (1 - 10)</t>
  </si>
  <si>
    <t>59 (42 - 99)</t>
  </si>
  <si>
    <t>10 (4 - 12)</t>
  </si>
  <si>
    <t>56 (34 - 122)</t>
  </si>
  <si>
    <t>40 (24 - 88)</t>
  </si>
  <si>
    <t>12 (8 - 15)</t>
  </si>
  <si>
    <t>78 (35 - 123)</t>
  </si>
  <si>
    <t>106 (71 - 155)</t>
  </si>
  <si>
    <t>63 (34 - 125)</t>
  </si>
  <si>
    <t>8 (7 - 15)</t>
  </si>
  <si>
    <t>41 (27 - 74)</t>
  </si>
  <si>
    <t>55 (36 - 84)</t>
  </si>
  <si>
    <t>5 (5 - 6)</t>
  </si>
  <si>
    <t>55 (36 - 96)</t>
  </si>
  <si>
    <t>8 (7 - 12)</t>
  </si>
  <si>
    <t>78 (45 - 129)</t>
  </si>
  <si>
    <t>9 (7 - 18)</t>
  </si>
  <si>
    <t>61 (38 - 72)</t>
  </si>
  <si>
    <t>8 (7 - 10)</t>
  </si>
  <si>
    <t>60 (22 - 134)</t>
  </si>
  <si>
    <t>61 (37 - 117)</t>
  </si>
  <si>
    <t>50 (30 - 63)</t>
  </si>
  <si>
    <t>9 (7 - 10)</t>
  </si>
  <si>
    <t>8 (7 - 18)</t>
  </si>
  <si>
    <t>7 (6 - 9.5)</t>
  </si>
  <si>
    <t>69 (29 - 114)</t>
  </si>
  <si>
    <t>9 (5 - 9)</t>
  </si>
  <si>
    <t>60 (47 - 119)</t>
  </si>
  <si>
    <t>9 (8 - 15)</t>
  </si>
  <si>
    <t>6 (3 - 9)</t>
  </si>
  <si>
    <t>57 (37 - 72)</t>
  </si>
  <si>
    <t>11 (9 - 16)</t>
  </si>
  <si>
    <t>8 (8 - 11)</t>
  </si>
  <si>
    <t>47 (47 - 72)</t>
  </si>
  <si>
    <t>10 (8 - 11)</t>
  </si>
  <si>
    <t>31 (24 - 76)</t>
  </si>
  <si>
    <t>128 (86 - 190)</t>
  </si>
  <si>
    <t>11 (8 - 15)</t>
  </si>
  <si>
    <t>readmission within  30 days</t>
  </si>
  <si>
    <t>7 (4 - 11)</t>
  </si>
  <si>
    <t>7 (3 - 9)</t>
  </si>
  <si>
    <t>5 (1 - 11)</t>
  </si>
  <si>
    <t>1 (0 - 1)</t>
  </si>
  <si>
    <t>8 (4 - 12)</t>
  </si>
  <si>
    <t>6 (2 - 10)</t>
  </si>
  <si>
    <t>6 (1 - 8)</t>
  </si>
  <si>
    <t>4 (1 - 7)</t>
  </si>
  <si>
    <t>4 (1 - 9)</t>
  </si>
  <si>
    <t>13 (8 - 28)</t>
  </si>
  <si>
    <t>5 (1 - 9)</t>
  </si>
  <si>
    <t>5 (2 - 9)</t>
  </si>
  <si>
    <t>6 (1 - 10)</t>
  </si>
  <si>
    <t>6 (4 - 8)</t>
  </si>
  <si>
    <t>8 (3 - 10)</t>
  </si>
  <si>
    <t>3 (0 - 7)</t>
  </si>
  <si>
    <t>9 (6 - 16)</t>
  </si>
  <si>
    <t>5 (0 - 11)</t>
  </si>
  <si>
    <t>4 (1 - 6)</t>
  </si>
  <si>
    <t>7 (3 - 10)</t>
  </si>
  <si>
    <t>11 (6 - 15)</t>
  </si>
  <si>
    <t>6 (1 - 12)</t>
  </si>
  <si>
    <t>15 (11 - 26)</t>
  </si>
  <si>
    <t>8 (6 - 21)</t>
  </si>
  <si>
    <t>11 (6 - 22)</t>
  </si>
  <si>
    <t>16 (9 - 27)</t>
  </si>
  <si>
    <t>14 (9 - 30)</t>
  </si>
  <si>
    <t>13 (10 - 16)</t>
  </si>
  <si>
    <t>12 (8 - 17)</t>
  </si>
  <si>
    <t>12 (8 - 26)</t>
  </si>
  <si>
    <t>17 (9 - 26)</t>
  </si>
  <si>
    <t>11 (7 - 17)</t>
  </si>
  <si>
    <t>10 (7 - 15)</t>
  </si>
  <si>
    <t>18 (12 - 32)</t>
  </si>
  <si>
    <t>12 (8 - 19)</t>
  </si>
  <si>
    <t>21 (13 - 42)</t>
  </si>
  <si>
    <t>17 (12 - 20)</t>
  </si>
  <si>
    <t>14 (10 - 21)</t>
  </si>
  <si>
    <t>4 (3 - 4)</t>
  </si>
  <si>
    <t>N/A</t>
  </si>
  <si>
    <t>6 (6 - 7)</t>
  </si>
  <si>
    <t>8 (7 - 23)</t>
  </si>
  <si>
    <t>11 (8 - 12)</t>
  </si>
  <si>
    <t>9 (6 - 11)</t>
  </si>
  <si>
    <t>12 (9 - 23)</t>
  </si>
  <si>
    <t>8 (6 - 13)</t>
  </si>
  <si>
    <t>11 (7 - 24)</t>
  </si>
  <si>
    <t>9 (8 - 14)</t>
  </si>
  <si>
    <t>87 (43 - 135)</t>
  </si>
  <si>
    <t>92 (53 - 151)</t>
  </si>
  <si>
    <t>57 (38 - 71)</t>
  </si>
  <si>
    <t>77 (42 - 132)</t>
  </si>
  <si>
    <t>64 (32 - 128)</t>
  </si>
  <si>
    <t>75 (54 - 144)</t>
  </si>
  <si>
    <t>53 (21 - 83)</t>
  </si>
  <si>
    <t>88 (64 - 151)</t>
  </si>
  <si>
    <t>109 (62 - 167)</t>
  </si>
  <si>
    <t>80 (41 - 103)</t>
  </si>
  <si>
    <t>69 (41 - 153)</t>
  </si>
  <si>
    <t>77 (42 - 111)</t>
  </si>
  <si>
    <t>90 (50 - 174)</t>
  </si>
  <si>
    <t>48 (24 - 94)</t>
  </si>
  <si>
    <t>58 (34 - 82)</t>
  </si>
  <si>
    <t>64 (30 - 107)</t>
  </si>
  <si>
    <t>25 (15 - 52)</t>
  </si>
  <si>
    <t>54 (34 - 89)</t>
  </si>
  <si>
    <t>69 (41 - 138)</t>
  </si>
  <si>
    <t>71 (40 - 97)</t>
  </si>
  <si>
    <t>95 (60 - 113)</t>
  </si>
  <si>
    <t>95 (44 - 160)</t>
  </si>
  <si>
    <t>86 (59 - 134)</t>
  </si>
  <si>
    <t>45 (31 - 62)</t>
  </si>
  <si>
    <t>52 (27 - 96)</t>
  </si>
  <si>
    <t>69 (36 - 133)</t>
  </si>
  <si>
    <t>82 (49 - 128)</t>
  </si>
  <si>
    <t>75 (41 - 99)</t>
  </si>
  <si>
    <t>University Hospitals Bristol NHS Foundation Trust</t>
  </si>
  <si>
    <t>Milton Keynes Hospital NHS Foundation Trust</t>
  </si>
  <si>
    <t>Great Western Hospitals NHS Foundation Trust</t>
  </si>
  <si>
    <t>Hampshire Hospitals NHS Foundation Trust</t>
  </si>
  <si>
    <t>Buckinghamshire Healthcare NHS Trust</t>
  </si>
  <si>
    <t>9 (6 - 13)</t>
  </si>
  <si>
    <t>11 (3 - 15)</t>
  </si>
  <si>
    <t>9 (7 - 15)</t>
  </si>
  <si>
    <t>8 (4 - 14)</t>
  </si>
  <si>
    <t>5 (1 - 10)</t>
  </si>
  <si>
    <t>7 (2 - 15)</t>
  </si>
  <si>
    <t>2 (0 - 5)</t>
  </si>
  <si>
    <t>10 (3 - 15)</t>
  </si>
  <si>
    <t>7 (3 - 13)</t>
  </si>
  <si>
    <t>6 (1 - 14)</t>
  </si>
  <si>
    <t>7 (3 - 11)</t>
  </si>
  <si>
    <t>2 (0 - 7)</t>
  </si>
  <si>
    <t>8 (2 - 18)</t>
  </si>
  <si>
    <t>3 (0 - 5)</t>
  </si>
  <si>
    <t>4 (1 - 8)</t>
  </si>
  <si>
    <t>5 (1 - 12)</t>
  </si>
  <si>
    <t>Readmission Denom</t>
  </si>
  <si>
    <t>&lt;5</t>
  </si>
  <si>
    <t>xx</t>
  </si>
  <si>
    <t>University Hospitals of Derby and Burton NHS Foundation Trust</t>
  </si>
  <si>
    <t>Median (IQR delay from vascular assessment to ampuation (days) for non-elective admissions</t>
  </si>
  <si>
    <t>10 (4 - 28)</t>
  </si>
  <si>
    <t>13 (5 - 37)</t>
  </si>
  <si>
    <t>35 (20 - 84)</t>
  </si>
  <si>
    <t>5 (3 - 14)</t>
  </si>
  <si>
    <t>6 (3 - 19)</t>
  </si>
  <si>
    <t>13 (5 - 21)</t>
  </si>
  <si>
    <t>13 (2 - 51)</t>
  </si>
  <si>
    <t>8 (5 - 18)</t>
  </si>
  <si>
    <t>22 (5 - 30)</t>
  </si>
  <si>
    <t>8 (3 - 22)</t>
  </si>
  <si>
    <t>9 (3 - 16)</t>
  </si>
  <si>
    <t>9 (4 - 27)</t>
  </si>
  <si>
    <t>11 (5 - 31)</t>
  </si>
  <si>
    <t>8 (3 - 45)</t>
  </si>
  <si>
    <t>11 (3 - 63)</t>
  </si>
  <si>
    <t>8 (3 - 15)</t>
  </si>
  <si>
    <t>7 (2 - 21)</t>
  </si>
  <si>
    <t>9 (3 - 22)</t>
  </si>
  <si>
    <t>7 (3 - 24)</t>
  </si>
  <si>
    <t>7 (3 - 17)</t>
  </si>
  <si>
    <t>8 (4 - 21)</t>
  </si>
  <si>
    <t>7 (5 - 21)</t>
  </si>
  <si>
    <t>8 (4 - 25)</t>
  </si>
  <si>
    <t>5 (2 - 17)</t>
  </si>
  <si>
    <t>13 (5 - 59)</t>
  </si>
  <si>
    <t>16 (7 - 30)</t>
  </si>
  <si>
    <t>10 (3 - 20)</t>
  </si>
  <si>
    <t>13 (5 - 29)</t>
  </si>
  <si>
    <t>7 (2 - 13)</t>
  </si>
  <si>
    <t>28 (8 - 53)</t>
  </si>
  <si>
    <t>8 (3 - 23)</t>
  </si>
  <si>
    <t>8 (4 - 16)</t>
  </si>
  <si>
    <t>14 (10 - 44)</t>
  </si>
  <si>
    <t>6 (4 - 16)</t>
  </si>
  <si>
    <t>7 (3 - 19)</t>
  </si>
  <si>
    <t>8 (3 - 19)</t>
  </si>
  <si>
    <t>5 (2 - 11)</t>
  </si>
  <si>
    <t>15 (6 - 40)</t>
  </si>
  <si>
    <t>9 (2 - 16)</t>
  </si>
  <si>
    <t>13 (5 - 28)</t>
  </si>
  <si>
    <t>15 (6 - 39)</t>
  </si>
  <si>
    <t>8 (4 - 20)</t>
  </si>
  <si>
    <t>5 (2 - 18)</t>
  </si>
  <si>
    <t>9 (6 - 28)</t>
  </si>
  <si>
    <t>48 (5 - 119)</t>
  </si>
  <si>
    <t>8 (4 - 24)</t>
  </si>
  <si>
    <t>14 (5 - 57)</t>
  </si>
  <si>
    <t>5 (3 - 15)</t>
  </si>
  <si>
    <t>9 (5 - 19)</t>
  </si>
  <si>
    <t>10 (5 - 26)</t>
  </si>
  <si>
    <t>Select Trust</t>
  </si>
  <si>
    <t>% Adjusted Stroke and/or death  rate (2015-2017)</t>
  </si>
  <si>
    <t>NATIONAL</t>
  </si>
  <si>
    <t>12 (7 - 23)</t>
  </si>
  <si>
    <t>Med</t>
  </si>
  <si>
    <t>LQ</t>
  </si>
  <si>
    <t>UQ</t>
  </si>
  <si>
    <t>Trust N</t>
  </si>
  <si>
    <t>NICE</t>
  </si>
  <si>
    <t>Med Symproc</t>
  </si>
  <si>
    <t>LQErrorBar</t>
  </si>
  <si>
    <t>UQErrorBar</t>
  </si>
  <si>
    <t>AAAMortVol</t>
  </si>
  <si>
    <t>AAAMort</t>
  </si>
  <si>
    <t>LQ Error Bar</t>
  </si>
  <si>
    <t>UQ Error Bar</t>
  </si>
  <si>
    <t>procedure_type</t>
  </si>
  <si>
    <t>procedures</t>
  </si>
  <si>
    <t>cea</t>
  </si>
  <si>
    <t>ul998</t>
  </si>
  <si>
    <t>National</t>
  </si>
  <si>
    <t>trust_code</t>
  </si>
  <si>
    <t>surv_num</t>
  </si>
  <si>
    <t>Stroke/Death 30</t>
  </si>
  <si>
    <t>Med AssProc</t>
  </si>
  <si>
    <t>LQ ErrorBar</t>
  </si>
  <si>
    <t>NAAASP</t>
  </si>
  <si>
    <t>Error</t>
  </si>
  <si>
    <t>RankN</t>
  </si>
  <si>
    <t>Derby Teaching Hospitals NHS Foundation Trust</t>
  </si>
  <si>
    <t>Adjusted in-hospital mortality (2015-2017)</t>
  </si>
  <si>
    <t>Plymouth Hospitals NHS Trust</t>
  </si>
  <si>
    <t>Colchester Hospital University NHS Foundation Trust</t>
  </si>
  <si>
    <t>Metric</t>
  </si>
  <si>
    <t>Report Year</t>
  </si>
  <si>
    <t>Trust</t>
  </si>
  <si>
    <t>Quartile</t>
  </si>
  <si>
    <t>Choose Graph</t>
  </si>
  <si>
    <t>RR1</t>
  </si>
  <si>
    <t>Heart of England NHS Foundation Trust</t>
  </si>
  <si>
    <t>Abertawe Bro Morgannwg University Health Board</t>
  </si>
  <si>
    <t>70 (37 - 119)</t>
  </si>
  <si>
    <t>LQ AssProc</t>
  </si>
  <si>
    <t>UQ AssProc</t>
  </si>
  <si>
    <t>aaa</t>
  </si>
  <si>
    <t>Mortality Rate</t>
  </si>
  <si>
    <t>elec_ir_surv_num</t>
  </si>
  <si>
    <t>Min</t>
  </si>
  <si>
    <t>Q1</t>
  </si>
  <si>
    <t>Median</t>
  </si>
  <si>
    <t>Q3</t>
  </si>
  <si>
    <t>Max</t>
  </si>
  <si>
    <t>Estimated cases</t>
  </si>
  <si>
    <t>NVR Comparable</t>
  </si>
  <si>
    <t>Case-ascert.</t>
  </si>
  <si>
    <t>UpdateCaseASc</t>
  </si>
  <si>
    <t>Date of Assessmet Quartile</t>
  </si>
  <si>
    <t>Anaesthetic Review Quartile</t>
  </si>
  <si>
    <t>Pre-op CT/MR Assessment Quartile</t>
  </si>
  <si>
    <t>MDT Quartile</t>
  </si>
  <si>
    <t>Betsi Cadwaladr University Local Health Board</t>
  </si>
  <si>
    <t>96 (50 - 121)</t>
  </si>
  <si>
    <t>Abertawe Bro Morgannwg University Local Health Board</t>
  </si>
  <si>
    <t>101 (54 - 169)</t>
  </si>
  <si>
    <t>9 (8 - 16)</t>
  </si>
  <si>
    <t>Cardiff and Vale University Local Health Board</t>
  </si>
  <si>
    <t>77 (40 - 119)</t>
  </si>
  <si>
    <t>Cwm Taf Local Health Board</t>
  </si>
  <si>
    <t>55 (36 - 77)</t>
  </si>
  <si>
    <t>7 (3 - 8)</t>
  </si>
  <si>
    <t>Aneurin Bevan Local Health Board</t>
  </si>
  <si>
    <t>81 (59 - 112)</t>
  </si>
  <si>
    <t>8 (8 - 9)</t>
  </si>
  <si>
    <t>55 (34 - 88)</t>
  </si>
  <si>
    <t>28 (1 - 85)</t>
  </si>
  <si>
    <t>39 (18 - 64)</t>
  </si>
  <si>
    <t>71 (40 - 114)</t>
  </si>
  <si>
    <t>82 (52 - 98)</t>
  </si>
  <si>
    <t>9 (9 - 10)</t>
  </si>
  <si>
    <t>68 (43 - 107)</t>
  </si>
  <si>
    <t>63 (35 - 106)</t>
  </si>
  <si>
    <t>58 (36 - 97)</t>
  </si>
  <si>
    <t>7 (4 - 8)</t>
  </si>
  <si>
    <t>70 (37 - 140)</t>
  </si>
  <si>
    <t>74 (43 - 149)</t>
  </si>
  <si>
    <t>50 (22 - 90)</t>
  </si>
  <si>
    <t>50 (30 - 84)</t>
  </si>
  <si>
    <t>74 (33 - 112)</t>
  </si>
  <si>
    <t>79 (56 - 123)</t>
  </si>
  <si>
    <t>69 (38 - 96)</t>
  </si>
  <si>
    <t>74 (37 - 114)</t>
  </si>
  <si>
    <t>56 (32 - 92)</t>
  </si>
  <si>
    <t>59 (43 - 77)</t>
  </si>
  <si>
    <t>7 (7 - 10)</t>
  </si>
  <si>
    <t>88 (66 - 139)</t>
  </si>
  <si>
    <t>7 (6 - 10)</t>
  </si>
  <si>
    <t>74 (41 - 115)</t>
  </si>
  <si>
    <t>10 (7 - 14)</t>
  </si>
  <si>
    <t>St George’s Healthcare NHS Foundation Trust</t>
  </si>
  <si>
    <t>43 (21 - 55)</t>
  </si>
  <si>
    <t>70 (33 - 118)</t>
  </si>
  <si>
    <t>96 (59 - 153)</t>
  </si>
  <si>
    <t>136 (59 - 217)</t>
  </si>
  <si>
    <t>6 (5 - 16)</t>
  </si>
  <si>
    <t>74 (56 - 94)</t>
  </si>
  <si>
    <t>73 (40 - 127)</t>
  </si>
  <si>
    <t>53 (40 - 111)</t>
  </si>
  <si>
    <t>19 (14 - 24)</t>
  </si>
  <si>
    <t>57 (36 - 92)</t>
  </si>
  <si>
    <t>RM2</t>
  </si>
  <si>
    <t>University Hospital of South Manchester NHS Foundation Trust</t>
  </si>
  <si>
    <t>63 (52 - 100)</t>
  </si>
  <si>
    <t>57 (32 - 97)</t>
  </si>
  <si>
    <t>84 (40 - 121)</t>
  </si>
  <si>
    <t>7 (7 - 9)</t>
  </si>
  <si>
    <t>5 (3 - 6)</t>
  </si>
  <si>
    <t>41 (33 - 92)</t>
  </si>
  <si>
    <t>72 (17 - 135)</t>
  </si>
  <si>
    <t>8 (6 - 12)</t>
  </si>
  <si>
    <t>62 (25 - 87)</t>
  </si>
  <si>
    <t>14 (5 - 22)</t>
  </si>
  <si>
    <t>123 (60 - 203)</t>
  </si>
  <si>
    <t>10 (7 - 11)</t>
  </si>
  <si>
    <t>121 (73 - 258)</t>
  </si>
  <si>
    <t>106 (27 - 176)</t>
  </si>
  <si>
    <t>77 (35 - 146)</t>
  </si>
  <si>
    <t>72 (44 - 120)</t>
  </si>
  <si>
    <t>98 (50 - 142)</t>
  </si>
  <si>
    <t>8 (7 - 11)</t>
  </si>
  <si>
    <t>76 (37 - 125)</t>
  </si>
  <si>
    <t>76 (33 - 106)</t>
  </si>
  <si>
    <t>67 (42 - 105)</t>
  </si>
  <si>
    <t>91 (43 - 159)</t>
  </si>
  <si>
    <t>83 (52 - 121)</t>
  </si>
  <si>
    <t>102 (48 - 146)</t>
  </si>
  <si>
    <t>63 (35 - 125)</t>
  </si>
  <si>
    <t>44 (33 - 50)</t>
  </si>
  <si>
    <t>5 (4 - 6)</t>
  </si>
  <si>
    <t>RW3</t>
  </si>
  <si>
    <t>Central Manchester University Hospitals NHS Foundation Trust</t>
  </si>
  <si>
    <t>77 (43 - 131)</t>
  </si>
  <si>
    <t>7 (7 - 8)</t>
  </si>
  <si>
    <t>72 (42 - 124)</t>
  </si>
  <si>
    <t>12 (10 - 25)</t>
  </si>
  <si>
    <t>10 (8 - 12)</t>
  </si>
  <si>
    <t>40 (30 - 97)</t>
  </si>
  <si>
    <t>56 (33 - 94)</t>
  </si>
  <si>
    <t>9 (7 - 13)</t>
  </si>
  <si>
    <t>58 (33 - 108)</t>
  </si>
  <si>
    <t>59 (26 - 105)</t>
  </si>
  <si>
    <t>5 (3 - 5)</t>
  </si>
  <si>
    <t>50 (30 - 90)</t>
  </si>
  <si>
    <t>9 (7 - 11)</t>
  </si>
  <si>
    <t>35 (21 - 50)</t>
  </si>
  <si>
    <t>59 (35 - 96)</t>
  </si>
  <si>
    <t>10 (7 - 13)</t>
  </si>
  <si>
    <t>142 (70 - 212)</t>
  </si>
  <si>
    <t>102 (56 - 159)</t>
  </si>
  <si>
    <t>111 (69 - 144)</t>
  </si>
  <si>
    <t>9 (7 - 9)</t>
  </si>
  <si>
    <t>53 (25 - 88)</t>
  </si>
  <si>
    <t>3 (1 - 4)</t>
  </si>
  <si>
    <t>54 (29 - 111)</t>
  </si>
  <si>
    <t>58 (27 - 124)</t>
  </si>
  <si>
    <t>113 (72 - 154)</t>
  </si>
  <si>
    <t>76 (43 - 122)</t>
  </si>
  <si>
    <t>9 (8 - 12)</t>
  </si>
  <si>
    <t>82 (68 - 137)</t>
  </si>
  <si>
    <t>11 (7 - 15)</t>
  </si>
  <si>
    <t>No Data</t>
  </si>
  <si>
    <t>70 (26 - 90)</t>
  </si>
  <si>
    <t>10 (9 - 23)</t>
  </si>
  <si>
    <t>71 (43 - 107)</t>
  </si>
  <si>
    <t>65 (21 - 129)</t>
  </si>
  <si>
    <t>16 (9 - 21)</t>
  </si>
  <si>
    <t>5 (4 - 7)</t>
  </si>
  <si>
    <t>75 (36 - 87)</t>
  </si>
  <si>
    <t>2 (2 - 12)</t>
  </si>
  <si>
    <t>87 (40 - 158)</t>
  </si>
  <si>
    <t>Rank</t>
  </si>
  <si>
    <t>GraphData</t>
  </si>
  <si>
    <t>123 (63 - 186)</t>
  </si>
  <si>
    <t>66 (38 - 91)</t>
  </si>
  <si>
    <t>121 (82 - 163)</t>
  </si>
  <si>
    <t>11 (7 - 14)</t>
  </si>
  <si>
    <t>68 (49 - 113)</t>
  </si>
  <si>
    <t>55 (41 - 113)</t>
  </si>
  <si>
    <t>92 (50 - 138)</t>
  </si>
  <si>
    <t>49 (28 - 111)</t>
  </si>
  <si>
    <t>108 (58 - 162)</t>
  </si>
  <si>
    <t>64 (33 - 99)</t>
  </si>
  <si>
    <t>6 (6 - 9)</t>
  </si>
  <si>
    <t>62 (37 - 81)</t>
  </si>
  <si>
    <t>116 (49 - 168)</t>
  </si>
  <si>
    <t>28 (14 - 54)</t>
  </si>
  <si>
    <t>77 (47 - 124)</t>
  </si>
  <si>
    <t>9 (7 - 12)</t>
  </si>
  <si>
    <t>95 (62 - 166)</t>
  </si>
  <si>
    <t>40 (31 - 65)</t>
  </si>
  <si>
    <t>61 (38 - 87)</t>
  </si>
  <si>
    <t>78 (41 - 113)</t>
  </si>
  <si>
    <t>76 (49 - 109)</t>
  </si>
  <si>
    <t>54 (36 - 105)</t>
  </si>
  <si>
    <t>13 (10 - 20)</t>
  </si>
  <si>
    <t>58 (28 - 98)</t>
  </si>
  <si>
    <t>8 (8 - 15)</t>
  </si>
  <si>
    <t>71 (28 - 128)</t>
  </si>
  <si>
    <t>9 (7 - 17)</t>
  </si>
  <si>
    <t>45 (23 - 83)</t>
  </si>
  <si>
    <t>48 (35 - 71)</t>
  </si>
  <si>
    <t>57 (34 - 92)</t>
  </si>
  <si>
    <t>57 (25 - 96)</t>
  </si>
  <si>
    <t>58 (32 - 96)</t>
  </si>
  <si>
    <t>80 (38 - 138)</t>
  </si>
  <si>
    <t>82 (57 - 122)</t>
  </si>
  <si>
    <t>84 (46 - 137)</t>
  </si>
  <si>
    <t>4 (4 - 5)</t>
  </si>
  <si>
    <t>41 (19 - 102)</t>
  </si>
  <si>
    <t>84 (36 - 143)</t>
  </si>
  <si>
    <t>82 (59 - 139)</t>
  </si>
  <si>
    <t>35 (19 - 71)</t>
  </si>
  <si>
    <t>74 (44 - 119)</t>
  </si>
  <si>
    <t>81 (37 - 104)</t>
  </si>
  <si>
    <t>149 (86 - 185)</t>
  </si>
  <si>
    <t>12 (7 - 15)</t>
  </si>
  <si>
    <t>49 (34 - 106)</t>
  </si>
  <si>
    <t>7 (7 - 13)</t>
  </si>
  <si>
    <t>98 (77 - 181)</t>
  </si>
  <si>
    <t>79 (50 - 102)</t>
  </si>
  <si>
    <t>61 (29 - 119)</t>
  </si>
  <si>
    <t>56 (40 - 100)</t>
  </si>
  <si>
    <t>71 (39 - 107)</t>
  </si>
  <si>
    <t>81 (41 - 129)</t>
  </si>
  <si>
    <t>66 (29 - 95)</t>
  </si>
  <si>
    <t>120 (103 - 134)</t>
  </si>
  <si>
    <t>15 (9 - 20)</t>
  </si>
  <si>
    <t>52 (31 - 111)</t>
  </si>
  <si>
    <t>56 (36 - 99)</t>
  </si>
  <si>
    <t>74 (53 - 104)</t>
  </si>
  <si>
    <t>8 (4 - 9)</t>
  </si>
  <si>
    <t>54 (33 - 115)</t>
  </si>
  <si>
    <t>66 (48 - 117)</t>
  </si>
  <si>
    <t>10 (9 - 10)</t>
  </si>
  <si>
    <t>77 (42 - 140)</t>
  </si>
  <si>
    <t>72 (42 - 119)</t>
  </si>
  <si>
    <t>61 (32 - 83)</t>
  </si>
  <si>
    <t>6 (5 - 12)</t>
  </si>
  <si>
    <t>76 (53 - 107)</t>
  </si>
  <si>
    <t>77 (52 - 135)</t>
  </si>
  <si>
    <t>93 (56 - 147)</t>
  </si>
  <si>
    <t>77 (48 - 165)</t>
  </si>
  <si>
    <t>12 (9 - 13)</t>
  </si>
  <si>
    <t>64 (36 - 120)</t>
  </si>
  <si>
    <t>129 (56 - 250)</t>
  </si>
  <si>
    <t>146 (73 - 196)</t>
  </si>
  <si>
    <t>8 (7 - 14)</t>
  </si>
  <si>
    <t>86 (45 - 138)</t>
  </si>
  <si>
    <t>48 (30 - 106)</t>
  </si>
  <si>
    <t>65 (36 - 118)</t>
  </si>
  <si>
    <t>90 (43 - 133)</t>
  </si>
  <si>
    <t>8 (8 - 22)</t>
  </si>
  <si>
    <t>30 (13 - 63)</t>
  </si>
  <si>
    <t>69 (34 - 92)</t>
  </si>
  <si>
    <t>54 (36 - 88)</t>
  </si>
  <si>
    <t>46 (36 - 64)</t>
  </si>
  <si>
    <t>47 (34 - 73)</t>
  </si>
  <si>
    <t>78 (35 - 121)</t>
  </si>
  <si>
    <t>72 (46 - 105)</t>
  </si>
  <si>
    <t>6 (5 - 13)</t>
  </si>
  <si>
    <t>75 (47 - 125)</t>
  </si>
  <si>
    <t>66 (44 - 98)</t>
  </si>
  <si>
    <t>64 (35 - 118)</t>
  </si>
  <si>
    <t>57 (33 - 86)</t>
  </si>
  <si>
    <t>50 (27 - 97)</t>
  </si>
  <si>
    <t>61 (34 - 101)</t>
  </si>
  <si>
    <t>Standard</t>
  </si>
  <si>
    <t>LQ Error</t>
  </si>
  <si>
    <t>UQ Error</t>
  </si>
  <si>
    <t>Med AdmProc</t>
  </si>
  <si>
    <t>CEAMortVol</t>
  </si>
  <si>
    <t>Readmission within 30 days</t>
  </si>
  <si>
    <t>4 (4 - 15)</t>
  </si>
  <si>
    <t>byp</t>
  </si>
  <si>
    <t>Day Cases</t>
  </si>
  <si>
    <t>Procedure Successful</t>
  </si>
  <si>
    <t>Angioplasties on a planned list</t>
  </si>
  <si>
    <t>ang</t>
  </si>
  <si>
    <t>8 (3 - 26)</t>
  </si>
  <si>
    <t>amp</t>
  </si>
  <si>
    <t>Consultant present in theatre quartile</t>
  </si>
  <si>
    <t>Prophylactic antibiotics quartile</t>
  </si>
  <si>
    <t>AKA:BKA Lower CI</t>
  </si>
  <si>
    <t>AKA:BKA Upper CI</t>
  </si>
  <si>
    <t>AKA:BKA Lower ErrorBar</t>
  </si>
  <si>
    <t>AKA:BKA Upper ErrorBar</t>
  </si>
  <si>
    <t>Med Assessment to amputation</t>
  </si>
  <si>
    <t>LQ Assessment to amputation</t>
  </si>
  <si>
    <t>UQ Assessment to amputation</t>
  </si>
  <si>
    <t>GraphData2</t>
  </si>
  <si>
    <t>Rank2</t>
  </si>
  <si>
    <t>Rank1</t>
  </si>
  <si>
    <t>GraphData1</t>
  </si>
  <si>
    <t>Assessment to amputation rank</t>
  </si>
  <si>
    <t>Graph L ErrorBar</t>
  </si>
  <si>
    <t>Graph U ErrorBar</t>
  </si>
  <si>
    <t>LQ Error Assessment to amputation</t>
  </si>
  <si>
    <t>UQ Error Assessment to amputation</t>
  </si>
  <si>
    <t>AKA:BKA *100</t>
  </si>
  <si>
    <t>Planned List CI_L</t>
  </si>
  <si>
    <t>Planned List Error CI_U</t>
  </si>
  <si>
    <t>Day Cases CI_L</t>
  </si>
  <si>
    <t>Day Cases Error CI_U</t>
  </si>
  <si>
    <t>Procedure Successful CI_L</t>
  </si>
  <si>
    <t>Planned List ErrorBar_L</t>
  </si>
  <si>
    <t>Planned List Error ErrorBar_U</t>
  </si>
  <si>
    <t>Day Cases ErrorBar_L</t>
  </si>
  <si>
    <t>Day Cases Error ErrorBar_U</t>
  </si>
  <si>
    <t>Procedure Successful ErrorBar_L</t>
  </si>
  <si>
    <t>Procedure Successful Error ErrorBar_U</t>
  </si>
  <si>
    <t>Procedure Successful CI_U</t>
  </si>
  <si>
    <t>%</t>
  </si>
  <si>
    <t>ErrorBar_U</t>
  </si>
  <si>
    <t>ErrorBar_L</t>
  </si>
  <si>
    <t>Readmission within  30 days</t>
  </si>
  <si>
    <t>Graph Data2</t>
  </si>
  <si>
    <t>ll998</t>
  </si>
  <si>
    <t>Case Asc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</si>
</sst>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.0"/>
    <numFmt numFmtId="166" formatCode="0.000%"/>
    <numFmt numFmtId="167" formatCode="0.0000%"/>
  </numFmts>
  <fonts count="16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 style="medium">
        <color theme="4" tint="0.59996337778862885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/>
    <xf numFmtId="0" fontId="3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9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/>
    <xf numFmtId="164" fontId="3" fillId="0" borderId="1" xfId="1" applyNumberFormat="1" applyFont="1" applyBorder="1" applyAlignment="1">
      <alignment horizontal="right" vertical="center" wrapText="1"/>
    </xf>
    <xf numFmtId="164" fontId="0" fillId="0" borderId="0" xfId="1" applyNumberFormat="1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1" fontId="5" fillId="0" borderId="0" xfId="0" applyNumberFormat="1" applyFont="1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164" fontId="2" fillId="0" borderId="0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2" fillId="0" borderId="0" xfId="0" applyFont="1" applyBorder="1" applyAlignment="1">
      <alignment horizontal="left" vertical="center"/>
    </xf>
    <xf numFmtId="0" fontId="0" fillId="0" borderId="0" xfId="0" applyNumberFormat="1"/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2" borderId="0" xfId="0" applyFont="1" applyFill="1"/>
    <xf numFmtId="0" fontId="7" fillId="3" borderId="0" xfId="0" applyFont="1" applyFill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9" fontId="0" fillId="0" borderId="2" xfId="0" applyNumberFormat="1" applyBorder="1"/>
    <xf numFmtId="164" fontId="0" fillId="0" borderId="2" xfId="0" applyNumberFormat="1" applyBorder="1"/>
    <xf numFmtId="0" fontId="9" fillId="0" borderId="0" xfId="0" applyFont="1"/>
    <xf numFmtId="0" fontId="11" fillId="0" borderId="0" xfId="0" applyFont="1" applyBorder="1"/>
    <xf numFmtId="0" fontId="11" fillId="0" borderId="0" xfId="0" applyFont="1"/>
    <xf numFmtId="0" fontId="7" fillId="2" borderId="0" xfId="0" applyFont="1" applyFill="1"/>
    <xf numFmtId="165" fontId="0" fillId="0" borderId="0" xfId="0" applyNumberFormat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9" fontId="13" fillId="0" borderId="0" xfId="0" applyNumberFormat="1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9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9" fontId="0" fillId="0" borderId="0" xfId="0" applyNumberFormat="1"/>
    <xf numFmtId="0" fontId="1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0" fontId="0" fillId="0" borderId="0" xfId="0" applyNumberFormat="1"/>
    <xf numFmtId="0" fontId="1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0" fontId="1" fillId="4" borderId="2" xfId="0" applyFont="1" applyFill="1" applyBorder="1"/>
    <xf numFmtId="9" fontId="0" fillId="4" borderId="2" xfId="0" applyNumberFormat="1" applyFill="1" applyBorder="1"/>
    <xf numFmtId="0" fontId="0" fillId="4" borderId="2" xfId="0" applyNumberFormat="1" applyFill="1" applyBorder="1"/>
    <xf numFmtId="0" fontId="1" fillId="5" borderId="2" xfId="0" applyFont="1" applyFill="1" applyBorder="1"/>
    <xf numFmtId="9" fontId="0" fillId="5" borderId="2" xfId="0" applyNumberFormat="1" applyFill="1" applyBorder="1"/>
    <xf numFmtId="0" fontId="0" fillId="5" borderId="2" xfId="0" applyNumberFormat="1" applyFill="1" applyBorder="1"/>
    <xf numFmtId="0" fontId="1" fillId="6" borderId="2" xfId="0" applyFont="1" applyFill="1" applyBorder="1"/>
    <xf numFmtId="9" fontId="0" fillId="6" borderId="2" xfId="0" applyNumberFormat="1" applyFill="1" applyBorder="1"/>
    <xf numFmtId="0" fontId="0" fillId="6" borderId="2" xfId="0" applyNumberFormat="1" applyFill="1" applyBorder="1"/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164" fontId="0" fillId="0" borderId="2" xfId="0" applyNumberFormat="1" applyBorder="1" applyAlignment="1">
      <alignment horizontal="right"/>
    </xf>
    <xf numFmtId="3" fontId="0" fillId="0" borderId="2" xfId="0" applyNumberFormat="1" applyBorder="1"/>
    <xf numFmtId="3" fontId="0" fillId="0" borderId="2" xfId="0" applyNumberFormat="1" applyBorder="1" applyAlignment="1">
      <alignment horizontal="right"/>
    </xf>
    <xf numFmtId="9" fontId="0" fillId="0" borderId="2" xfId="0" applyNumberFormat="1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2" fontId="0" fillId="0" borderId="2" xfId="0" applyNumberFormat="1" applyBorder="1" applyAlignment="1">
      <alignment horizontal="right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/>
    <xf numFmtId="1" fontId="5" fillId="0" borderId="0" xfId="0" applyNumberFormat="1" applyFont="1" applyFill="1"/>
    <xf numFmtId="9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/>
    <xf numFmtId="0" fontId="0" fillId="0" borderId="0" xfId="0" applyNumberFormat="1" applyFill="1"/>
    <xf numFmtId="164" fontId="5" fillId="0" borderId="0" xfId="0" applyNumberFormat="1" applyFont="1" applyFill="1"/>
    <xf numFmtId="0" fontId="2" fillId="0" borderId="0" xfId="0" applyFont="1" applyFill="1" applyAlignment="1">
      <alignment vertical="center"/>
    </xf>
    <xf numFmtId="166" fontId="0" fillId="0" borderId="0" xfId="0" applyNumberFormat="1"/>
    <xf numFmtId="167" fontId="0" fillId="0" borderId="0" xfId="0" applyNumberFormat="1"/>
    <xf numFmtId="0" fontId="14" fillId="0" borderId="0" xfId="0" applyFont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NumberFormat="1" applyFont="1"/>
    <xf numFmtId="0" fontId="11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NumberFormat="1" applyFont="1" applyBorder="1"/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5" fillId="0" borderId="0" xfId="0" applyFont="1"/>
    <xf numFmtId="9" fontId="11" fillId="0" borderId="0" xfId="0" applyNumberFormat="1" applyFont="1"/>
    <xf numFmtId="0" fontId="1" fillId="8" borderId="2" xfId="0" applyFont="1" applyFill="1" applyBorder="1"/>
    <xf numFmtId="9" fontId="0" fillId="8" borderId="2" xfId="0" applyNumberFormat="1" applyFill="1" applyBorder="1"/>
    <xf numFmtId="0" fontId="0" fillId="8" borderId="2" xfId="0" applyNumberFormat="1" applyFill="1" applyBorder="1"/>
    <xf numFmtId="0" fontId="1" fillId="9" borderId="2" xfId="0" applyFont="1" applyFill="1" applyBorder="1"/>
    <xf numFmtId="9" fontId="0" fillId="9" borderId="2" xfId="0" applyNumberFormat="1" applyFill="1" applyBorder="1"/>
    <xf numFmtId="0" fontId="0" fillId="9" borderId="2" xfId="0" applyNumberFormat="1" applyFill="1" applyBorder="1"/>
    <xf numFmtId="0" fontId="8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Median delay from assessment to AAA (days)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Assessment to AAA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'AAA Summary'!$AK$2:$AK$76</c:f>
                <c:numCache>
                  <c:formatCode>General</c:formatCode>
                  <c:ptCount val="75"/>
                  <c:pt idx="0">
                    <c:v>27</c:v>
                  </c:pt>
                  <c:pt idx="1">
                    <c:v>45</c:v>
                  </c:pt>
                  <c:pt idx="2">
                    <c:v>48</c:v>
                  </c:pt>
                  <c:pt idx="3">
                    <c:v>33</c:v>
                  </c:pt>
                  <c:pt idx="4">
                    <c:v>17</c:v>
                  </c:pt>
                  <c:pt idx="5">
                    <c:v>25</c:v>
                  </c:pt>
                  <c:pt idx="6">
                    <c:v>46</c:v>
                  </c:pt>
                  <c:pt idx="7">
                    <c:v>13</c:v>
                  </c:pt>
                  <c:pt idx="8">
                    <c:v>38</c:v>
                  </c:pt>
                  <c:pt idx="9">
                    <c:v>32</c:v>
                  </c:pt>
                  <c:pt idx="10">
                    <c:v>44</c:v>
                  </c:pt>
                  <c:pt idx="11">
                    <c:v>30</c:v>
                  </c:pt>
                  <c:pt idx="12">
                    <c:v>37</c:v>
                  </c:pt>
                  <c:pt idx="13">
                    <c:v>35</c:v>
                  </c:pt>
                  <c:pt idx="14">
                    <c:v>34</c:v>
                  </c:pt>
                  <c:pt idx="15">
                    <c:v>29</c:v>
                  </c:pt>
                  <c:pt idx="16">
                    <c:v>41</c:v>
                  </c:pt>
                  <c:pt idx="17">
                    <c:v>66</c:v>
                  </c:pt>
                  <c:pt idx="18">
                    <c:v>15</c:v>
                  </c:pt>
                  <c:pt idx="19">
                    <c:v>14</c:v>
                  </c:pt>
                  <c:pt idx="20">
                    <c:v>42</c:v>
                  </c:pt>
                  <c:pt idx="21">
                    <c:v>24</c:v>
                  </c:pt>
                  <c:pt idx="22">
                    <c:v>24</c:v>
                  </c:pt>
                  <c:pt idx="23">
                    <c:v>42</c:v>
                  </c:pt>
                  <c:pt idx="24">
                    <c:v>40</c:v>
                  </c:pt>
                  <c:pt idx="25">
                    <c:v>74</c:v>
                  </c:pt>
                  <c:pt idx="26">
                    <c:v>59</c:v>
                  </c:pt>
                  <c:pt idx="27">
                    <c:v>29</c:v>
                  </c:pt>
                  <c:pt idx="28">
                    <c:v>42</c:v>
                  </c:pt>
                  <c:pt idx="29">
                    <c:v>56</c:v>
                  </c:pt>
                  <c:pt idx="30">
                    <c:v>11</c:v>
                  </c:pt>
                  <c:pt idx="31">
                    <c:v>33</c:v>
                  </c:pt>
                  <c:pt idx="32">
                    <c:v>62</c:v>
                  </c:pt>
                  <c:pt idx="33">
                    <c:v>62</c:v>
                  </c:pt>
                  <c:pt idx="34">
                    <c:v>43</c:v>
                  </c:pt>
                  <c:pt idx="35">
                    <c:v>64</c:v>
                  </c:pt>
                  <c:pt idx="36">
                    <c:v>46</c:v>
                  </c:pt>
                  <c:pt idx="37">
                    <c:v>40</c:v>
                  </c:pt>
                  <c:pt idx="38">
                    <c:v>42</c:v>
                  </c:pt>
                  <c:pt idx="39">
                    <c:v>45</c:v>
                  </c:pt>
                  <c:pt idx="40">
                    <c:v>64</c:v>
                  </c:pt>
                  <c:pt idx="41">
                    <c:v>69</c:v>
                  </c:pt>
                  <c:pt idx="42">
                    <c:v>84</c:v>
                  </c:pt>
                  <c:pt idx="43">
                    <c:v>56</c:v>
                  </c:pt>
                  <c:pt idx="44">
                    <c:v>26</c:v>
                  </c:pt>
                  <c:pt idx="45">
                    <c:v>148</c:v>
                  </c:pt>
                  <c:pt idx="46">
                    <c:v>24</c:v>
                  </c:pt>
                  <c:pt idx="47">
                    <c:v>69</c:v>
                  </c:pt>
                  <c:pt idx="48">
                    <c:v>34</c:v>
                  </c:pt>
                  <c:pt idx="49">
                    <c:v>55</c:v>
                  </c:pt>
                  <c:pt idx="50">
                    <c:v>45</c:v>
                  </c:pt>
                  <c:pt idx="51">
                    <c:v>51</c:v>
                  </c:pt>
                  <c:pt idx="52">
                    <c:v>23</c:v>
                  </c:pt>
                  <c:pt idx="53">
                    <c:v>46</c:v>
                  </c:pt>
                  <c:pt idx="54">
                    <c:v>37</c:v>
                  </c:pt>
                  <c:pt idx="55">
                    <c:v>44</c:v>
                  </c:pt>
                  <c:pt idx="56">
                    <c:v>35</c:v>
                  </c:pt>
                  <c:pt idx="57">
                    <c:v>48</c:v>
                  </c:pt>
                  <c:pt idx="58">
                    <c:v>37</c:v>
                  </c:pt>
                  <c:pt idx="59">
                    <c:v>48</c:v>
                  </c:pt>
                  <c:pt idx="60">
                    <c:v>63</c:v>
                  </c:pt>
                  <c:pt idx="61">
                    <c:v>84</c:v>
                  </c:pt>
                  <c:pt idx="62">
                    <c:v>55</c:v>
                  </c:pt>
                  <c:pt idx="63">
                    <c:v>59</c:v>
                  </c:pt>
                  <c:pt idx="64">
                    <c:v>65</c:v>
                  </c:pt>
                  <c:pt idx="65">
                    <c:v>18</c:v>
                  </c:pt>
                  <c:pt idx="66">
                    <c:v>40</c:v>
                  </c:pt>
                  <c:pt idx="67">
                    <c:v>49</c:v>
                  </c:pt>
                  <c:pt idx="68">
                    <c:v>58</c:v>
                  </c:pt>
                  <c:pt idx="69">
                    <c:v>50</c:v>
                  </c:pt>
                  <c:pt idx="70">
                    <c:v>62</c:v>
                  </c:pt>
                  <c:pt idx="71">
                    <c:v>41</c:v>
                  </c:pt>
                  <c:pt idx="72">
                    <c:v>34</c:v>
                  </c:pt>
                  <c:pt idx="73">
                    <c:v>77</c:v>
                  </c:pt>
                  <c:pt idx="74">
                    <c:v>86</c:v>
                  </c:pt>
                </c:numCache>
              </c:numRef>
            </c:plus>
            <c:minus>
              <c:numRef>
                <c:f>'AAA Summary'!$AI$2:$AI$77</c:f>
                <c:numCache>
                  <c:formatCode>General</c:formatCode>
                  <c:ptCount val="76"/>
                  <c:pt idx="0">
                    <c:v>10</c:v>
                  </c:pt>
                  <c:pt idx="1">
                    <c:v>7</c:v>
                  </c:pt>
                  <c:pt idx="2">
                    <c:v>16</c:v>
                  </c:pt>
                  <c:pt idx="3">
                    <c:v>14</c:v>
                  </c:pt>
                  <c:pt idx="4">
                    <c:v>14</c:v>
                  </c:pt>
                  <c:pt idx="5">
                    <c:v>0</c:v>
                  </c:pt>
                  <c:pt idx="6">
                    <c:v>24</c:v>
                  </c:pt>
                  <c:pt idx="7">
                    <c:v>20</c:v>
                  </c:pt>
                  <c:pt idx="8">
                    <c:v>16</c:v>
                  </c:pt>
                  <c:pt idx="9">
                    <c:v>20</c:v>
                  </c:pt>
                  <c:pt idx="10">
                    <c:v>25</c:v>
                  </c:pt>
                  <c:pt idx="11">
                    <c:v>32</c:v>
                  </c:pt>
                  <c:pt idx="12">
                    <c:v>23</c:v>
                  </c:pt>
                  <c:pt idx="13">
                    <c:v>20</c:v>
                  </c:pt>
                  <c:pt idx="14">
                    <c:v>19</c:v>
                  </c:pt>
                  <c:pt idx="15">
                    <c:v>19</c:v>
                  </c:pt>
                  <c:pt idx="16">
                    <c:v>19</c:v>
                  </c:pt>
                  <c:pt idx="17">
                    <c:v>22</c:v>
                  </c:pt>
                  <c:pt idx="18">
                    <c:v>20</c:v>
                  </c:pt>
                  <c:pt idx="19">
                    <c:v>19</c:v>
                  </c:pt>
                  <c:pt idx="20">
                    <c:v>33</c:v>
                  </c:pt>
                  <c:pt idx="21">
                    <c:v>24</c:v>
                  </c:pt>
                  <c:pt idx="22">
                    <c:v>19</c:v>
                  </c:pt>
                  <c:pt idx="23">
                    <c:v>18</c:v>
                  </c:pt>
                  <c:pt idx="24">
                    <c:v>17</c:v>
                  </c:pt>
                  <c:pt idx="25">
                    <c:v>38</c:v>
                  </c:pt>
                  <c:pt idx="26">
                    <c:v>13</c:v>
                  </c:pt>
                  <c:pt idx="27">
                    <c:v>26</c:v>
                  </c:pt>
                  <c:pt idx="28">
                    <c:v>26</c:v>
                  </c:pt>
                  <c:pt idx="29">
                    <c:v>24</c:v>
                  </c:pt>
                  <c:pt idx="30">
                    <c:v>23</c:v>
                  </c:pt>
                  <c:pt idx="31">
                    <c:v>39</c:v>
                  </c:pt>
                  <c:pt idx="32">
                    <c:v>33</c:v>
                  </c:pt>
                  <c:pt idx="33">
                    <c:v>29</c:v>
                  </c:pt>
                  <c:pt idx="34">
                    <c:v>34</c:v>
                  </c:pt>
                  <c:pt idx="35">
                    <c:v>32</c:v>
                  </c:pt>
                  <c:pt idx="36">
                    <c:v>38</c:v>
                  </c:pt>
                  <c:pt idx="37">
                    <c:v>28</c:v>
                  </c:pt>
                  <c:pt idx="38">
                    <c:v>38</c:v>
                  </c:pt>
                  <c:pt idx="39">
                    <c:v>40</c:v>
                  </c:pt>
                  <c:pt idx="40">
                    <c:v>33</c:v>
                  </c:pt>
                  <c:pt idx="41">
                    <c:v>28</c:v>
                  </c:pt>
                  <c:pt idx="42">
                    <c:v>28</c:v>
                  </c:pt>
                  <c:pt idx="43">
                    <c:v>22</c:v>
                  </c:pt>
                  <c:pt idx="44">
                    <c:v>31</c:v>
                  </c:pt>
                  <c:pt idx="45">
                    <c:v>65</c:v>
                  </c:pt>
                  <c:pt idx="46">
                    <c:v>34</c:v>
                  </c:pt>
                  <c:pt idx="47">
                    <c:v>21</c:v>
                  </c:pt>
                  <c:pt idx="48">
                    <c:v>35</c:v>
                  </c:pt>
                  <c:pt idx="49">
                    <c:v>35</c:v>
                  </c:pt>
                  <c:pt idx="50">
                    <c:v>43</c:v>
                  </c:pt>
                  <c:pt idx="51">
                    <c:v>33</c:v>
                  </c:pt>
                  <c:pt idx="52">
                    <c:v>39</c:v>
                  </c:pt>
                  <c:pt idx="53">
                    <c:v>33</c:v>
                  </c:pt>
                  <c:pt idx="54">
                    <c:v>53</c:v>
                  </c:pt>
                  <c:pt idx="55">
                    <c:v>48</c:v>
                  </c:pt>
                  <c:pt idx="56">
                    <c:v>46</c:v>
                  </c:pt>
                  <c:pt idx="57">
                    <c:v>27</c:v>
                  </c:pt>
                  <c:pt idx="58">
                    <c:v>26</c:v>
                  </c:pt>
                  <c:pt idx="59">
                    <c:v>44</c:v>
                  </c:pt>
                  <c:pt idx="60">
                    <c:v>24</c:v>
                  </c:pt>
                  <c:pt idx="61">
                    <c:v>40</c:v>
                  </c:pt>
                  <c:pt idx="62">
                    <c:v>24</c:v>
                  </c:pt>
                  <c:pt idx="63">
                    <c:v>39</c:v>
                  </c:pt>
                  <c:pt idx="64">
                    <c:v>51</c:v>
                  </c:pt>
                  <c:pt idx="65">
                    <c:v>35</c:v>
                  </c:pt>
                  <c:pt idx="66">
                    <c:v>37</c:v>
                  </c:pt>
                  <c:pt idx="67">
                    <c:v>35</c:v>
                  </c:pt>
                  <c:pt idx="68">
                    <c:v>47</c:v>
                  </c:pt>
                  <c:pt idx="69">
                    <c:v>76</c:v>
                  </c:pt>
                  <c:pt idx="70">
                    <c:v>42</c:v>
                  </c:pt>
                  <c:pt idx="71">
                    <c:v>54</c:v>
                  </c:pt>
                  <c:pt idx="72">
                    <c:v>59</c:v>
                  </c:pt>
                  <c:pt idx="73">
                    <c:v>45</c:v>
                  </c:pt>
                  <c:pt idx="74">
                    <c:v>56</c:v>
                  </c:pt>
                  <c:pt idx="75">
                    <c:v>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'AAA Summary'!$AE$2:$AE$77</c:f>
              <c:strCache>
                <c:ptCount val="76"/>
                <c:pt idx="0">
                  <c:v>RT3</c:v>
                </c:pt>
                <c:pt idx="1">
                  <c:v>SV999</c:v>
                </c:pt>
                <c:pt idx="2">
                  <c:v>RTE</c:v>
                </c:pt>
                <c:pt idx="3">
                  <c:v>RVJ</c:v>
                </c:pt>
                <c:pt idx="4">
                  <c:v>RXR</c:v>
                </c:pt>
                <c:pt idx="5">
                  <c:v>ST999</c:v>
                </c:pt>
                <c:pt idx="6">
                  <c:v>RM1</c:v>
                </c:pt>
                <c:pt idx="7">
                  <c:v>RWY</c:v>
                </c:pt>
                <c:pt idx="8">
                  <c:v>RNL</c:v>
                </c:pt>
                <c:pt idx="9">
                  <c:v>RLN</c:v>
                </c:pt>
                <c:pt idx="10">
                  <c:v>SG999</c:v>
                </c:pt>
                <c:pt idx="11">
                  <c:v>RAE</c:v>
                </c:pt>
                <c:pt idx="12">
                  <c:v>RDU</c:v>
                </c:pt>
                <c:pt idx="13">
                  <c:v>RTG</c:v>
                </c:pt>
                <c:pt idx="14">
                  <c:v>RA9</c:v>
                </c:pt>
                <c:pt idx="15">
                  <c:v>RVV</c:v>
                </c:pt>
                <c:pt idx="16">
                  <c:v>RW6</c:v>
                </c:pt>
                <c:pt idx="17">
                  <c:v>RTD</c:v>
                </c:pt>
                <c:pt idx="18">
                  <c:v>SH999</c:v>
                </c:pt>
                <c:pt idx="19">
                  <c:v>7A5</c:v>
                </c:pt>
                <c:pt idx="20">
                  <c:v>RJ7</c:v>
                </c:pt>
                <c:pt idx="21">
                  <c:v>RPA</c:v>
                </c:pt>
                <c:pt idx="22">
                  <c:v>RNS</c:v>
                </c:pt>
                <c:pt idx="23">
                  <c:v>RCB</c:v>
                </c:pt>
                <c:pt idx="24">
                  <c:v>RR8</c:v>
                </c:pt>
                <c:pt idx="25">
                  <c:v>RWG</c:v>
                </c:pt>
                <c:pt idx="26">
                  <c:v>RYJ</c:v>
                </c:pt>
                <c:pt idx="27">
                  <c:v>RNA</c:v>
                </c:pt>
                <c:pt idx="28">
                  <c:v>R1K</c:v>
                </c:pt>
                <c:pt idx="29">
                  <c:v>RWP</c:v>
                </c:pt>
                <c:pt idx="30">
                  <c:v>RWD</c:v>
                </c:pt>
                <c:pt idx="31">
                  <c:v>RC1</c:v>
                </c:pt>
                <c:pt idx="32">
                  <c:v>RK9</c:v>
                </c:pt>
                <c:pt idx="33">
                  <c:v>RTR</c:v>
                </c:pt>
                <c:pt idx="34">
                  <c:v>RRK</c:v>
                </c:pt>
                <c:pt idx="35">
                  <c:v>R0A</c:v>
                </c:pt>
                <c:pt idx="36">
                  <c:v>RJE</c:v>
                </c:pt>
                <c:pt idx="37">
                  <c:v>RH8</c:v>
                </c:pt>
                <c:pt idx="38">
                  <c:v>RDE</c:v>
                </c:pt>
                <c:pt idx="39">
                  <c:v>RXW</c:v>
                </c:pt>
                <c:pt idx="40">
                  <c:v>SL999</c:v>
                </c:pt>
                <c:pt idx="41">
                  <c:v>RWE</c:v>
                </c:pt>
                <c:pt idx="42">
                  <c:v>RGT</c:v>
                </c:pt>
                <c:pt idx="43">
                  <c:v>RBA</c:v>
                </c:pt>
                <c:pt idx="44">
                  <c:v>RWH</c:v>
                </c:pt>
                <c:pt idx="45">
                  <c:v>RJZ</c:v>
                </c:pt>
                <c:pt idx="46">
                  <c:v>SS999</c:v>
                </c:pt>
                <c:pt idx="47">
                  <c:v>R1H</c:v>
                </c:pt>
                <c:pt idx="48">
                  <c:v>RHM</c:v>
                </c:pt>
                <c:pt idx="49">
                  <c:v>7A6</c:v>
                </c:pt>
                <c:pt idx="50">
                  <c:v>RTH</c:v>
                </c:pt>
                <c:pt idx="51">
                  <c:v>RWA</c:v>
                </c:pt>
                <c:pt idx="52">
                  <c:v>RF4</c:v>
                </c:pt>
                <c:pt idx="53">
                  <c:v>SN999</c:v>
                </c:pt>
                <c:pt idx="54">
                  <c:v>RAL</c:v>
                </c:pt>
                <c:pt idx="55">
                  <c:v>RJR</c:v>
                </c:pt>
                <c:pt idx="56">
                  <c:v>RP5</c:v>
                </c:pt>
                <c:pt idx="57">
                  <c:v>RXN</c:v>
                </c:pt>
                <c:pt idx="58">
                  <c:v>RKB</c:v>
                </c:pt>
                <c:pt idx="59">
                  <c:v>7A1</c:v>
                </c:pt>
                <c:pt idx="60">
                  <c:v>RDD</c:v>
                </c:pt>
                <c:pt idx="61">
                  <c:v>RJ1</c:v>
                </c:pt>
                <c:pt idx="62">
                  <c:v>RAJ</c:v>
                </c:pt>
                <c:pt idx="63">
                  <c:v>7A3</c:v>
                </c:pt>
                <c:pt idx="64">
                  <c:v>RXH</c:v>
                </c:pt>
                <c:pt idx="65">
                  <c:v>RX1</c:v>
                </c:pt>
                <c:pt idx="66">
                  <c:v>RQW</c:v>
                </c:pt>
                <c:pt idx="67">
                  <c:v>RTK</c:v>
                </c:pt>
                <c:pt idx="68">
                  <c:v>RDZ</c:v>
                </c:pt>
                <c:pt idx="69">
                  <c:v>7A4</c:v>
                </c:pt>
                <c:pt idx="70">
                  <c:v>ZT001</c:v>
                </c:pt>
                <c:pt idx="71">
                  <c:v>REF</c:v>
                </c:pt>
                <c:pt idx="72">
                  <c:v>RHQ</c:v>
                </c:pt>
                <c:pt idx="73">
                  <c:v>RQ8</c:v>
                </c:pt>
                <c:pt idx="74">
                  <c:v>RQ6</c:v>
                </c:pt>
                <c:pt idx="75">
                  <c:v>SA999</c:v>
                </c:pt>
              </c:strCache>
            </c:strRef>
          </c:cat>
          <c:val>
            <c:numRef>
              <c:f>'AAA Summary'!$AG$2:$AG$76</c:f>
              <c:numCache>
                <c:formatCode>General</c:formatCode>
                <c:ptCount val="75"/>
                <c:pt idx="0">
                  <c:v>25</c:v>
                </c:pt>
                <c:pt idx="1">
                  <c:v>31</c:v>
                </c:pt>
                <c:pt idx="2">
                  <c:v>40</c:v>
                </c:pt>
                <c:pt idx="3">
                  <c:v>41</c:v>
                </c:pt>
                <c:pt idx="4">
                  <c:v>45</c:v>
                </c:pt>
                <c:pt idx="5">
                  <c:v>47</c:v>
                </c:pt>
                <c:pt idx="6">
                  <c:v>48</c:v>
                </c:pt>
                <c:pt idx="7">
                  <c:v>50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53</c:v>
                </c:pt>
                <c:pt idx="12">
                  <c:v>54</c:v>
                </c:pt>
                <c:pt idx="13">
                  <c:v>54</c:v>
                </c:pt>
                <c:pt idx="14">
                  <c:v>54</c:v>
                </c:pt>
                <c:pt idx="15">
                  <c:v>55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57</c:v>
                </c:pt>
                <c:pt idx="20">
                  <c:v>58</c:v>
                </c:pt>
                <c:pt idx="21">
                  <c:v>58</c:v>
                </c:pt>
                <c:pt idx="22">
                  <c:v>59</c:v>
                </c:pt>
                <c:pt idx="23">
                  <c:v>59</c:v>
                </c:pt>
                <c:pt idx="24">
                  <c:v>59</c:v>
                </c:pt>
                <c:pt idx="25">
                  <c:v>60</c:v>
                </c:pt>
                <c:pt idx="26">
                  <c:v>60</c:v>
                </c:pt>
                <c:pt idx="27">
                  <c:v>61</c:v>
                </c:pt>
                <c:pt idx="28">
                  <c:v>61</c:v>
                </c:pt>
                <c:pt idx="29">
                  <c:v>61</c:v>
                </c:pt>
                <c:pt idx="30">
                  <c:v>61</c:v>
                </c:pt>
                <c:pt idx="31">
                  <c:v>62</c:v>
                </c:pt>
                <c:pt idx="32">
                  <c:v>63</c:v>
                </c:pt>
                <c:pt idx="33">
                  <c:v>63</c:v>
                </c:pt>
                <c:pt idx="34">
                  <c:v>64</c:v>
                </c:pt>
                <c:pt idx="35">
                  <c:v>64</c:v>
                </c:pt>
                <c:pt idx="36">
                  <c:v>65</c:v>
                </c:pt>
                <c:pt idx="37">
                  <c:v>66</c:v>
                </c:pt>
                <c:pt idx="38">
                  <c:v>67</c:v>
                </c:pt>
                <c:pt idx="39">
                  <c:v>69</c:v>
                </c:pt>
                <c:pt idx="40">
                  <c:v>69</c:v>
                </c:pt>
                <c:pt idx="41">
                  <c:v>69</c:v>
                </c:pt>
                <c:pt idx="42">
                  <c:v>69</c:v>
                </c:pt>
                <c:pt idx="43">
                  <c:v>70</c:v>
                </c:pt>
                <c:pt idx="44">
                  <c:v>71</c:v>
                </c:pt>
                <c:pt idx="45">
                  <c:v>74</c:v>
                </c:pt>
                <c:pt idx="46">
                  <c:v>75</c:v>
                </c:pt>
                <c:pt idx="47">
                  <c:v>75</c:v>
                </c:pt>
                <c:pt idx="48">
                  <c:v>77</c:v>
                </c:pt>
                <c:pt idx="49">
                  <c:v>77</c:v>
                </c:pt>
                <c:pt idx="50">
                  <c:v>78</c:v>
                </c:pt>
                <c:pt idx="51">
                  <c:v>78</c:v>
                </c:pt>
                <c:pt idx="52">
                  <c:v>80</c:v>
                </c:pt>
                <c:pt idx="53">
                  <c:v>82</c:v>
                </c:pt>
                <c:pt idx="54">
                  <c:v>84</c:v>
                </c:pt>
                <c:pt idx="55">
                  <c:v>84</c:v>
                </c:pt>
                <c:pt idx="56">
                  <c:v>85</c:v>
                </c:pt>
                <c:pt idx="57">
                  <c:v>86</c:v>
                </c:pt>
                <c:pt idx="58">
                  <c:v>86</c:v>
                </c:pt>
                <c:pt idx="59">
                  <c:v>87</c:v>
                </c:pt>
                <c:pt idx="60">
                  <c:v>88</c:v>
                </c:pt>
                <c:pt idx="61">
                  <c:v>90</c:v>
                </c:pt>
                <c:pt idx="62">
                  <c:v>90</c:v>
                </c:pt>
                <c:pt idx="63">
                  <c:v>92</c:v>
                </c:pt>
                <c:pt idx="64">
                  <c:v>95</c:v>
                </c:pt>
                <c:pt idx="65">
                  <c:v>95</c:v>
                </c:pt>
                <c:pt idx="66">
                  <c:v>100</c:v>
                </c:pt>
                <c:pt idx="67">
                  <c:v>106</c:v>
                </c:pt>
                <c:pt idx="68">
                  <c:v>109</c:v>
                </c:pt>
                <c:pt idx="69">
                  <c:v>111</c:v>
                </c:pt>
                <c:pt idx="70">
                  <c:v>128</c:v>
                </c:pt>
                <c:pt idx="71">
                  <c:v>132</c:v>
                </c:pt>
                <c:pt idx="72">
                  <c:v>140</c:v>
                </c:pt>
                <c:pt idx="73">
                  <c:v>143</c:v>
                </c:pt>
                <c:pt idx="74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8-4CFD-92FA-991A6A715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186136"/>
        <c:axId val="606183840"/>
      </c:lineChart>
      <c:scatterChart>
        <c:scatterStyle val="lineMarker"/>
        <c:varyColors val="0"/>
        <c:ser>
          <c:idx val="1"/>
          <c:order val="1"/>
          <c:tx>
            <c:strRef>
              <c:f>'AAA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'AAA Summary'!$AC$2</c:f>
                <c:numCache>
                  <c:formatCode>General</c:formatCode>
                  <c:ptCount val="1"/>
                  <c:pt idx="0">
                    <c:v>55</c:v>
                  </c:pt>
                </c:numCache>
              </c:numRef>
            </c:plus>
            <c:minus>
              <c:numRef>
                <c:f>'AAA Summary'!$AB$2</c:f>
                <c:numCache>
                  <c:formatCode>General</c:formatCode>
                  <c:ptCount val="1"/>
                  <c:pt idx="0">
                    <c:v>35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'AAA Summary'!$AD$2</c:f>
              <c:numCache>
                <c:formatCode>General</c:formatCode>
                <c:ptCount val="1"/>
                <c:pt idx="0">
                  <c:v>50</c:v>
                </c:pt>
              </c:numCache>
            </c:numRef>
          </c:xVal>
          <c:yVal>
            <c:numRef>
              <c:f>'AAA Summary'!$AA$2</c:f>
              <c:numCache>
                <c:formatCode>General</c:formatCode>
                <c:ptCount val="1"/>
                <c:pt idx="0">
                  <c:v>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78-4CFD-92FA-991A6A715264}"/>
            </c:ext>
          </c:extLst>
        </c:ser>
        <c:ser>
          <c:idx val="2"/>
          <c:order val="2"/>
          <c:tx>
            <c:v>NAAASP</c:v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'AAA Summary'!$AL$2:$AL$77</c:f>
              <c:numCache>
                <c:formatCode>General</c:formatCode>
                <c:ptCount val="7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</c:numCache>
            </c:numRef>
          </c:xVal>
          <c:yVal>
            <c:numRef>
              <c:f>'AAA Summary'!$AM$2:$AM$77</c:f>
              <c:numCache>
                <c:formatCode>General</c:formatCode>
                <c:ptCount val="76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  <c:pt idx="20">
                  <c:v>56</c:v>
                </c:pt>
                <c:pt idx="21">
                  <c:v>56</c:v>
                </c:pt>
                <c:pt idx="22">
                  <c:v>56</c:v>
                </c:pt>
                <c:pt idx="23">
                  <c:v>56</c:v>
                </c:pt>
                <c:pt idx="24">
                  <c:v>56</c:v>
                </c:pt>
                <c:pt idx="25">
                  <c:v>56</c:v>
                </c:pt>
                <c:pt idx="26">
                  <c:v>56</c:v>
                </c:pt>
                <c:pt idx="27">
                  <c:v>56</c:v>
                </c:pt>
                <c:pt idx="28">
                  <c:v>56</c:v>
                </c:pt>
                <c:pt idx="29">
                  <c:v>56</c:v>
                </c:pt>
                <c:pt idx="30">
                  <c:v>56</c:v>
                </c:pt>
                <c:pt idx="31">
                  <c:v>56</c:v>
                </c:pt>
                <c:pt idx="32">
                  <c:v>56</c:v>
                </c:pt>
                <c:pt idx="33">
                  <c:v>56</c:v>
                </c:pt>
                <c:pt idx="34">
                  <c:v>56</c:v>
                </c:pt>
                <c:pt idx="35">
                  <c:v>56</c:v>
                </c:pt>
                <c:pt idx="36">
                  <c:v>56</c:v>
                </c:pt>
                <c:pt idx="37">
                  <c:v>56</c:v>
                </c:pt>
                <c:pt idx="38">
                  <c:v>56</c:v>
                </c:pt>
                <c:pt idx="39">
                  <c:v>56</c:v>
                </c:pt>
                <c:pt idx="40">
                  <c:v>56</c:v>
                </c:pt>
                <c:pt idx="41">
                  <c:v>56</c:v>
                </c:pt>
                <c:pt idx="42">
                  <c:v>56</c:v>
                </c:pt>
                <c:pt idx="43">
                  <c:v>56</c:v>
                </c:pt>
                <c:pt idx="44">
                  <c:v>56</c:v>
                </c:pt>
                <c:pt idx="45">
                  <c:v>56</c:v>
                </c:pt>
                <c:pt idx="46">
                  <c:v>56</c:v>
                </c:pt>
                <c:pt idx="47">
                  <c:v>56</c:v>
                </c:pt>
                <c:pt idx="48">
                  <c:v>56</c:v>
                </c:pt>
                <c:pt idx="49">
                  <c:v>56</c:v>
                </c:pt>
                <c:pt idx="50">
                  <c:v>56</c:v>
                </c:pt>
                <c:pt idx="51">
                  <c:v>56</c:v>
                </c:pt>
                <c:pt idx="52">
                  <c:v>56</c:v>
                </c:pt>
                <c:pt idx="53">
                  <c:v>56</c:v>
                </c:pt>
                <c:pt idx="54">
                  <c:v>56</c:v>
                </c:pt>
                <c:pt idx="55">
                  <c:v>56</c:v>
                </c:pt>
                <c:pt idx="56">
                  <c:v>56</c:v>
                </c:pt>
                <c:pt idx="57">
                  <c:v>56</c:v>
                </c:pt>
                <c:pt idx="58">
                  <c:v>56</c:v>
                </c:pt>
                <c:pt idx="59">
                  <c:v>56</c:v>
                </c:pt>
                <c:pt idx="60">
                  <c:v>56</c:v>
                </c:pt>
                <c:pt idx="61">
                  <c:v>56</c:v>
                </c:pt>
                <c:pt idx="62">
                  <c:v>56</c:v>
                </c:pt>
                <c:pt idx="63">
                  <c:v>56</c:v>
                </c:pt>
                <c:pt idx="64">
                  <c:v>56</c:v>
                </c:pt>
                <c:pt idx="65">
                  <c:v>56</c:v>
                </c:pt>
                <c:pt idx="66">
                  <c:v>56</c:v>
                </c:pt>
                <c:pt idx="67">
                  <c:v>56</c:v>
                </c:pt>
                <c:pt idx="68">
                  <c:v>56</c:v>
                </c:pt>
                <c:pt idx="69">
                  <c:v>56</c:v>
                </c:pt>
                <c:pt idx="70">
                  <c:v>56</c:v>
                </c:pt>
                <c:pt idx="71">
                  <c:v>56</c:v>
                </c:pt>
                <c:pt idx="72">
                  <c:v>56</c:v>
                </c:pt>
                <c:pt idx="73">
                  <c:v>56</c:v>
                </c:pt>
                <c:pt idx="74">
                  <c:v>56</c:v>
                </c:pt>
                <c:pt idx="75">
                  <c:v>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A78-4CFD-92FA-991A6A715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catAx>
        <c:axId val="60618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auto val="1"/>
        <c:lblAlgn val="ctr"/>
        <c:lblOffset val="100"/>
        <c:noMultiLvlLbl val="0"/>
      </c:catAx>
      <c:valAx>
        <c:axId val="606183840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'Lower Limb Angioplasty'!$H$1</c:f>
              <c:strCache>
                <c:ptCount val="1"/>
                <c:pt idx="0">
                  <c:v>Adjusted in-hospital mortality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'Lower Limb Angioplasty'!$C$2:$C$92</c:f>
              <c:numCache>
                <c:formatCode>0</c:formatCode>
                <c:ptCount val="91"/>
                <c:pt idx="0">
                  <c:v>25</c:v>
                </c:pt>
                <c:pt idx="1">
                  <c:v>51</c:v>
                </c:pt>
                <c:pt idx="2">
                  <c:v>91</c:v>
                </c:pt>
                <c:pt idx="3">
                  <c:v>635</c:v>
                </c:pt>
                <c:pt idx="4">
                  <c:v>680</c:v>
                </c:pt>
                <c:pt idx="5">
                  <c:v>20</c:v>
                </c:pt>
                <c:pt idx="6">
                  <c:v>410</c:v>
                </c:pt>
                <c:pt idx="7">
                  <c:v>559</c:v>
                </c:pt>
                <c:pt idx="8" formatCode="General">
                  <c:v>0</c:v>
                </c:pt>
                <c:pt idx="9">
                  <c:v>218</c:v>
                </c:pt>
                <c:pt idx="10">
                  <c:v>27</c:v>
                </c:pt>
                <c:pt idx="11" formatCode="General">
                  <c:v>0</c:v>
                </c:pt>
                <c:pt idx="12">
                  <c:v>29</c:v>
                </c:pt>
                <c:pt idx="13" formatCode="General">
                  <c:v>0</c:v>
                </c:pt>
                <c:pt idx="14">
                  <c:v>41</c:v>
                </c:pt>
                <c:pt idx="15">
                  <c:v>75</c:v>
                </c:pt>
                <c:pt idx="16">
                  <c:v>4</c:v>
                </c:pt>
                <c:pt idx="17" formatCode="General">
                  <c:v>6</c:v>
                </c:pt>
                <c:pt idx="18">
                  <c:v>16</c:v>
                </c:pt>
                <c:pt idx="19">
                  <c:v>149</c:v>
                </c:pt>
                <c:pt idx="20">
                  <c:v>40</c:v>
                </c:pt>
                <c:pt idx="21" formatCode="General">
                  <c:v>0</c:v>
                </c:pt>
                <c:pt idx="22">
                  <c:v>146</c:v>
                </c:pt>
                <c:pt idx="23">
                  <c:v>367</c:v>
                </c:pt>
                <c:pt idx="24">
                  <c:v>718</c:v>
                </c:pt>
                <c:pt idx="25">
                  <c:v>126</c:v>
                </c:pt>
                <c:pt idx="26">
                  <c:v>414</c:v>
                </c:pt>
                <c:pt idx="27">
                  <c:v>406</c:v>
                </c:pt>
                <c:pt idx="28">
                  <c:v>52</c:v>
                </c:pt>
                <c:pt idx="29">
                  <c:v>4</c:v>
                </c:pt>
                <c:pt idx="30">
                  <c:v>478</c:v>
                </c:pt>
                <c:pt idx="31">
                  <c:v>81</c:v>
                </c:pt>
                <c:pt idx="32">
                  <c:v>222</c:v>
                </c:pt>
                <c:pt idx="33">
                  <c:v>140</c:v>
                </c:pt>
                <c:pt idx="34">
                  <c:v>35</c:v>
                </c:pt>
                <c:pt idx="35">
                  <c:v>1023</c:v>
                </c:pt>
                <c:pt idx="36">
                  <c:v>184</c:v>
                </c:pt>
                <c:pt idx="37">
                  <c:v>695</c:v>
                </c:pt>
                <c:pt idx="38">
                  <c:v>634</c:v>
                </c:pt>
                <c:pt idx="39">
                  <c:v>101</c:v>
                </c:pt>
                <c:pt idx="40">
                  <c:v>492</c:v>
                </c:pt>
                <c:pt idx="41">
                  <c:v>227</c:v>
                </c:pt>
                <c:pt idx="42">
                  <c:v>28</c:v>
                </c:pt>
                <c:pt idx="43">
                  <c:v>364</c:v>
                </c:pt>
                <c:pt idx="44">
                  <c:v>20</c:v>
                </c:pt>
                <c:pt idx="45">
                  <c:v>251</c:v>
                </c:pt>
                <c:pt idx="46" formatCode="General">
                  <c:v>0</c:v>
                </c:pt>
                <c:pt idx="47">
                  <c:v>101</c:v>
                </c:pt>
                <c:pt idx="48">
                  <c:v>78</c:v>
                </c:pt>
                <c:pt idx="49">
                  <c:v>226</c:v>
                </c:pt>
                <c:pt idx="50">
                  <c:v>284</c:v>
                </c:pt>
                <c:pt idx="51">
                  <c:v>1</c:v>
                </c:pt>
                <c:pt idx="52">
                  <c:v>1</c:v>
                </c:pt>
                <c:pt idx="53">
                  <c:v>39</c:v>
                </c:pt>
                <c:pt idx="54">
                  <c:v>14</c:v>
                </c:pt>
                <c:pt idx="55">
                  <c:v>186</c:v>
                </c:pt>
                <c:pt idx="56">
                  <c:v>568</c:v>
                </c:pt>
                <c:pt idx="57">
                  <c:v>9</c:v>
                </c:pt>
                <c:pt idx="58">
                  <c:v>9</c:v>
                </c:pt>
                <c:pt idx="59">
                  <c:v>11</c:v>
                </c:pt>
                <c:pt idx="60">
                  <c:v>26</c:v>
                </c:pt>
                <c:pt idx="61">
                  <c:v>175</c:v>
                </c:pt>
                <c:pt idx="62">
                  <c:v>246</c:v>
                </c:pt>
                <c:pt idx="63">
                  <c:v>1</c:v>
                </c:pt>
                <c:pt idx="64">
                  <c:v>11</c:v>
                </c:pt>
                <c:pt idx="65">
                  <c:v>405</c:v>
                </c:pt>
                <c:pt idx="66">
                  <c:v>2</c:v>
                </c:pt>
                <c:pt idx="67">
                  <c:v>30</c:v>
                </c:pt>
                <c:pt idx="68">
                  <c:v>5</c:v>
                </c:pt>
                <c:pt idx="69">
                  <c:v>266</c:v>
                </c:pt>
                <c:pt idx="70">
                  <c:v>374</c:v>
                </c:pt>
                <c:pt idx="71">
                  <c:v>42</c:v>
                </c:pt>
                <c:pt idx="72">
                  <c:v>215</c:v>
                </c:pt>
                <c:pt idx="73">
                  <c:v>122</c:v>
                </c:pt>
                <c:pt idx="74">
                  <c:v>319</c:v>
                </c:pt>
                <c:pt idx="75">
                  <c:v>2</c:v>
                </c:pt>
                <c:pt idx="76">
                  <c:v>87</c:v>
                </c:pt>
                <c:pt idx="77">
                  <c:v>639</c:v>
                </c:pt>
                <c:pt idx="78">
                  <c:v>23</c:v>
                </c:pt>
                <c:pt idx="79">
                  <c:v>524</c:v>
                </c:pt>
                <c:pt idx="80">
                  <c:v>807</c:v>
                </c:pt>
                <c:pt idx="81">
                  <c:v>885</c:v>
                </c:pt>
                <c:pt idx="82">
                  <c:v>3</c:v>
                </c:pt>
                <c:pt idx="83">
                  <c:v>1</c:v>
                </c:pt>
                <c:pt idx="84">
                  <c:v>14</c:v>
                </c:pt>
                <c:pt idx="85">
                  <c:v>773</c:v>
                </c:pt>
                <c:pt idx="86">
                  <c:v>1</c:v>
                </c:pt>
                <c:pt idx="87">
                  <c:v>1086</c:v>
                </c:pt>
                <c:pt idx="88">
                  <c:v>13</c:v>
                </c:pt>
                <c:pt idx="89">
                  <c:v>107</c:v>
                </c:pt>
                <c:pt idx="90">
                  <c:v>882</c:v>
                </c:pt>
              </c:numCache>
            </c:numRef>
          </c:xVal>
          <c:yVal>
            <c:numRef>
              <c:f>'Lower Limb Angioplasty'!$H$2:$H$92</c:f>
              <c:numCache>
                <c:formatCode>0.0%</c:formatCode>
                <c:ptCount val="91"/>
                <c:pt idx="0">
                  <c:v>#N/A</c:v>
                </c:pt>
                <c:pt idx="1">
                  <c:v>9.8000000000000004E-2</c:v>
                </c:pt>
                <c:pt idx="2">
                  <c:v>#N/A</c:v>
                </c:pt>
                <c:pt idx="3">
                  <c:v>2.7E-2</c:v>
                </c:pt>
                <c:pt idx="4">
                  <c:v>2.9000000000000001E-2</c:v>
                </c:pt>
                <c:pt idx="5">
                  <c:v>#N/A</c:v>
                </c:pt>
                <c:pt idx="6">
                  <c:v>0</c:v>
                </c:pt>
                <c:pt idx="7">
                  <c:v>2E-3</c:v>
                </c:pt>
                <c:pt idx="8" formatCode="General">
                  <c:v>#N/A</c:v>
                </c:pt>
                <c:pt idx="9">
                  <c:v>2.5999999999999999E-2</c:v>
                </c:pt>
                <c:pt idx="10">
                  <c:v>#N/A</c:v>
                </c:pt>
                <c:pt idx="11" formatCode="General">
                  <c:v>#N/A</c:v>
                </c:pt>
                <c:pt idx="12">
                  <c:v>#N/A</c:v>
                </c:pt>
                <c:pt idx="13" formatCode="General">
                  <c:v>#N/A</c:v>
                </c:pt>
                <c:pt idx="14">
                  <c:v>#N/A</c:v>
                </c:pt>
                <c:pt idx="15">
                  <c:v>0.03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1.2E-2</c:v>
                </c:pt>
                <c:pt idx="20">
                  <c:v>#N/A</c:v>
                </c:pt>
                <c:pt idx="21" formatCode="General">
                  <c:v>#N/A</c:v>
                </c:pt>
                <c:pt idx="22">
                  <c:v>1.9E-2</c:v>
                </c:pt>
                <c:pt idx="23">
                  <c:v>2.3E-2</c:v>
                </c:pt>
                <c:pt idx="24">
                  <c:v>2.7E-2</c:v>
                </c:pt>
                <c:pt idx="25">
                  <c:v>0</c:v>
                </c:pt>
                <c:pt idx="26">
                  <c:v>1.4E-2</c:v>
                </c:pt>
                <c:pt idx="27">
                  <c:v>1.4999999999999999E-2</c:v>
                </c:pt>
                <c:pt idx="28">
                  <c:v>#N/A</c:v>
                </c:pt>
                <c:pt idx="29">
                  <c:v>#N/A</c:v>
                </c:pt>
                <c:pt idx="30">
                  <c:v>1.4999999999999999E-2</c:v>
                </c:pt>
                <c:pt idx="31">
                  <c:v>0</c:v>
                </c:pt>
                <c:pt idx="32">
                  <c:v>8.9999999999999993E-3</c:v>
                </c:pt>
                <c:pt idx="33">
                  <c:v>8.9999999999999993E-3</c:v>
                </c:pt>
                <c:pt idx="34">
                  <c:v>#N/A</c:v>
                </c:pt>
                <c:pt idx="35">
                  <c:v>1.6E-2</c:v>
                </c:pt>
                <c:pt idx="36">
                  <c:v>#N/A</c:v>
                </c:pt>
                <c:pt idx="37">
                  <c:v>2.4E-2</c:v>
                </c:pt>
                <c:pt idx="38">
                  <c:v>1.4E-2</c:v>
                </c:pt>
                <c:pt idx="39">
                  <c:v>1.9E-2</c:v>
                </c:pt>
                <c:pt idx="40">
                  <c:v>8.9999999999999993E-3</c:v>
                </c:pt>
                <c:pt idx="41">
                  <c:v>0</c:v>
                </c:pt>
                <c:pt idx="42">
                  <c:v>#N/A</c:v>
                </c:pt>
                <c:pt idx="43">
                  <c:v>1.7999999999999999E-2</c:v>
                </c:pt>
                <c:pt idx="44">
                  <c:v>#N/A</c:v>
                </c:pt>
                <c:pt idx="45">
                  <c:v>0.04</c:v>
                </c:pt>
                <c:pt idx="46" formatCode="General">
                  <c:v>#N/A</c:v>
                </c:pt>
                <c:pt idx="47">
                  <c:v>0.03</c:v>
                </c:pt>
                <c:pt idx="48">
                  <c:v>5.1999999999999998E-2</c:v>
                </c:pt>
                <c:pt idx="49">
                  <c:v>2.1999999999999999E-2</c:v>
                </c:pt>
                <c:pt idx="50">
                  <c:v>1.2999999999999999E-2</c:v>
                </c:pt>
                <c:pt idx="51">
                  <c:v>#N/A</c:v>
                </c:pt>
                <c:pt idx="52">
                  <c:v>#N/A</c:v>
                </c:pt>
                <c:pt idx="53">
                  <c:v>1.2E-2</c:v>
                </c:pt>
                <c:pt idx="54">
                  <c:v>#N/A</c:v>
                </c:pt>
                <c:pt idx="55">
                  <c:v>#N/A</c:v>
                </c:pt>
                <c:pt idx="56">
                  <c:v>1.6E-2</c:v>
                </c:pt>
                <c:pt idx="57">
                  <c:v>#N/A</c:v>
                </c:pt>
                <c:pt idx="58" formatCode="0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 formatCode="0">
                  <c:v>#N/A</c:v>
                </c:pt>
                <c:pt idx="65">
                  <c:v>0</c:v>
                </c:pt>
                <c:pt idx="66">
                  <c:v>#N/A</c:v>
                </c:pt>
                <c:pt idx="67">
                  <c:v>0.02</c:v>
                </c:pt>
                <c:pt idx="68">
                  <c:v>#N/A</c:v>
                </c:pt>
                <c:pt idx="69">
                  <c:v>2.8000000000000001E-2</c:v>
                </c:pt>
                <c:pt idx="70">
                  <c:v>1.4999999999999999E-2</c:v>
                </c:pt>
                <c:pt idx="71">
                  <c:v>#N/A</c:v>
                </c:pt>
                <c:pt idx="72">
                  <c:v>7.0000000000000001E-3</c:v>
                </c:pt>
                <c:pt idx="73">
                  <c:v>0</c:v>
                </c:pt>
                <c:pt idx="74">
                  <c:v>1.7999999999999999E-2</c:v>
                </c:pt>
                <c:pt idx="75">
                  <c:v>#N/A</c:v>
                </c:pt>
                <c:pt idx="76">
                  <c:v>0</c:v>
                </c:pt>
                <c:pt idx="77">
                  <c:v>1.4E-2</c:v>
                </c:pt>
                <c:pt idx="78">
                  <c:v>#N/A</c:v>
                </c:pt>
                <c:pt idx="79">
                  <c:v>1.4E-2</c:v>
                </c:pt>
                <c:pt idx="80">
                  <c:v>1.6E-2</c:v>
                </c:pt>
                <c:pt idx="81">
                  <c:v>1.9E-2</c:v>
                </c:pt>
                <c:pt idx="82">
                  <c:v>#N/A</c:v>
                </c:pt>
                <c:pt idx="83">
                  <c:v>#N/A</c:v>
                </c:pt>
                <c:pt idx="84" formatCode="0">
                  <c:v>#N/A</c:v>
                </c:pt>
                <c:pt idx="85">
                  <c:v>2.1000000000000001E-2</c:v>
                </c:pt>
                <c:pt idx="86">
                  <c:v>#N/A</c:v>
                </c:pt>
                <c:pt idx="87">
                  <c:v>8.9999999999999993E-3</c:v>
                </c:pt>
                <c:pt idx="88">
                  <c:v>#N/A</c:v>
                </c:pt>
                <c:pt idx="89">
                  <c:v>1.7000000000000001E-2</c:v>
                </c:pt>
                <c:pt idx="90">
                  <c:v>1.0999999999999999E-2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E3-401B-82A3-4464EDE6AA65}"/>
            </c:ext>
          </c:extLst>
        </c:ser>
        <c:ser>
          <c:idx val="1"/>
          <c:order val="1"/>
          <c:tx>
            <c:v>National Rate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'Angio Funnel'!$B$2:$B$74</c:f>
              <c:numCache>
                <c:formatCode>0</c:formatCode>
                <c:ptCount val="73"/>
                <c:pt idx="0">
                  <c:v>0</c:v>
                </c:pt>
                <c:pt idx="1">
                  <c:v>11</c:v>
                </c:pt>
                <c:pt idx="2">
                  <c:v>13</c:v>
                </c:pt>
                <c:pt idx="3">
                  <c:v>14</c:v>
                </c:pt>
                <c:pt idx="4">
                  <c:v>16</c:v>
                </c:pt>
                <c:pt idx="5">
                  <c:v>20</c:v>
                </c:pt>
                <c:pt idx="6">
                  <c:v>23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35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51</c:v>
                </c:pt>
                <c:pt idx="19">
                  <c:v>52</c:v>
                </c:pt>
                <c:pt idx="20">
                  <c:v>55</c:v>
                </c:pt>
                <c:pt idx="21">
                  <c:v>75</c:v>
                </c:pt>
                <c:pt idx="22">
                  <c:v>78</c:v>
                </c:pt>
                <c:pt idx="23">
                  <c:v>81</c:v>
                </c:pt>
                <c:pt idx="24">
                  <c:v>87</c:v>
                </c:pt>
                <c:pt idx="25">
                  <c:v>91</c:v>
                </c:pt>
                <c:pt idx="26">
                  <c:v>101</c:v>
                </c:pt>
                <c:pt idx="27">
                  <c:v>107</c:v>
                </c:pt>
                <c:pt idx="28">
                  <c:v>122</c:v>
                </c:pt>
                <c:pt idx="29">
                  <c:v>126</c:v>
                </c:pt>
                <c:pt idx="30">
                  <c:v>140</c:v>
                </c:pt>
                <c:pt idx="31">
                  <c:v>146</c:v>
                </c:pt>
                <c:pt idx="32">
                  <c:v>149</c:v>
                </c:pt>
                <c:pt idx="33">
                  <c:v>158</c:v>
                </c:pt>
                <c:pt idx="34">
                  <c:v>175</c:v>
                </c:pt>
                <c:pt idx="35">
                  <c:v>184</c:v>
                </c:pt>
                <c:pt idx="36">
                  <c:v>186</c:v>
                </c:pt>
                <c:pt idx="37">
                  <c:v>215</c:v>
                </c:pt>
                <c:pt idx="38">
                  <c:v>218</c:v>
                </c:pt>
                <c:pt idx="39">
                  <c:v>222</c:v>
                </c:pt>
                <c:pt idx="40">
                  <c:v>226</c:v>
                </c:pt>
                <c:pt idx="41">
                  <c:v>227</c:v>
                </c:pt>
                <c:pt idx="42">
                  <c:v>246</c:v>
                </c:pt>
                <c:pt idx="43">
                  <c:v>251</c:v>
                </c:pt>
                <c:pt idx="44">
                  <c:v>266</c:v>
                </c:pt>
                <c:pt idx="45">
                  <c:v>284</c:v>
                </c:pt>
                <c:pt idx="46">
                  <c:v>319</c:v>
                </c:pt>
                <c:pt idx="47">
                  <c:v>364</c:v>
                </c:pt>
                <c:pt idx="48">
                  <c:v>367</c:v>
                </c:pt>
                <c:pt idx="49">
                  <c:v>374</c:v>
                </c:pt>
                <c:pt idx="50">
                  <c:v>405</c:v>
                </c:pt>
                <c:pt idx="51">
                  <c:v>406</c:v>
                </c:pt>
                <c:pt idx="52">
                  <c:v>410</c:v>
                </c:pt>
                <c:pt idx="53">
                  <c:v>414</c:v>
                </c:pt>
                <c:pt idx="54">
                  <c:v>478</c:v>
                </c:pt>
                <c:pt idx="55">
                  <c:v>492</c:v>
                </c:pt>
                <c:pt idx="56">
                  <c:v>524</c:v>
                </c:pt>
                <c:pt idx="57">
                  <c:v>559</c:v>
                </c:pt>
                <c:pt idx="58">
                  <c:v>568</c:v>
                </c:pt>
                <c:pt idx="59">
                  <c:v>634</c:v>
                </c:pt>
                <c:pt idx="60">
                  <c:v>635</c:v>
                </c:pt>
                <c:pt idx="61">
                  <c:v>639</c:v>
                </c:pt>
                <c:pt idx="62">
                  <c:v>680</c:v>
                </c:pt>
                <c:pt idx="63">
                  <c:v>695</c:v>
                </c:pt>
                <c:pt idx="64">
                  <c:v>718</c:v>
                </c:pt>
                <c:pt idx="65">
                  <c:v>773</c:v>
                </c:pt>
                <c:pt idx="66">
                  <c:v>807</c:v>
                </c:pt>
                <c:pt idx="67">
                  <c:v>882</c:v>
                </c:pt>
                <c:pt idx="68">
                  <c:v>885</c:v>
                </c:pt>
                <c:pt idx="69">
                  <c:v>1023</c:v>
                </c:pt>
                <c:pt idx="70">
                  <c:v>1086</c:v>
                </c:pt>
                <c:pt idx="71">
                  <c:v>1437</c:v>
                </c:pt>
                <c:pt idx="72">
                  <c:v>1500</c:v>
                </c:pt>
              </c:numCache>
            </c:numRef>
          </c:xVal>
          <c:yVal>
            <c:numRef>
              <c:f>'Angio Funnel'!$D$2:$D$74</c:f>
              <c:numCache>
                <c:formatCode>0.0%</c:formatCode>
                <c:ptCount val="73"/>
                <c:pt idx="0">
                  <c:v>1.6E-2</c:v>
                </c:pt>
                <c:pt idx="1">
                  <c:v>1.6E-2</c:v>
                </c:pt>
                <c:pt idx="2">
                  <c:v>1.6E-2</c:v>
                </c:pt>
                <c:pt idx="3">
                  <c:v>1.6E-2</c:v>
                </c:pt>
                <c:pt idx="4">
                  <c:v>1.6E-2</c:v>
                </c:pt>
                <c:pt idx="5">
                  <c:v>1.6E-2</c:v>
                </c:pt>
                <c:pt idx="6">
                  <c:v>1.6E-2</c:v>
                </c:pt>
                <c:pt idx="7">
                  <c:v>1.6E-2</c:v>
                </c:pt>
                <c:pt idx="8">
                  <c:v>1.6E-2</c:v>
                </c:pt>
                <c:pt idx="9">
                  <c:v>1.6E-2</c:v>
                </c:pt>
                <c:pt idx="10">
                  <c:v>1.6E-2</c:v>
                </c:pt>
                <c:pt idx="11">
                  <c:v>1.6E-2</c:v>
                </c:pt>
                <c:pt idx="12">
                  <c:v>1.6E-2</c:v>
                </c:pt>
                <c:pt idx="13">
                  <c:v>1.6E-2</c:v>
                </c:pt>
                <c:pt idx="14">
                  <c:v>1.6E-2</c:v>
                </c:pt>
                <c:pt idx="15">
                  <c:v>1.6E-2</c:v>
                </c:pt>
                <c:pt idx="16">
                  <c:v>1.6E-2</c:v>
                </c:pt>
                <c:pt idx="17">
                  <c:v>1.6E-2</c:v>
                </c:pt>
                <c:pt idx="18">
                  <c:v>1.6E-2</c:v>
                </c:pt>
                <c:pt idx="19">
                  <c:v>1.6E-2</c:v>
                </c:pt>
                <c:pt idx="20">
                  <c:v>1.6E-2</c:v>
                </c:pt>
                <c:pt idx="21">
                  <c:v>1.6E-2</c:v>
                </c:pt>
                <c:pt idx="22">
                  <c:v>1.6E-2</c:v>
                </c:pt>
                <c:pt idx="23">
                  <c:v>1.6E-2</c:v>
                </c:pt>
                <c:pt idx="24">
                  <c:v>1.6E-2</c:v>
                </c:pt>
                <c:pt idx="25">
                  <c:v>1.6E-2</c:v>
                </c:pt>
                <c:pt idx="26">
                  <c:v>1.6E-2</c:v>
                </c:pt>
                <c:pt idx="27">
                  <c:v>1.6E-2</c:v>
                </c:pt>
                <c:pt idx="28">
                  <c:v>1.6E-2</c:v>
                </c:pt>
                <c:pt idx="29">
                  <c:v>1.6E-2</c:v>
                </c:pt>
                <c:pt idx="30">
                  <c:v>1.6E-2</c:v>
                </c:pt>
                <c:pt idx="31">
                  <c:v>1.6E-2</c:v>
                </c:pt>
                <c:pt idx="32">
                  <c:v>1.6E-2</c:v>
                </c:pt>
                <c:pt idx="33">
                  <c:v>1.6E-2</c:v>
                </c:pt>
                <c:pt idx="34">
                  <c:v>1.6E-2</c:v>
                </c:pt>
                <c:pt idx="35">
                  <c:v>1.6E-2</c:v>
                </c:pt>
                <c:pt idx="36">
                  <c:v>1.6E-2</c:v>
                </c:pt>
                <c:pt idx="37">
                  <c:v>1.6E-2</c:v>
                </c:pt>
                <c:pt idx="38">
                  <c:v>1.6E-2</c:v>
                </c:pt>
                <c:pt idx="39">
                  <c:v>1.6E-2</c:v>
                </c:pt>
                <c:pt idx="40">
                  <c:v>1.6E-2</c:v>
                </c:pt>
                <c:pt idx="41">
                  <c:v>1.6E-2</c:v>
                </c:pt>
                <c:pt idx="42">
                  <c:v>1.6E-2</c:v>
                </c:pt>
                <c:pt idx="43">
                  <c:v>1.6E-2</c:v>
                </c:pt>
                <c:pt idx="44">
                  <c:v>1.6E-2</c:v>
                </c:pt>
                <c:pt idx="45">
                  <c:v>1.6E-2</c:v>
                </c:pt>
                <c:pt idx="46">
                  <c:v>1.6E-2</c:v>
                </c:pt>
                <c:pt idx="47">
                  <c:v>1.6E-2</c:v>
                </c:pt>
                <c:pt idx="48">
                  <c:v>1.6E-2</c:v>
                </c:pt>
                <c:pt idx="49">
                  <c:v>1.6E-2</c:v>
                </c:pt>
                <c:pt idx="50">
                  <c:v>1.6E-2</c:v>
                </c:pt>
                <c:pt idx="51">
                  <c:v>1.6E-2</c:v>
                </c:pt>
                <c:pt idx="52">
                  <c:v>1.6E-2</c:v>
                </c:pt>
                <c:pt idx="53">
                  <c:v>1.6E-2</c:v>
                </c:pt>
                <c:pt idx="54">
                  <c:v>1.6E-2</c:v>
                </c:pt>
                <c:pt idx="55">
                  <c:v>1.6E-2</c:v>
                </c:pt>
                <c:pt idx="56">
                  <c:v>1.6E-2</c:v>
                </c:pt>
                <c:pt idx="57">
                  <c:v>1.6E-2</c:v>
                </c:pt>
                <c:pt idx="58">
                  <c:v>1.6E-2</c:v>
                </c:pt>
                <c:pt idx="59">
                  <c:v>1.6E-2</c:v>
                </c:pt>
                <c:pt idx="60">
                  <c:v>1.6E-2</c:v>
                </c:pt>
                <c:pt idx="61">
                  <c:v>1.6E-2</c:v>
                </c:pt>
                <c:pt idx="62">
                  <c:v>1.6E-2</c:v>
                </c:pt>
                <c:pt idx="63">
                  <c:v>1.6E-2</c:v>
                </c:pt>
                <c:pt idx="64">
                  <c:v>1.6E-2</c:v>
                </c:pt>
                <c:pt idx="65">
                  <c:v>1.6E-2</c:v>
                </c:pt>
                <c:pt idx="66">
                  <c:v>1.6E-2</c:v>
                </c:pt>
                <c:pt idx="67">
                  <c:v>1.6E-2</c:v>
                </c:pt>
                <c:pt idx="68">
                  <c:v>1.6E-2</c:v>
                </c:pt>
                <c:pt idx="69">
                  <c:v>1.6E-2</c:v>
                </c:pt>
                <c:pt idx="70">
                  <c:v>1.6E-2</c:v>
                </c:pt>
                <c:pt idx="71">
                  <c:v>1.6E-2</c:v>
                </c:pt>
                <c:pt idx="72">
                  <c:v>1.6E-2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E3-401B-82A3-4464EDE6AA65}"/>
            </c:ext>
          </c:extLst>
        </c:ser>
        <c:ser>
          <c:idx val="2"/>
          <c:order val="2"/>
          <c:tx>
            <c:v>Upper Funnel Limits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'Angio Funnel'!$B$2:$B$74</c:f>
              <c:numCache>
                <c:formatCode>0</c:formatCode>
                <c:ptCount val="73"/>
                <c:pt idx="0">
                  <c:v>0</c:v>
                </c:pt>
                <c:pt idx="1">
                  <c:v>11</c:v>
                </c:pt>
                <c:pt idx="2">
                  <c:v>13</c:v>
                </c:pt>
                <c:pt idx="3">
                  <c:v>14</c:v>
                </c:pt>
                <c:pt idx="4">
                  <c:v>16</c:v>
                </c:pt>
                <c:pt idx="5">
                  <c:v>20</c:v>
                </c:pt>
                <c:pt idx="6">
                  <c:v>23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35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51</c:v>
                </c:pt>
                <c:pt idx="19">
                  <c:v>52</c:v>
                </c:pt>
                <c:pt idx="20">
                  <c:v>55</c:v>
                </c:pt>
                <c:pt idx="21">
                  <c:v>75</c:v>
                </c:pt>
                <c:pt idx="22">
                  <c:v>78</c:v>
                </c:pt>
                <c:pt idx="23">
                  <c:v>81</c:v>
                </c:pt>
                <c:pt idx="24">
                  <c:v>87</c:v>
                </c:pt>
                <c:pt idx="25">
                  <c:v>91</c:v>
                </c:pt>
                <c:pt idx="26">
                  <c:v>101</c:v>
                </c:pt>
                <c:pt idx="27">
                  <c:v>107</c:v>
                </c:pt>
                <c:pt idx="28">
                  <c:v>122</c:v>
                </c:pt>
                <c:pt idx="29">
                  <c:v>126</c:v>
                </c:pt>
                <c:pt idx="30">
                  <c:v>140</c:v>
                </c:pt>
                <c:pt idx="31">
                  <c:v>146</c:v>
                </c:pt>
                <c:pt idx="32">
                  <c:v>149</c:v>
                </c:pt>
                <c:pt idx="33">
                  <c:v>158</c:v>
                </c:pt>
                <c:pt idx="34">
                  <c:v>175</c:v>
                </c:pt>
                <c:pt idx="35">
                  <c:v>184</c:v>
                </c:pt>
                <c:pt idx="36">
                  <c:v>186</c:v>
                </c:pt>
                <c:pt idx="37">
                  <c:v>215</c:v>
                </c:pt>
                <c:pt idx="38">
                  <c:v>218</c:v>
                </c:pt>
                <c:pt idx="39">
                  <c:v>222</c:v>
                </c:pt>
                <c:pt idx="40">
                  <c:v>226</c:v>
                </c:pt>
                <c:pt idx="41">
                  <c:v>227</c:v>
                </c:pt>
                <c:pt idx="42">
                  <c:v>246</c:v>
                </c:pt>
                <c:pt idx="43">
                  <c:v>251</c:v>
                </c:pt>
                <c:pt idx="44">
                  <c:v>266</c:v>
                </c:pt>
                <c:pt idx="45">
                  <c:v>284</c:v>
                </c:pt>
                <c:pt idx="46">
                  <c:v>319</c:v>
                </c:pt>
                <c:pt idx="47">
                  <c:v>364</c:v>
                </c:pt>
                <c:pt idx="48">
                  <c:v>367</c:v>
                </c:pt>
                <c:pt idx="49">
                  <c:v>374</c:v>
                </c:pt>
                <c:pt idx="50">
                  <c:v>405</c:v>
                </c:pt>
                <c:pt idx="51">
                  <c:v>406</c:v>
                </c:pt>
                <c:pt idx="52">
                  <c:v>410</c:v>
                </c:pt>
                <c:pt idx="53">
                  <c:v>414</c:v>
                </c:pt>
                <c:pt idx="54">
                  <c:v>478</c:v>
                </c:pt>
                <c:pt idx="55">
                  <c:v>492</c:v>
                </c:pt>
                <c:pt idx="56">
                  <c:v>524</c:v>
                </c:pt>
                <c:pt idx="57">
                  <c:v>559</c:v>
                </c:pt>
                <c:pt idx="58">
                  <c:v>568</c:v>
                </c:pt>
                <c:pt idx="59">
                  <c:v>634</c:v>
                </c:pt>
                <c:pt idx="60">
                  <c:v>635</c:v>
                </c:pt>
                <c:pt idx="61">
                  <c:v>639</c:v>
                </c:pt>
                <c:pt idx="62">
                  <c:v>680</c:v>
                </c:pt>
                <c:pt idx="63">
                  <c:v>695</c:v>
                </c:pt>
                <c:pt idx="64">
                  <c:v>718</c:v>
                </c:pt>
                <c:pt idx="65">
                  <c:v>773</c:v>
                </c:pt>
                <c:pt idx="66">
                  <c:v>807</c:v>
                </c:pt>
                <c:pt idx="67">
                  <c:v>882</c:v>
                </c:pt>
                <c:pt idx="68">
                  <c:v>885</c:v>
                </c:pt>
                <c:pt idx="69">
                  <c:v>1023</c:v>
                </c:pt>
                <c:pt idx="70">
                  <c:v>1086</c:v>
                </c:pt>
                <c:pt idx="71">
                  <c:v>1437</c:v>
                </c:pt>
                <c:pt idx="72">
                  <c:v>1500</c:v>
                </c:pt>
              </c:numCache>
            </c:numRef>
          </c:xVal>
          <c:yVal>
            <c:numRef>
              <c:f>'Angio Funnel'!$C$2:$C$74</c:f>
              <c:numCache>
                <c:formatCode>0.00%</c:formatCode>
                <c:ptCount val="73"/>
                <c:pt idx="0">
                  <c:v>0.5</c:v>
                </c:pt>
                <c:pt idx="1">
                  <c:v>0.27026870727539065</c:v>
                </c:pt>
                <c:pt idx="2">
                  <c:v>0.23871959686279298</c:v>
                </c:pt>
                <c:pt idx="3">
                  <c:v>0.23548892974853516</c:v>
                </c:pt>
                <c:pt idx="4">
                  <c:v>0.22200819015502929</c:v>
                </c:pt>
                <c:pt idx="5">
                  <c:v>0.19050464630126954</c:v>
                </c:pt>
                <c:pt idx="6">
                  <c:v>0.16999164581298828</c:v>
                </c:pt>
                <c:pt idx="7">
                  <c:v>0.15823599815368652</c:v>
                </c:pt>
                <c:pt idx="8">
                  <c:v>0.15288707733154297</c:v>
                </c:pt>
                <c:pt idx="9">
                  <c:v>0.1478615665435791</c:v>
                </c:pt>
                <c:pt idx="10">
                  <c:v>0.14554805755615235</c:v>
                </c:pt>
                <c:pt idx="11">
                  <c:v>0.1449643325805664</c:v>
                </c:pt>
                <c:pt idx="12">
                  <c:v>0.14376820564270021</c:v>
                </c:pt>
                <c:pt idx="13">
                  <c:v>0.13340332984924316</c:v>
                </c:pt>
                <c:pt idx="14">
                  <c:v>0.12376840591430664</c:v>
                </c:pt>
                <c:pt idx="15">
                  <c:v>0.12141650199890136</c:v>
                </c:pt>
                <c:pt idx="16">
                  <c:v>0.11911007881164551</c:v>
                </c:pt>
                <c:pt idx="17">
                  <c:v>0.11685508728027344</c:v>
                </c:pt>
                <c:pt idx="18">
                  <c:v>0.10528561592102051</c:v>
                </c:pt>
                <c:pt idx="19">
                  <c:v>0.10453355789184571</c:v>
                </c:pt>
                <c:pt idx="20">
                  <c:v>0.10179985046386719</c:v>
                </c:pt>
                <c:pt idx="21">
                  <c:v>8.5137672424316413E-2</c:v>
                </c:pt>
                <c:pt idx="22">
                  <c:v>8.3806600570678708E-2</c:v>
                </c:pt>
                <c:pt idx="23">
                  <c:v>8.2202644348144532E-2</c:v>
                </c:pt>
                <c:pt idx="24">
                  <c:v>7.8605041503906251E-2</c:v>
                </c:pt>
                <c:pt idx="25">
                  <c:v>7.6120333671569826E-2</c:v>
                </c:pt>
                <c:pt idx="26">
                  <c:v>7.2923874855041509E-2</c:v>
                </c:pt>
                <c:pt idx="27">
                  <c:v>7.121423721313476E-2</c:v>
                </c:pt>
                <c:pt idx="28">
                  <c:v>6.5452508926391595E-2</c:v>
                </c:pt>
                <c:pt idx="29">
                  <c:v>6.4986391067504881E-2</c:v>
                </c:pt>
                <c:pt idx="30">
                  <c:v>6.2406964302062988E-2</c:v>
                </c:pt>
                <c:pt idx="31">
                  <c:v>6.0819363594055174E-2</c:v>
                </c:pt>
                <c:pt idx="32">
                  <c:v>5.9989271163940427E-2</c:v>
                </c:pt>
                <c:pt idx="33">
                  <c:v>5.8768935203552246E-2</c:v>
                </c:pt>
                <c:pt idx="34">
                  <c:v>5.6187109947204592E-2</c:v>
                </c:pt>
                <c:pt idx="35">
                  <c:v>5.4390549659729004E-2</c:v>
                </c:pt>
                <c:pt idx="36">
                  <c:v>5.4371161460876463E-2</c:v>
                </c:pt>
                <c:pt idx="37">
                  <c:v>5.1046023368835451E-2</c:v>
                </c:pt>
                <c:pt idx="38">
                  <c:v>5.07985782623291E-2</c:v>
                </c:pt>
                <c:pt idx="39">
                  <c:v>5.069413185119629E-2</c:v>
                </c:pt>
                <c:pt idx="40">
                  <c:v>5.0480093955993649E-2</c:v>
                </c:pt>
                <c:pt idx="41">
                  <c:v>5.0412487983703611E-2</c:v>
                </c:pt>
                <c:pt idx="42">
                  <c:v>4.8473024368286134E-2</c:v>
                </c:pt>
                <c:pt idx="43">
                  <c:v>4.7924547195434569E-2</c:v>
                </c:pt>
                <c:pt idx="44">
                  <c:v>4.7307367324829104E-2</c:v>
                </c:pt>
                <c:pt idx="45">
                  <c:v>4.5697026252746582E-2</c:v>
                </c:pt>
                <c:pt idx="46">
                  <c:v>4.3770408630371092E-2</c:v>
                </c:pt>
                <c:pt idx="47">
                  <c:v>4.1851053237915041E-2</c:v>
                </c:pt>
                <c:pt idx="48">
                  <c:v>4.1789031028747557E-2</c:v>
                </c:pt>
                <c:pt idx="49">
                  <c:v>4.156722068786621E-2</c:v>
                </c:pt>
                <c:pt idx="50">
                  <c:v>4.0350852012634275E-2</c:v>
                </c:pt>
                <c:pt idx="51">
                  <c:v>4.0328798294067381E-2</c:v>
                </c:pt>
                <c:pt idx="52">
                  <c:v>4.0222859382629393E-2</c:v>
                </c:pt>
                <c:pt idx="53">
                  <c:v>4.0091857910156251E-2</c:v>
                </c:pt>
                <c:pt idx="54">
                  <c:v>3.8060302734375002E-2</c:v>
                </c:pt>
                <c:pt idx="55">
                  <c:v>3.779904127120972E-2</c:v>
                </c:pt>
                <c:pt idx="56">
                  <c:v>3.7002429962158204E-2</c:v>
                </c:pt>
                <c:pt idx="57">
                  <c:v>3.6192872524261475E-2</c:v>
                </c:pt>
                <c:pt idx="58">
                  <c:v>3.6073698997497558E-2</c:v>
                </c:pt>
                <c:pt idx="59">
                  <c:v>3.4715030193328861E-2</c:v>
                </c:pt>
                <c:pt idx="60">
                  <c:v>3.4714646339416504E-2</c:v>
                </c:pt>
                <c:pt idx="61">
                  <c:v>3.4702553749084472E-2</c:v>
                </c:pt>
                <c:pt idx="62">
                  <c:v>3.4055225849151612E-2</c:v>
                </c:pt>
                <c:pt idx="63">
                  <c:v>3.3908395767211913E-2</c:v>
                </c:pt>
                <c:pt idx="64">
                  <c:v>3.3469398021697995E-2</c:v>
                </c:pt>
                <c:pt idx="65">
                  <c:v>3.286144256591797E-2</c:v>
                </c:pt>
                <c:pt idx="66">
                  <c:v>3.2412748336791995E-2</c:v>
                </c:pt>
                <c:pt idx="67">
                  <c:v>3.1625103950500486E-2</c:v>
                </c:pt>
                <c:pt idx="68">
                  <c:v>3.1576952934265136E-2</c:v>
                </c:pt>
                <c:pt idx="69">
                  <c:v>3.0390653610229492E-2</c:v>
                </c:pt>
                <c:pt idx="70">
                  <c:v>2.9980592727661133E-2</c:v>
                </c:pt>
                <c:pt idx="71">
                  <c:v>2.7993726730346679E-2</c:v>
                </c:pt>
                <c:pt idx="72">
                  <c:v>2.7736506462097167E-2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E3-401B-82A3-4464EDE6AA65}"/>
            </c:ext>
          </c:extLst>
        </c:ser>
        <c:ser>
          <c:idx val="3"/>
          <c:order val="3"/>
          <c:tx>
            <c:strRef>
              <c:f>'Angioplasty Summary'!$B$1</c:f>
              <c:strCache>
                <c:ptCount val="1"/>
                <c:pt idx="0">
                  <c:v>Aintree University Hospital NHS Foundation Trust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numRef>
              <c:f>'Angioplasty Summary'!$D$30</c:f>
              <c:numCache>
                <c:formatCode>General</c:formatCode>
                <c:ptCount val="1"/>
                <c:pt idx="0">
                  <c:v>25</c:v>
                </c:pt>
              </c:numCache>
            </c:numRef>
          </c:xVal>
          <c:yVal>
            <c:numRef>
              <c:f>'Angioplasty Summary'!$I$30</c:f>
              <c:numCache>
                <c:formatCode>0.0%</c:formatCode>
                <c:ptCount val="1"/>
                <c:pt idx="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E3-401B-82A3-4464EDE6AA65}"/>
            </c:ext>
          </c:extLst>
        </c:ser>
        <c:ser>
          <c:idx val="4"/>
          <c:order val="4"/>
          <c:tx>
            <c:v>Lower Funnel Limits</c:v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'Angio Funnel'!$B$2:$B$74</c:f>
              <c:numCache>
                <c:formatCode>0</c:formatCode>
                <c:ptCount val="73"/>
                <c:pt idx="0">
                  <c:v>0</c:v>
                </c:pt>
                <c:pt idx="1">
                  <c:v>11</c:v>
                </c:pt>
                <c:pt idx="2">
                  <c:v>13</c:v>
                </c:pt>
                <c:pt idx="3">
                  <c:v>14</c:v>
                </c:pt>
                <c:pt idx="4">
                  <c:v>16</c:v>
                </c:pt>
                <c:pt idx="5">
                  <c:v>20</c:v>
                </c:pt>
                <c:pt idx="6">
                  <c:v>23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35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51</c:v>
                </c:pt>
                <c:pt idx="19">
                  <c:v>52</c:v>
                </c:pt>
                <c:pt idx="20">
                  <c:v>55</c:v>
                </c:pt>
                <c:pt idx="21">
                  <c:v>75</c:v>
                </c:pt>
                <c:pt idx="22">
                  <c:v>78</c:v>
                </c:pt>
                <c:pt idx="23">
                  <c:v>81</c:v>
                </c:pt>
                <c:pt idx="24">
                  <c:v>87</c:v>
                </c:pt>
                <c:pt idx="25">
                  <c:v>91</c:v>
                </c:pt>
                <c:pt idx="26">
                  <c:v>101</c:v>
                </c:pt>
                <c:pt idx="27">
                  <c:v>107</c:v>
                </c:pt>
                <c:pt idx="28">
                  <c:v>122</c:v>
                </c:pt>
                <c:pt idx="29">
                  <c:v>126</c:v>
                </c:pt>
                <c:pt idx="30">
                  <c:v>140</c:v>
                </c:pt>
                <c:pt idx="31">
                  <c:v>146</c:v>
                </c:pt>
                <c:pt idx="32">
                  <c:v>149</c:v>
                </c:pt>
                <c:pt idx="33">
                  <c:v>158</c:v>
                </c:pt>
                <c:pt idx="34">
                  <c:v>175</c:v>
                </c:pt>
                <c:pt idx="35">
                  <c:v>184</c:v>
                </c:pt>
                <c:pt idx="36">
                  <c:v>186</c:v>
                </c:pt>
                <c:pt idx="37">
                  <c:v>215</c:v>
                </c:pt>
                <c:pt idx="38">
                  <c:v>218</c:v>
                </c:pt>
                <c:pt idx="39">
                  <c:v>222</c:v>
                </c:pt>
                <c:pt idx="40">
                  <c:v>226</c:v>
                </c:pt>
                <c:pt idx="41">
                  <c:v>227</c:v>
                </c:pt>
                <c:pt idx="42">
                  <c:v>246</c:v>
                </c:pt>
                <c:pt idx="43">
                  <c:v>251</c:v>
                </c:pt>
                <c:pt idx="44">
                  <c:v>266</c:v>
                </c:pt>
                <c:pt idx="45">
                  <c:v>284</c:v>
                </c:pt>
                <c:pt idx="46">
                  <c:v>319</c:v>
                </c:pt>
                <c:pt idx="47">
                  <c:v>364</c:v>
                </c:pt>
                <c:pt idx="48">
                  <c:v>367</c:v>
                </c:pt>
                <c:pt idx="49">
                  <c:v>374</c:v>
                </c:pt>
                <c:pt idx="50">
                  <c:v>405</c:v>
                </c:pt>
                <c:pt idx="51">
                  <c:v>406</c:v>
                </c:pt>
                <c:pt idx="52">
                  <c:v>410</c:v>
                </c:pt>
                <c:pt idx="53">
                  <c:v>414</c:v>
                </c:pt>
                <c:pt idx="54">
                  <c:v>478</c:v>
                </c:pt>
                <c:pt idx="55">
                  <c:v>492</c:v>
                </c:pt>
                <c:pt idx="56">
                  <c:v>524</c:v>
                </c:pt>
                <c:pt idx="57">
                  <c:v>559</c:v>
                </c:pt>
                <c:pt idx="58">
                  <c:v>568</c:v>
                </c:pt>
                <c:pt idx="59">
                  <c:v>634</c:v>
                </c:pt>
                <c:pt idx="60">
                  <c:v>635</c:v>
                </c:pt>
                <c:pt idx="61">
                  <c:v>639</c:v>
                </c:pt>
                <c:pt idx="62">
                  <c:v>680</c:v>
                </c:pt>
                <c:pt idx="63">
                  <c:v>695</c:v>
                </c:pt>
                <c:pt idx="64">
                  <c:v>718</c:v>
                </c:pt>
                <c:pt idx="65">
                  <c:v>773</c:v>
                </c:pt>
                <c:pt idx="66">
                  <c:v>807</c:v>
                </c:pt>
                <c:pt idx="67">
                  <c:v>882</c:v>
                </c:pt>
                <c:pt idx="68">
                  <c:v>885</c:v>
                </c:pt>
                <c:pt idx="69">
                  <c:v>1023</c:v>
                </c:pt>
                <c:pt idx="70">
                  <c:v>1086</c:v>
                </c:pt>
                <c:pt idx="71">
                  <c:v>1437</c:v>
                </c:pt>
                <c:pt idx="72">
                  <c:v>1500</c:v>
                </c:pt>
              </c:numCache>
            </c:numRef>
          </c:xVal>
          <c:yVal>
            <c:numRef>
              <c:f>'Angio Funnel'!$E$2:$E$74</c:f>
              <c:numCache>
                <c:formatCode>0.00%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 formatCode="0.0000%">
                  <c:v>4.4010000000000105E-4</c:v>
                </c:pt>
                <c:pt idx="55" formatCode="0.0000%">
                  <c:v>5.8796000000000954E-4</c:v>
                </c:pt>
                <c:pt idx="56" formatCode="0.0000%">
                  <c:v>1.0313999999999623E-3</c:v>
                </c:pt>
                <c:pt idx="57" formatCode="0.0000%">
                  <c:v>1.765489999999943E-3</c:v>
                </c:pt>
                <c:pt idx="58" formatCode="0.0000%">
                  <c:v>1.8142100000000027E-3</c:v>
                </c:pt>
                <c:pt idx="59" formatCode="0.0000%">
                  <c:v>2.2459700000000281E-3</c:v>
                </c:pt>
                <c:pt idx="60" formatCode="0.0000%">
                  <c:v>2.2563700000000609E-3</c:v>
                </c:pt>
                <c:pt idx="61" formatCode="0.0000%">
                  <c:v>2.2994799999999315E-3</c:v>
                </c:pt>
                <c:pt idx="62" formatCode="0.0000%">
                  <c:v>2.9130200000000175E-3</c:v>
                </c:pt>
                <c:pt idx="63" formatCode="0.0000%">
                  <c:v>2.9715600000000107E-3</c:v>
                </c:pt>
                <c:pt idx="64" formatCode="0.0000%">
                  <c:v>3.0621899999999868E-3</c:v>
                </c:pt>
                <c:pt idx="65" formatCode="0.0000%">
                  <c:v>3.5089000000000682E-3</c:v>
                </c:pt>
                <c:pt idx="66" formatCode="0.0000%">
                  <c:v>3.8130300000000263E-3</c:v>
                </c:pt>
                <c:pt idx="67" formatCode="0.0000%">
                  <c:v>4.2612099999999485E-3</c:v>
                </c:pt>
                <c:pt idx="68" formatCode="0.0000%">
                  <c:v>4.2936299999999502E-3</c:v>
                </c:pt>
                <c:pt idx="69" formatCode="0.0000%">
                  <c:v>5.0436000000000543E-3</c:v>
                </c:pt>
                <c:pt idx="70" formatCode="0.0000%">
                  <c:v>5.367020000000053E-3</c:v>
                </c:pt>
                <c:pt idx="71" formatCode="0.0000%">
                  <c:v>6.6614099999999614E-3</c:v>
                </c:pt>
                <c:pt idx="72" formatCode="0.0000%">
                  <c:v>6.8568999999999393E-3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19-4C06-8A75-491D0AF8F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98000"/>
        <c:axId val="578493408"/>
      </c:scatterChart>
      <c:valAx>
        <c:axId val="578498000"/>
        <c:scaling>
          <c:orientation val="minMax"/>
          <c:max val="1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</a:t>
                </a:r>
                <a:r>
                  <a:rPr lang="en-GB" baseline="0"/>
                  <a:t> of operations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3408"/>
        <c:crosses val="autoZero"/>
        <c:crossBetween val="midCat"/>
        <c:majorUnit val="100"/>
      </c:valAx>
      <c:valAx>
        <c:axId val="578493408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  <a:r>
                  <a:rPr lang="en-GB" baseline="0"/>
                  <a:t> In hospital deaths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8000"/>
        <c:crosses val="autoZero"/>
        <c:crossBetween val="midCat"/>
        <c:majorUnit val="5.000000000000001E-2"/>
        <c:min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'Angioplasty Summary'!$B$55</c:f>
          <c:strCache>
            <c:ptCount val="1"/>
            <c:pt idx="0">
              <c:v>Angioplasties on a planned list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'Angioplasty Summary'!$B$55</c:f>
              <c:strCache>
                <c:ptCount val="1"/>
                <c:pt idx="0">
                  <c:v>Angioplasties on a planned list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'Lower Limb Angioplasty'!$AC$2:$AC$92</c:f>
                <c:numCache>
                  <c:formatCode>General</c:formatCode>
                  <c:ptCount val="91"/>
                  <c:pt idx="0">
                    <c:v>0</c:v>
                  </c:pt>
                  <c:pt idx="1">
                    <c:v>0</c:v>
                  </c:pt>
                  <c:pt idx="2">
                    <c:v>4.9999999999999933E-2</c:v>
                  </c:pt>
                  <c:pt idx="3">
                    <c:v>1.9999999999999907E-2</c:v>
                  </c:pt>
                  <c:pt idx="4">
                    <c:v>2.0000000000000018E-2</c:v>
                  </c:pt>
                  <c:pt idx="5">
                    <c:v>0</c:v>
                  </c:pt>
                  <c:pt idx="6">
                    <c:v>1.0000000000000009E-2</c:v>
                  </c:pt>
                  <c:pt idx="7">
                    <c:v>0</c:v>
                  </c:pt>
                  <c:pt idx="8">
                    <c:v>0</c:v>
                  </c:pt>
                  <c:pt idx="9">
                    <c:v>1.0000000000000009E-2</c:v>
                  </c:pt>
                  <c:pt idx="10">
                    <c:v>4.0000000000000036E-2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7.999999999999996E-2</c:v>
                  </c:pt>
                  <c:pt idx="21">
                    <c:v>0</c:v>
                  </c:pt>
                  <c:pt idx="22">
                    <c:v>1.0000000000000009E-2</c:v>
                  </c:pt>
                  <c:pt idx="23">
                    <c:v>2.0000000000000018E-2</c:v>
                  </c:pt>
                  <c:pt idx="24">
                    <c:v>1.0000000000000009E-2</c:v>
                  </c:pt>
                  <c:pt idx="25">
                    <c:v>3.9999999999999925E-2</c:v>
                  </c:pt>
                  <c:pt idx="26">
                    <c:v>1.0000000000000009E-2</c:v>
                  </c:pt>
                  <c:pt idx="27">
                    <c:v>2.0000000000000018E-2</c:v>
                  </c:pt>
                  <c:pt idx="28">
                    <c:v>2.0000000000000018E-2</c:v>
                  </c:pt>
                  <c:pt idx="29">
                    <c:v>0</c:v>
                  </c:pt>
                  <c:pt idx="30">
                    <c:v>1.9999999999999907E-2</c:v>
                  </c:pt>
                  <c:pt idx="31">
                    <c:v>4.0000000000000036E-2</c:v>
                  </c:pt>
                  <c:pt idx="32">
                    <c:v>2.0000000000000018E-2</c:v>
                  </c:pt>
                  <c:pt idx="33">
                    <c:v>2.0000000000000018E-2</c:v>
                  </c:pt>
                  <c:pt idx="34">
                    <c:v>5.0000000000000044E-2</c:v>
                  </c:pt>
                  <c:pt idx="35">
                    <c:v>1.0000000000000009E-2</c:v>
                  </c:pt>
                  <c:pt idx="36">
                    <c:v>1.0000000000000009E-2</c:v>
                  </c:pt>
                  <c:pt idx="37">
                    <c:v>1.0000000000000009E-2</c:v>
                  </c:pt>
                  <c:pt idx="38">
                    <c:v>2.0000000000000018E-2</c:v>
                  </c:pt>
                  <c:pt idx="39">
                    <c:v>3.0000000000000027E-2</c:v>
                  </c:pt>
                  <c:pt idx="40">
                    <c:v>0</c:v>
                  </c:pt>
                  <c:pt idx="41">
                    <c:v>1.0000000000000009E-2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1.0000000000000009E-2</c:v>
                  </c:pt>
                  <c:pt idx="46">
                    <c:v>0</c:v>
                  </c:pt>
                  <c:pt idx="47">
                    <c:v>0</c:v>
                  </c:pt>
                  <c:pt idx="48">
                    <c:v>1.0000000000000009E-2</c:v>
                  </c:pt>
                  <c:pt idx="49">
                    <c:v>0</c:v>
                  </c:pt>
                  <c:pt idx="50">
                    <c:v>2.0000000000000018E-2</c:v>
                  </c:pt>
                  <c:pt idx="51">
                    <c:v>0</c:v>
                  </c:pt>
                  <c:pt idx="52">
                    <c:v>0</c:v>
                  </c:pt>
                  <c:pt idx="53">
                    <c:v>4.0000000000000036E-2</c:v>
                  </c:pt>
                  <c:pt idx="54">
                    <c:v>0</c:v>
                  </c:pt>
                  <c:pt idx="55">
                    <c:v>3.0000000000000027E-2</c:v>
                  </c:pt>
                  <c:pt idx="56">
                    <c:v>1.0000000000000009E-2</c:v>
                  </c:pt>
                  <c:pt idx="57">
                    <c:v>0</c:v>
                  </c:pt>
                  <c:pt idx="58">
                    <c:v>0</c:v>
                  </c:pt>
                  <c:pt idx="59">
                    <c:v>0</c:v>
                  </c:pt>
                  <c:pt idx="60">
                    <c:v>0</c:v>
                  </c:pt>
                  <c:pt idx="61">
                    <c:v>1.0000000000000009E-2</c:v>
                  </c:pt>
                  <c:pt idx="62">
                    <c:v>0</c:v>
                  </c:pt>
                  <c:pt idx="63">
                    <c:v>0</c:v>
                  </c:pt>
                  <c:pt idx="64">
                    <c:v>8.9999999999999969E-2</c:v>
                  </c:pt>
                  <c:pt idx="65">
                    <c:v>1.0000000000000009E-2</c:v>
                  </c:pt>
                  <c:pt idx="66">
                    <c:v>0</c:v>
                  </c:pt>
                  <c:pt idx="67">
                    <c:v>3.0000000000000027E-2</c:v>
                  </c:pt>
                  <c:pt idx="68">
                    <c:v>0</c:v>
                  </c:pt>
                  <c:pt idx="69">
                    <c:v>0</c:v>
                  </c:pt>
                  <c:pt idx="70">
                    <c:v>1.0000000000000009E-2</c:v>
                  </c:pt>
                  <c:pt idx="71">
                    <c:v>2.0000000000000018E-2</c:v>
                  </c:pt>
                  <c:pt idx="72">
                    <c:v>0</c:v>
                  </c:pt>
                  <c:pt idx="73">
                    <c:v>2.0000000000000018E-2</c:v>
                  </c:pt>
                  <c:pt idx="74">
                    <c:v>0</c:v>
                  </c:pt>
                  <c:pt idx="75">
                    <c:v>0</c:v>
                  </c:pt>
                  <c:pt idx="76">
                    <c:v>0</c:v>
                  </c:pt>
                  <c:pt idx="77">
                    <c:v>2.0000000000000018E-2</c:v>
                  </c:pt>
                  <c:pt idx="78">
                    <c:v>0</c:v>
                  </c:pt>
                  <c:pt idx="79">
                    <c:v>0</c:v>
                  </c:pt>
                  <c:pt idx="80">
                    <c:v>0</c:v>
                  </c:pt>
                  <c:pt idx="81">
                    <c:v>1.0000000000000009E-2</c:v>
                  </c:pt>
                  <c:pt idx="82">
                    <c:v>0</c:v>
                  </c:pt>
                  <c:pt idx="83">
                    <c:v>0</c:v>
                  </c:pt>
                  <c:pt idx="84">
                    <c:v>0</c:v>
                  </c:pt>
                  <c:pt idx="85">
                    <c:v>1.0000000000000009E-2</c:v>
                  </c:pt>
                  <c:pt idx="86">
                    <c:v>0</c:v>
                  </c:pt>
                  <c:pt idx="87">
                    <c:v>1.0000000000000009E-2</c:v>
                  </c:pt>
                  <c:pt idx="88">
                    <c:v>0</c:v>
                  </c:pt>
                  <c:pt idx="89">
                    <c:v>3.0000000000000027E-2</c:v>
                  </c:pt>
                  <c:pt idx="90">
                    <c:v>1.0000000000000009E-2</c:v>
                  </c:pt>
                </c:numCache>
              </c:numRef>
            </c:plus>
            <c:minus>
              <c:numRef>
                <c:f>'Lower Limb Angioplasty'!$AB$2:$AB$92</c:f>
                <c:numCache>
                  <c:formatCode>General</c:formatCode>
                  <c:ptCount val="91"/>
                  <c:pt idx="0">
                    <c:v>0.14000000000000001</c:v>
                  </c:pt>
                  <c:pt idx="1">
                    <c:v>6.9999999999999951E-2</c:v>
                  </c:pt>
                  <c:pt idx="2">
                    <c:v>8.0000000000000071E-2</c:v>
                  </c:pt>
                  <c:pt idx="3">
                    <c:v>2.0000000000000018E-2</c:v>
                  </c:pt>
                  <c:pt idx="4">
                    <c:v>3.0000000000000027E-2</c:v>
                  </c:pt>
                  <c:pt idx="5">
                    <c:v>0.17000000000000004</c:v>
                  </c:pt>
                  <c:pt idx="6">
                    <c:v>2.0000000000000018E-2</c:v>
                  </c:pt>
                  <c:pt idx="7">
                    <c:v>2.0000000000000018E-2</c:v>
                  </c:pt>
                  <c:pt idx="8">
                    <c:v>0</c:v>
                  </c:pt>
                  <c:pt idx="9">
                    <c:v>2.0000000000000018E-2</c:v>
                  </c:pt>
                  <c:pt idx="10">
                    <c:v>0.14999999999999991</c:v>
                  </c:pt>
                  <c:pt idx="11">
                    <c:v>0</c:v>
                  </c:pt>
                  <c:pt idx="12">
                    <c:v>0.12</c:v>
                  </c:pt>
                  <c:pt idx="13">
                    <c:v>0</c:v>
                  </c:pt>
                  <c:pt idx="14">
                    <c:v>8.9999999999999969E-2</c:v>
                  </c:pt>
                  <c:pt idx="15">
                    <c:v>5.0000000000000044E-2</c:v>
                  </c:pt>
                  <c:pt idx="16">
                    <c:v>0</c:v>
                  </c:pt>
                  <c:pt idx="17">
                    <c:v>0</c:v>
                  </c:pt>
                  <c:pt idx="18">
                    <c:v>0.20999999999999996</c:v>
                  </c:pt>
                  <c:pt idx="19">
                    <c:v>2.0000000000000018E-2</c:v>
                  </c:pt>
                  <c:pt idx="20">
                    <c:v>0.15000000000000002</c:v>
                  </c:pt>
                  <c:pt idx="21">
                    <c:v>0</c:v>
                  </c:pt>
                  <c:pt idx="22">
                    <c:v>4.0000000000000036E-2</c:v>
                  </c:pt>
                  <c:pt idx="23">
                    <c:v>2.9999999999999916E-2</c:v>
                  </c:pt>
                  <c:pt idx="24">
                    <c:v>1.0000000000000009E-2</c:v>
                  </c:pt>
                  <c:pt idx="25">
                    <c:v>6.0000000000000053E-2</c:v>
                  </c:pt>
                  <c:pt idx="26">
                    <c:v>2.0000000000000018E-2</c:v>
                  </c:pt>
                  <c:pt idx="27">
                    <c:v>1.9999999999999907E-2</c:v>
                  </c:pt>
                  <c:pt idx="28">
                    <c:v>7.999999999999996E-2</c:v>
                  </c:pt>
                  <c:pt idx="29">
                    <c:v>0</c:v>
                  </c:pt>
                  <c:pt idx="30">
                    <c:v>3.0000000000000027E-2</c:v>
                  </c:pt>
                  <c:pt idx="31">
                    <c:v>7.999999999999996E-2</c:v>
                  </c:pt>
                  <c:pt idx="32">
                    <c:v>3.0000000000000027E-2</c:v>
                  </c:pt>
                  <c:pt idx="33">
                    <c:v>3.9999999999999925E-2</c:v>
                  </c:pt>
                  <c:pt idx="34">
                    <c:v>0.12999999999999989</c:v>
                  </c:pt>
                  <c:pt idx="35">
                    <c:v>0</c:v>
                  </c:pt>
                  <c:pt idx="36">
                    <c:v>3.0000000000000027E-2</c:v>
                  </c:pt>
                  <c:pt idx="37">
                    <c:v>1.9999999999999907E-2</c:v>
                  </c:pt>
                  <c:pt idx="38">
                    <c:v>1.0000000000000009E-2</c:v>
                  </c:pt>
                  <c:pt idx="39">
                    <c:v>5.9999999999999942E-2</c:v>
                  </c:pt>
                  <c:pt idx="40">
                    <c:v>1.0000000000000009E-2</c:v>
                  </c:pt>
                  <c:pt idx="41">
                    <c:v>3.0000000000000027E-2</c:v>
                  </c:pt>
                  <c:pt idx="42">
                    <c:v>0.12</c:v>
                  </c:pt>
                  <c:pt idx="43">
                    <c:v>2.0000000000000018E-2</c:v>
                  </c:pt>
                  <c:pt idx="44">
                    <c:v>0.17000000000000004</c:v>
                  </c:pt>
                  <c:pt idx="45">
                    <c:v>3.0000000000000027E-2</c:v>
                  </c:pt>
                  <c:pt idx="46">
                    <c:v>0</c:v>
                  </c:pt>
                  <c:pt idx="47">
                    <c:v>4.0000000000000036E-2</c:v>
                  </c:pt>
                  <c:pt idx="48">
                    <c:v>5.9999999999999942E-2</c:v>
                  </c:pt>
                  <c:pt idx="49">
                    <c:v>2.0000000000000018E-2</c:v>
                  </c:pt>
                  <c:pt idx="50">
                    <c:v>3.9999999999999925E-2</c:v>
                  </c:pt>
                  <c:pt idx="51">
                    <c:v>0</c:v>
                  </c:pt>
                  <c:pt idx="52">
                    <c:v>0</c:v>
                  </c:pt>
                  <c:pt idx="53">
                    <c:v>0.12</c:v>
                  </c:pt>
                  <c:pt idx="54">
                    <c:v>0.22999999999999998</c:v>
                  </c:pt>
                  <c:pt idx="55">
                    <c:v>4.9999999999999933E-2</c:v>
                  </c:pt>
                  <c:pt idx="56">
                    <c:v>2.0000000000000018E-2</c:v>
                  </c:pt>
                  <c:pt idx="57">
                    <c:v>0</c:v>
                  </c:pt>
                  <c:pt idx="58">
                    <c:v>0</c:v>
                  </c:pt>
                  <c:pt idx="59">
                    <c:v>0.28000000000000003</c:v>
                  </c:pt>
                  <c:pt idx="60">
                    <c:v>0.13</c:v>
                  </c:pt>
                  <c:pt idx="61">
                    <c:v>2.0000000000000018E-2</c:v>
                  </c:pt>
                  <c:pt idx="62">
                    <c:v>1.0000000000000009E-2</c:v>
                  </c:pt>
                  <c:pt idx="63">
                    <c:v>0</c:v>
                  </c:pt>
                  <c:pt idx="64">
                    <c:v>0.32000000000000006</c:v>
                  </c:pt>
                  <c:pt idx="65">
                    <c:v>1.0000000000000009E-2</c:v>
                  </c:pt>
                  <c:pt idx="66">
                    <c:v>0</c:v>
                  </c:pt>
                  <c:pt idx="67">
                    <c:v>0.14000000000000001</c:v>
                  </c:pt>
                  <c:pt idx="68">
                    <c:v>0</c:v>
                  </c:pt>
                  <c:pt idx="69">
                    <c:v>2.0000000000000018E-2</c:v>
                  </c:pt>
                  <c:pt idx="70">
                    <c:v>3.0000000000000027E-2</c:v>
                  </c:pt>
                  <c:pt idx="71">
                    <c:v>0.10999999999999999</c:v>
                  </c:pt>
                  <c:pt idx="72">
                    <c:v>2.0000000000000018E-2</c:v>
                  </c:pt>
                  <c:pt idx="73">
                    <c:v>4.0000000000000036E-2</c:v>
                  </c:pt>
                  <c:pt idx="74">
                    <c:v>2.0000000000000018E-2</c:v>
                  </c:pt>
                  <c:pt idx="75">
                    <c:v>0</c:v>
                  </c:pt>
                  <c:pt idx="76">
                    <c:v>4.0000000000000036E-2</c:v>
                  </c:pt>
                  <c:pt idx="77">
                    <c:v>3.0000000000000027E-2</c:v>
                  </c:pt>
                  <c:pt idx="78">
                    <c:v>0.15000000000000002</c:v>
                  </c:pt>
                  <c:pt idx="79">
                    <c:v>1.0000000000000009E-2</c:v>
                  </c:pt>
                  <c:pt idx="80">
                    <c:v>1.0000000000000009E-2</c:v>
                  </c:pt>
                  <c:pt idx="81">
                    <c:v>1.0000000000000009E-2</c:v>
                  </c:pt>
                  <c:pt idx="82">
                    <c:v>0</c:v>
                  </c:pt>
                  <c:pt idx="83">
                    <c:v>0</c:v>
                  </c:pt>
                  <c:pt idx="84">
                    <c:v>0.22999999999999998</c:v>
                  </c:pt>
                  <c:pt idx="85">
                    <c:v>1.0000000000000009E-2</c:v>
                  </c:pt>
                  <c:pt idx="86">
                    <c:v>0</c:v>
                  </c:pt>
                  <c:pt idx="87">
                    <c:v>1.0000000000000009E-2</c:v>
                  </c:pt>
                  <c:pt idx="88">
                    <c:v>0.25</c:v>
                  </c:pt>
                  <c:pt idx="89">
                    <c:v>4.9999999999999933E-2</c:v>
                  </c:pt>
                  <c:pt idx="90">
                    <c:v>1.0000000000000009E-2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'Lower Limb Angioplasty'!$Z$2:$Z$92</c:f>
              <c:numCache>
                <c:formatCode>General</c:formatCode>
                <c:ptCount val="91"/>
                <c:pt idx="0">
                  <c:v>46</c:v>
                </c:pt>
                <c:pt idx="1">
                  <c:v>47</c:v>
                </c:pt>
                <c:pt idx="2">
                  <c:v>3</c:v>
                </c:pt>
                <c:pt idx="3">
                  <c:v>7</c:v>
                </c:pt>
                <c:pt idx="4">
                  <c:v>19</c:v>
                </c:pt>
                <c:pt idx="5">
                  <c:v>48</c:v>
                </c:pt>
                <c:pt idx="6">
                  <c:v>37</c:v>
                </c:pt>
                <c:pt idx="7">
                  <c:v>38</c:v>
                </c:pt>
                <c:pt idx="8">
                  <c:v>0</c:v>
                </c:pt>
                <c:pt idx="9">
                  <c:v>39</c:v>
                </c:pt>
                <c:pt idx="10">
                  <c:v>16</c:v>
                </c:pt>
                <c:pt idx="11">
                  <c:v>0</c:v>
                </c:pt>
                <c:pt idx="12">
                  <c:v>49</c:v>
                </c:pt>
                <c:pt idx="13">
                  <c:v>0</c:v>
                </c:pt>
                <c:pt idx="14">
                  <c:v>50</c:v>
                </c:pt>
                <c:pt idx="15">
                  <c:v>51</c:v>
                </c:pt>
                <c:pt idx="16">
                  <c:v>0</c:v>
                </c:pt>
                <c:pt idx="17">
                  <c:v>0</c:v>
                </c:pt>
                <c:pt idx="18">
                  <c:v>52</c:v>
                </c:pt>
                <c:pt idx="19">
                  <c:v>53</c:v>
                </c:pt>
                <c:pt idx="20">
                  <c:v>1</c:v>
                </c:pt>
                <c:pt idx="21">
                  <c:v>0</c:v>
                </c:pt>
                <c:pt idx="22">
                  <c:v>40</c:v>
                </c:pt>
                <c:pt idx="23">
                  <c:v>13</c:v>
                </c:pt>
                <c:pt idx="24">
                  <c:v>20</c:v>
                </c:pt>
                <c:pt idx="25">
                  <c:v>5</c:v>
                </c:pt>
                <c:pt idx="26">
                  <c:v>21</c:v>
                </c:pt>
                <c:pt idx="27">
                  <c:v>8</c:v>
                </c:pt>
                <c:pt idx="28">
                  <c:v>26</c:v>
                </c:pt>
                <c:pt idx="29">
                  <c:v>0</c:v>
                </c:pt>
                <c:pt idx="30">
                  <c:v>6</c:v>
                </c:pt>
                <c:pt idx="31">
                  <c:v>9</c:v>
                </c:pt>
                <c:pt idx="32">
                  <c:v>27</c:v>
                </c:pt>
                <c:pt idx="33">
                  <c:v>22</c:v>
                </c:pt>
                <c:pt idx="34">
                  <c:v>10</c:v>
                </c:pt>
                <c:pt idx="35">
                  <c:v>41</c:v>
                </c:pt>
                <c:pt idx="36">
                  <c:v>28</c:v>
                </c:pt>
                <c:pt idx="37">
                  <c:v>14</c:v>
                </c:pt>
                <c:pt idx="38">
                  <c:v>23</c:v>
                </c:pt>
                <c:pt idx="39">
                  <c:v>17</c:v>
                </c:pt>
                <c:pt idx="40">
                  <c:v>54</c:v>
                </c:pt>
                <c:pt idx="41">
                  <c:v>29</c:v>
                </c:pt>
                <c:pt idx="42">
                  <c:v>55</c:v>
                </c:pt>
                <c:pt idx="43">
                  <c:v>56</c:v>
                </c:pt>
                <c:pt idx="44">
                  <c:v>57</c:v>
                </c:pt>
                <c:pt idx="45">
                  <c:v>30</c:v>
                </c:pt>
                <c:pt idx="46">
                  <c:v>0</c:v>
                </c:pt>
                <c:pt idx="47">
                  <c:v>58</c:v>
                </c:pt>
                <c:pt idx="48">
                  <c:v>42</c:v>
                </c:pt>
                <c:pt idx="49">
                  <c:v>59</c:v>
                </c:pt>
                <c:pt idx="50">
                  <c:v>11</c:v>
                </c:pt>
                <c:pt idx="51">
                  <c:v>0</c:v>
                </c:pt>
                <c:pt idx="52">
                  <c:v>0</c:v>
                </c:pt>
                <c:pt idx="53">
                  <c:v>15</c:v>
                </c:pt>
                <c:pt idx="54">
                  <c:v>60</c:v>
                </c:pt>
                <c:pt idx="55">
                  <c:v>12</c:v>
                </c:pt>
                <c:pt idx="56">
                  <c:v>24</c:v>
                </c:pt>
                <c:pt idx="57">
                  <c:v>0</c:v>
                </c:pt>
                <c:pt idx="58">
                  <c:v>0</c:v>
                </c:pt>
                <c:pt idx="59">
                  <c:v>61</c:v>
                </c:pt>
                <c:pt idx="60">
                  <c:v>62</c:v>
                </c:pt>
                <c:pt idx="61">
                  <c:v>43</c:v>
                </c:pt>
                <c:pt idx="62">
                  <c:v>63</c:v>
                </c:pt>
                <c:pt idx="63">
                  <c:v>0</c:v>
                </c:pt>
                <c:pt idx="64">
                  <c:v>4</c:v>
                </c:pt>
                <c:pt idx="65">
                  <c:v>44</c:v>
                </c:pt>
                <c:pt idx="66">
                  <c:v>0</c:v>
                </c:pt>
                <c:pt idx="67">
                  <c:v>25</c:v>
                </c:pt>
                <c:pt idx="68">
                  <c:v>0</c:v>
                </c:pt>
                <c:pt idx="69">
                  <c:v>64</c:v>
                </c:pt>
                <c:pt idx="70">
                  <c:v>31</c:v>
                </c:pt>
                <c:pt idx="71">
                  <c:v>32</c:v>
                </c:pt>
                <c:pt idx="72">
                  <c:v>65</c:v>
                </c:pt>
                <c:pt idx="73">
                  <c:v>33</c:v>
                </c:pt>
                <c:pt idx="74">
                  <c:v>66</c:v>
                </c:pt>
                <c:pt idx="75">
                  <c:v>0</c:v>
                </c:pt>
                <c:pt idx="76">
                  <c:v>67</c:v>
                </c:pt>
                <c:pt idx="77">
                  <c:v>2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34</c:v>
                </c:pt>
                <c:pt idx="82">
                  <c:v>0</c:v>
                </c:pt>
                <c:pt idx="83">
                  <c:v>0</c:v>
                </c:pt>
                <c:pt idx="84">
                  <c:v>71</c:v>
                </c:pt>
                <c:pt idx="85">
                  <c:v>35</c:v>
                </c:pt>
                <c:pt idx="86">
                  <c:v>0</c:v>
                </c:pt>
                <c:pt idx="87">
                  <c:v>36</c:v>
                </c:pt>
                <c:pt idx="88">
                  <c:v>72</c:v>
                </c:pt>
                <c:pt idx="89">
                  <c:v>18</c:v>
                </c:pt>
                <c:pt idx="90">
                  <c:v>45</c:v>
                </c:pt>
              </c:numCache>
            </c:numRef>
          </c:xVal>
          <c:yVal>
            <c:numRef>
              <c:f>'Lower Limb Angioplasty'!$AA$2:$AA$92</c:f>
              <c:numCache>
                <c:formatCode>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0.91</c:v>
                </c:pt>
                <c:pt idx="3">
                  <c:v>0.93</c:v>
                </c:pt>
                <c:pt idx="4">
                  <c:v>0.97</c:v>
                </c:pt>
                <c:pt idx="5">
                  <c:v>1</c:v>
                </c:pt>
                <c:pt idx="6">
                  <c:v>0.99</c:v>
                </c:pt>
                <c:pt idx="7">
                  <c:v>0.99</c:v>
                </c:pt>
                <c:pt idx="8">
                  <c:v>0</c:v>
                </c:pt>
                <c:pt idx="9">
                  <c:v>0.99</c:v>
                </c:pt>
                <c:pt idx="10">
                  <c:v>0.96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0.88</c:v>
                </c:pt>
                <c:pt idx="21">
                  <c:v>0</c:v>
                </c:pt>
                <c:pt idx="22">
                  <c:v>0.99</c:v>
                </c:pt>
                <c:pt idx="23">
                  <c:v>0.95</c:v>
                </c:pt>
                <c:pt idx="24">
                  <c:v>0.97</c:v>
                </c:pt>
                <c:pt idx="25">
                  <c:v>0.92</c:v>
                </c:pt>
                <c:pt idx="26">
                  <c:v>0.97</c:v>
                </c:pt>
                <c:pt idx="27">
                  <c:v>0.94</c:v>
                </c:pt>
                <c:pt idx="28">
                  <c:v>0.98</c:v>
                </c:pt>
                <c:pt idx="29">
                  <c:v>0</c:v>
                </c:pt>
                <c:pt idx="30">
                  <c:v>0.92</c:v>
                </c:pt>
                <c:pt idx="31">
                  <c:v>0.94</c:v>
                </c:pt>
                <c:pt idx="32">
                  <c:v>0.98</c:v>
                </c:pt>
                <c:pt idx="33">
                  <c:v>0.97</c:v>
                </c:pt>
                <c:pt idx="34">
                  <c:v>0.94</c:v>
                </c:pt>
                <c:pt idx="35">
                  <c:v>0.99</c:v>
                </c:pt>
                <c:pt idx="36">
                  <c:v>0.98</c:v>
                </c:pt>
                <c:pt idx="37">
                  <c:v>0.95</c:v>
                </c:pt>
                <c:pt idx="38">
                  <c:v>0.97</c:v>
                </c:pt>
                <c:pt idx="39">
                  <c:v>0.96</c:v>
                </c:pt>
                <c:pt idx="40">
                  <c:v>1</c:v>
                </c:pt>
                <c:pt idx="41">
                  <c:v>0.98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0.98</c:v>
                </c:pt>
                <c:pt idx="46">
                  <c:v>0</c:v>
                </c:pt>
                <c:pt idx="47">
                  <c:v>1</c:v>
                </c:pt>
                <c:pt idx="48">
                  <c:v>0.99</c:v>
                </c:pt>
                <c:pt idx="49">
                  <c:v>1</c:v>
                </c:pt>
                <c:pt idx="50">
                  <c:v>0.94</c:v>
                </c:pt>
                <c:pt idx="51">
                  <c:v>0</c:v>
                </c:pt>
                <c:pt idx="52">
                  <c:v>0</c:v>
                </c:pt>
                <c:pt idx="53">
                  <c:v>0.95</c:v>
                </c:pt>
                <c:pt idx="54">
                  <c:v>1</c:v>
                </c:pt>
                <c:pt idx="55">
                  <c:v>0.94</c:v>
                </c:pt>
                <c:pt idx="56">
                  <c:v>0.97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0.99</c:v>
                </c:pt>
                <c:pt idx="62">
                  <c:v>1</c:v>
                </c:pt>
                <c:pt idx="63">
                  <c:v>0</c:v>
                </c:pt>
                <c:pt idx="64">
                  <c:v>0.91</c:v>
                </c:pt>
                <c:pt idx="65">
                  <c:v>0.99</c:v>
                </c:pt>
                <c:pt idx="66">
                  <c:v>0</c:v>
                </c:pt>
                <c:pt idx="67">
                  <c:v>0.97</c:v>
                </c:pt>
                <c:pt idx="68">
                  <c:v>0</c:v>
                </c:pt>
                <c:pt idx="69">
                  <c:v>1</c:v>
                </c:pt>
                <c:pt idx="70">
                  <c:v>0.98</c:v>
                </c:pt>
                <c:pt idx="71">
                  <c:v>0.98</c:v>
                </c:pt>
                <c:pt idx="72">
                  <c:v>1</c:v>
                </c:pt>
                <c:pt idx="73">
                  <c:v>0.98</c:v>
                </c:pt>
                <c:pt idx="74">
                  <c:v>1</c:v>
                </c:pt>
                <c:pt idx="75">
                  <c:v>0</c:v>
                </c:pt>
                <c:pt idx="76">
                  <c:v>1</c:v>
                </c:pt>
                <c:pt idx="77">
                  <c:v>0.9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0.98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0.98</c:v>
                </c:pt>
                <c:pt idx="86">
                  <c:v>0</c:v>
                </c:pt>
                <c:pt idx="87">
                  <c:v>0.98</c:v>
                </c:pt>
                <c:pt idx="88">
                  <c:v>1</c:v>
                </c:pt>
                <c:pt idx="89">
                  <c:v>0.96</c:v>
                </c:pt>
                <c:pt idx="90">
                  <c:v>0.99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E2-4902-A5A9-FE95435675CF}"/>
            </c:ext>
          </c:extLst>
        </c:ser>
        <c:ser>
          <c:idx val="1"/>
          <c:order val="1"/>
          <c:tx>
            <c:strRef>
              <c:f>'Angioplasty Summary'!$B$1</c:f>
              <c:strCache>
                <c:ptCount val="1"/>
                <c:pt idx="0">
                  <c:v>Aintree University Hospital NHS Foundation Trust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'Angioplasty Summary'!$AC$4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plus>
            <c:minus>
              <c:numRef>
                <c:f>'Angioplasty Summary'!$AB$4</c:f>
                <c:numCache>
                  <c:formatCode>General</c:formatCode>
                  <c:ptCount val="1"/>
                  <c:pt idx="0">
                    <c:v>0.14000000000000001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'Angioplasty Summary'!$AD$4</c:f>
              <c:numCache>
                <c:formatCode>General</c:formatCode>
                <c:ptCount val="1"/>
                <c:pt idx="0">
                  <c:v>46</c:v>
                </c:pt>
              </c:numCache>
            </c:numRef>
          </c:xVal>
          <c:yVal>
            <c:numRef>
              <c:f>'Angioplasty Summary'!$AA$4</c:f>
              <c:numCache>
                <c:formatCode>0%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E2-4902-A5A9-FE9543567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valAx>
        <c:axId val="606186136"/>
        <c:scaling>
          <c:orientation val="minMax"/>
          <c:max val="76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crossBetween val="midCat"/>
      </c:valAx>
      <c:valAx>
        <c:axId val="6061838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'Amputation Summary'!$Q$3</c:f>
          <c:strCache>
            <c:ptCount val="1"/>
            <c:pt idx="0">
              <c:v>AKA:BKA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'Amputation Summary'!$Q$3</c:f>
              <c:strCache>
                <c:ptCount val="1"/>
                <c:pt idx="0">
                  <c:v>AKA:BKA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'Major Lower Limb Amputation'!$AC$8:$AC$87</c:f>
                <c:numCache>
                  <c:formatCode>General</c:formatCode>
                  <c:ptCount val="80"/>
                  <c:pt idx="0">
                    <c:v>70.745891332626343</c:v>
                  </c:pt>
                  <c:pt idx="1">
                    <c:v>90.564334392547607</c:v>
                  </c:pt>
                  <c:pt idx="2">
                    <c:v>131.7878246307373</c:v>
                  </c:pt>
                  <c:pt idx="3">
                    <c:v>44.085723161697388</c:v>
                  </c:pt>
                  <c:pt idx="4">
                    <c:v>873.3884334564209</c:v>
                  </c:pt>
                  <c:pt idx="5">
                    <c:v>98.72901439666748</c:v>
                  </c:pt>
                  <c:pt idx="6">
                    <c:v>24.61521327495575</c:v>
                  </c:pt>
                  <c:pt idx="7">
                    <c:v>65.021545439958572</c:v>
                  </c:pt>
                  <c:pt idx="8">
                    <c:v>518.56772899627686</c:v>
                  </c:pt>
                  <c:pt idx="9">
                    <c:v>67.597919702529907</c:v>
                  </c:pt>
                  <c:pt idx="10">
                    <c:v>225.96118450164795</c:v>
                  </c:pt>
                  <c:pt idx="11">
                    <c:v>42.272317409515381</c:v>
                  </c:pt>
                  <c:pt idx="12">
                    <c:v>53.99133563041687</c:v>
                  </c:pt>
                  <c:pt idx="13">
                    <c:v>116.20833873748779</c:v>
                  </c:pt>
                  <c:pt idx="14">
                    <c:v>81.500405073165894</c:v>
                  </c:pt>
                  <c:pt idx="15">
                    <c:v>55.429095029830933</c:v>
                  </c:pt>
                  <c:pt idx="16">
                    <c:v>49.273538589477539</c:v>
                  </c:pt>
                  <c:pt idx="17">
                    <c:v>53.724926710128784</c:v>
                  </c:pt>
                  <c:pt idx="18">
                    <c:v>33.02847295999527</c:v>
                  </c:pt>
                  <c:pt idx="19">
                    <c:v>65.710163116455078</c:v>
                  </c:pt>
                  <c:pt idx="20">
                    <c:v>101.31118893623352</c:v>
                  </c:pt>
                  <c:pt idx="21">
                    <c:v>139.09354209899902</c:v>
                  </c:pt>
                  <c:pt idx="22">
                    <c:v>33.198767900466919</c:v>
                  </c:pt>
                  <c:pt idx="23">
                    <c:v>238.3617490530014</c:v>
                  </c:pt>
                  <c:pt idx="24">
                    <c:v>50.850379467010498</c:v>
                  </c:pt>
                  <c:pt idx="25">
                    <c:v>54.626768827438354</c:v>
                  </c:pt>
                  <c:pt idx="26">
                    <c:v>32.693460583686829</c:v>
                  </c:pt>
                  <c:pt idx="27">
                    <c:v>99.349668622016907</c:v>
                  </c:pt>
                  <c:pt idx="28">
                    <c:v>167.94888973236084</c:v>
                  </c:pt>
                  <c:pt idx="29">
                    <c:v>131.52559995651245</c:v>
                  </c:pt>
                  <c:pt idx="30">
                    <c:v>61.501657962799072</c:v>
                  </c:pt>
                  <c:pt idx="31">
                    <c:v>51.343232393264771</c:v>
                  </c:pt>
                  <c:pt idx="32">
                    <c:v>119.58447694778442</c:v>
                  </c:pt>
                  <c:pt idx="33">
                    <c:v>131.14522099494934</c:v>
                  </c:pt>
                  <c:pt idx="34">
                    <c:v>80.732154846191406</c:v>
                  </c:pt>
                  <c:pt idx="35">
                    <c:v>80.999290943145752</c:v>
                  </c:pt>
                  <c:pt idx="36">
                    <c:v>162.01089322566986</c:v>
                  </c:pt>
                  <c:pt idx="37">
                    <c:v>82.77839720249176</c:v>
                  </c:pt>
                  <c:pt idx="38">
                    <c:v>114.99506533145905</c:v>
                  </c:pt>
                  <c:pt idx="39">
                    <c:v>52.88860872387886</c:v>
                  </c:pt>
                  <c:pt idx="40">
                    <c:v>137.63517737388611</c:v>
                  </c:pt>
                  <c:pt idx="41">
                    <c:v>54.528361558914185</c:v>
                  </c:pt>
                  <c:pt idx="42">
                    <c:v>35.200829803943634</c:v>
                  </c:pt>
                  <c:pt idx="43">
                    <c:v>70.082968473434448</c:v>
                  </c:pt>
                  <c:pt idx="44">
                    <c:v>0</c:v>
                  </c:pt>
                  <c:pt idx="45">
                    <c:v>149.26291704177856</c:v>
                  </c:pt>
                  <c:pt idx="46">
                    <c:v>52.096891403198242</c:v>
                  </c:pt>
                  <c:pt idx="47">
                    <c:v>37.920683622360229</c:v>
                  </c:pt>
                  <c:pt idx="48">
                    <c:v>63.873893022537231</c:v>
                  </c:pt>
                  <c:pt idx="49">
                    <c:v>42.640239000320435</c:v>
                  </c:pt>
                  <c:pt idx="50">
                    <c:v>240.21111130714417</c:v>
                  </c:pt>
                  <c:pt idx="51">
                    <c:v>52.797520160675049</c:v>
                  </c:pt>
                  <c:pt idx="52">
                    <c:v>64.76912796497345</c:v>
                  </c:pt>
                  <c:pt idx="53">
                    <c:v>60.224199295043945</c:v>
                  </c:pt>
                  <c:pt idx="54">
                    <c:v>120.3366219997406</c:v>
                  </c:pt>
                  <c:pt idx="55">
                    <c:v>67.465260624885559</c:v>
                  </c:pt>
                  <c:pt idx="56">
                    <c:v>42.116570472717285</c:v>
                  </c:pt>
                  <c:pt idx="57">
                    <c:v>41.436570882797241</c:v>
                  </c:pt>
                  <c:pt idx="58">
                    <c:v>65.316087007522583</c:v>
                  </c:pt>
                  <c:pt idx="59">
                    <c:v>111.11932992935181</c:v>
                  </c:pt>
                  <c:pt idx="60">
                    <c:v>54.10524308681488</c:v>
                  </c:pt>
                  <c:pt idx="61">
                    <c:v>74.382609128952026</c:v>
                  </c:pt>
                  <c:pt idx="62">
                    <c:v>201.96572542190552</c:v>
                  </c:pt>
                  <c:pt idx="63">
                    <c:v>43.450470268726349</c:v>
                  </c:pt>
                  <c:pt idx="64">
                    <c:v>191.43414497375488</c:v>
                  </c:pt>
                  <c:pt idx="65">
                    <c:v>72.079086303710938</c:v>
                  </c:pt>
                  <c:pt idx="66">
                    <c:v>111.64698600769043</c:v>
                  </c:pt>
                  <c:pt idx="67">
                    <c:v>66.094928979873657</c:v>
                  </c:pt>
                  <c:pt idx="68">
                    <c:v>79.97237890958786</c:v>
                  </c:pt>
                  <c:pt idx="69">
                    <c:v>130.69995641708374</c:v>
                  </c:pt>
                  <c:pt idx="70">
                    <c:v>36.941158771514893</c:v>
                  </c:pt>
                  <c:pt idx="71">
                    <c:v>29.604479670524597</c:v>
                  </c:pt>
                  <c:pt idx="72">
                    <c:v>28.885337710380554</c:v>
                  </c:pt>
                  <c:pt idx="73">
                    <c:v>53.274816274642944</c:v>
                  </c:pt>
                  <c:pt idx="74">
                    <c:v>90.274941921234131</c:v>
                  </c:pt>
                  <c:pt idx="75">
                    <c:v>112.47773170471191</c:v>
                  </c:pt>
                  <c:pt idx="76">
                    <c:v>99.974650144577026</c:v>
                  </c:pt>
                  <c:pt idx="77">
                    <c:v>475.28545558452606</c:v>
                  </c:pt>
                  <c:pt idx="78">
                    <c:v>78.430455923080444</c:v>
                  </c:pt>
                  <c:pt idx="79">
                    <c:v>75.104230642318726</c:v>
                  </c:pt>
                </c:numCache>
              </c:numRef>
            </c:plus>
            <c:minus>
              <c:numRef>
                <c:f>'Major Lower Limb Amputation'!$AB$8:$AB$87</c:f>
                <c:numCache>
                  <c:formatCode>General</c:formatCode>
                  <c:ptCount val="80"/>
                  <c:pt idx="0">
                    <c:v>28.228857755661011</c:v>
                  </c:pt>
                  <c:pt idx="1">
                    <c:v>35.851685047149658</c:v>
                  </c:pt>
                  <c:pt idx="2">
                    <c:v>53.151144027709961</c:v>
                  </c:pt>
                  <c:pt idx="3">
                    <c:v>19.025252103805542</c:v>
                  </c:pt>
                  <c:pt idx="4">
                    <c:v>174.72873497009277</c:v>
                  </c:pt>
                  <c:pt idx="5">
                    <c:v>39.135469436645494</c:v>
                  </c:pt>
                  <c:pt idx="6">
                    <c:v>11.058301329612732</c:v>
                  </c:pt>
                  <c:pt idx="7">
                    <c:v>17.604473859071735</c:v>
                  </c:pt>
                  <c:pt idx="8">
                    <c:v>185.69688320159912</c:v>
                  </c:pt>
                  <c:pt idx="9">
                    <c:v>29.203656435012817</c:v>
                  </c:pt>
                  <c:pt idx="10">
                    <c:v>81.062516212463379</c:v>
                  </c:pt>
                  <c:pt idx="11">
                    <c:v>18.014771938323975</c:v>
                  </c:pt>
                  <c:pt idx="12">
                    <c:v>22.164015054702759</c:v>
                  </c:pt>
                  <c:pt idx="13">
                    <c:v>44.974252700805664</c:v>
                  </c:pt>
                  <c:pt idx="14">
                    <c:v>34.175590753555298</c:v>
                  </c:pt>
                  <c:pt idx="15">
                    <c:v>23.453528165817261</c:v>
                  </c:pt>
                  <c:pt idx="16">
                    <c:v>18.334038257598877</c:v>
                  </c:pt>
                  <c:pt idx="17">
                    <c:v>21.81793475151062</c:v>
                  </c:pt>
                  <c:pt idx="18">
                    <c:v>9.8136035799980164</c:v>
                  </c:pt>
                  <c:pt idx="19">
                    <c:v>26.658317089080811</c:v>
                  </c:pt>
                  <c:pt idx="20">
                    <c:v>41.202795267105103</c:v>
                  </c:pt>
                  <c:pt idx="21">
                    <c:v>55.945154190063477</c:v>
                  </c:pt>
                  <c:pt idx="22">
                    <c:v>14.105669498443604</c:v>
                  </c:pt>
                  <c:pt idx="23">
                    <c:v>70.053462386131287</c:v>
                  </c:pt>
                  <c:pt idx="24">
                    <c:v>20.950765609741211</c:v>
                  </c:pt>
                  <c:pt idx="25">
                    <c:v>23.503460645675659</c:v>
                  </c:pt>
                  <c:pt idx="26">
                    <c:v>14.15978729724884</c:v>
                  </c:pt>
                  <c:pt idx="27">
                    <c:v>35.655948281288147</c:v>
                  </c:pt>
                  <c:pt idx="28">
                    <c:v>55.989777565002456</c:v>
                  </c:pt>
                  <c:pt idx="29">
                    <c:v>52.775094509124756</c:v>
                  </c:pt>
                  <c:pt idx="30">
                    <c:v>26.965127468109131</c:v>
                  </c:pt>
                  <c:pt idx="31">
                    <c:v>19.679965496063232</c:v>
                  </c:pt>
                  <c:pt idx="32">
                    <c:v>45.615238189697266</c:v>
                  </c:pt>
                  <c:pt idx="33">
                    <c:v>49.185494661331177</c:v>
                  </c:pt>
                  <c:pt idx="34">
                    <c:v>31.363867282867432</c:v>
                  </c:pt>
                  <c:pt idx="35">
                    <c:v>35.658959865570068</c:v>
                  </c:pt>
                  <c:pt idx="36">
                    <c:v>48.027508139610291</c:v>
                  </c:pt>
                  <c:pt idx="37">
                    <c:v>26.928191304206848</c:v>
                  </c:pt>
                  <c:pt idx="38">
                    <c:v>27.454929947853088</c:v>
                  </c:pt>
                  <c:pt idx="39">
                    <c:v>14.732944756746292</c:v>
                  </c:pt>
                  <c:pt idx="40">
                    <c:v>52.504640340805054</c:v>
                  </c:pt>
                  <c:pt idx="41">
                    <c:v>21.269294261932373</c:v>
                  </c:pt>
                  <c:pt idx="42">
                    <c:v>13.314978420734406</c:v>
                  </c:pt>
                  <c:pt idx="43">
                    <c:v>29.86432051658629</c:v>
                  </c:pt>
                  <c:pt idx="44">
                    <c:v>0</c:v>
                  </c:pt>
                  <c:pt idx="45">
                    <c:v>54.046928882598877</c:v>
                  </c:pt>
                  <c:pt idx="46">
                    <c:v>22.393694877624512</c:v>
                  </c:pt>
                  <c:pt idx="47">
                    <c:v>16.329209327697754</c:v>
                  </c:pt>
                  <c:pt idx="48">
                    <c:v>26.659715414047241</c:v>
                  </c:pt>
                  <c:pt idx="49">
                    <c:v>17.263702392578125</c:v>
                  </c:pt>
                  <c:pt idx="50">
                    <c:v>59.211820840835571</c:v>
                  </c:pt>
                  <c:pt idx="51">
                    <c:v>23.275396823883071</c:v>
                  </c:pt>
                  <c:pt idx="52">
                    <c:v>25.256357789039612</c:v>
                  </c:pt>
                  <c:pt idx="53">
                    <c:v>25.718844890594482</c:v>
                  </c:pt>
                  <c:pt idx="54">
                    <c:v>42.075571775436401</c:v>
                  </c:pt>
                  <c:pt idx="55">
                    <c:v>26.406802773475647</c:v>
                  </c:pt>
                  <c:pt idx="56">
                    <c:v>17.353739023208611</c:v>
                  </c:pt>
                  <c:pt idx="57">
                    <c:v>16.518216371536255</c:v>
                  </c:pt>
                  <c:pt idx="58">
                    <c:v>26.464165925979614</c:v>
                  </c:pt>
                  <c:pt idx="59">
                    <c:v>47.76056432723999</c:v>
                  </c:pt>
                  <c:pt idx="60">
                    <c:v>21.647762656211853</c:v>
                  </c:pt>
                  <c:pt idx="61">
                    <c:v>30.371491193771362</c:v>
                  </c:pt>
                  <c:pt idx="62">
                    <c:v>79.705945491790771</c:v>
                  </c:pt>
                  <c:pt idx="63">
                    <c:v>14.870436251163483</c:v>
                  </c:pt>
                  <c:pt idx="64">
                    <c:v>73.992562294006348</c:v>
                  </c:pt>
                  <c:pt idx="65">
                    <c:v>31.852236270904541</c:v>
                  </c:pt>
                  <c:pt idx="66">
                    <c:v>42.88940572738646</c:v>
                  </c:pt>
                  <c:pt idx="67">
                    <c:v>28.850135087966919</c:v>
                  </c:pt>
                  <c:pt idx="68">
                    <c:v>22.823743999004364</c:v>
                  </c:pt>
                  <c:pt idx="69">
                    <c:v>54.586344242095947</c:v>
                  </c:pt>
                  <c:pt idx="70">
                    <c:v>16.365997791290283</c:v>
                  </c:pt>
                  <c:pt idx="71">
                    <c:v>12.973743319511414</c:v>
                  </c:pt>
                  <c:pt idx="72">
                    <c:v>12.782707333564758</c:v>
                  </c:pt>
                  <c:pt idx="73">
                    <c:v>20.902940273284912</c:v>
                  </c:pt>
                  <c:pt idx="74">
                    <c:v>38.136164665222168</c:v>
                  </c:pt>
                  <c:pt idx="75">
                    <c:v>45.436993598937988</c:v>
                  </c:pt>
                  <c:pt idx="76">
                    <c:v>40.143731355667114</c:v>
                  </c:pt>
                  <c:pt idx="77">
                    <c:v>79.81707751750946</c:v>
                  </c:pt>
                  <c:pt idx="78">
                    <c:v>32.002553224563599</c:v>
                  </c:pt>
                  <c:pt idx="79">
                    <c:v>29.452385187149048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'Major Lower Limb Amputation'!$Z$8:$Z$87</c:f>
              <c:numCache>
                <c:formatCode>General</c:formatCode>
                <c:ptCount val="80"/>
                <c:pt idx="0">
                  <c:v>35</c:v>
                </c:pt>
                <c:pt idx="1">
                  <c:v>48</c:v>
                </c:pt>
                <c:pt idx="2">
                  <c:v>70</c:v>
                </c:pt>
                <c:pt idx="3">
                  <c:v>29</c:v>
                </c:pt>
                <c:pt idx="4">
                  <c:v>78</c:v>
                </c:pt>
                <c:pt idx="5">
                  <c:v>51</c:v>
                </c:pt>
                <c:pt idx="6">
                  <c:v>18</c:v>
                </c:pt>
                <c:pt idx="7">
                  <c:v>3</c:v>
                </c:pt>
                <c:pt idx="8">
                  <c:v>79</c:v>
                </c:pt>
                <c:pt idx="9">
                  <c:v>56</c:v>
                </c:pt>
                <c:pt idx="10">
                  <c:v>73</c:v>
                </c:pt>
                <c:pt idx="11">
                  <c:v>24</c:v>
                </c:pt>
                <c:pt idx="12">
                  <c:v>27</c:v>
                </c:pt>
                <c:pt idx="13">
                  <c:v>57</c:v>
                </c:pt>
                <c:pt idx="14">
                  <c:v>59</c:v>
                </c:pt>
                <c:pt idx="15">
                  <c:v>38</c:v>
                </c:pt>
                <c:pt idx="16">
                  <c:v>8</c:v>
                </c:pt>
                <c:pt idx="17">
                  <c:v>23</c:v>
                </c:pt>
                <c:pt idx="18">
                  <c:v>1</c:v>
                </c:pt>
                <c:pt idx="19">
                  <c:v>36</c:v>
                </c:pt>
                <c:pt idx="20">
                  <c:v>64</c:v>
                </c:pt>
                <c:pt idx="21">
                  <c:v>72</c:v>
                </c:pt>
                <c:pt idx="22">
                  <c:v>12</c:v>
                </c:pt>
                <c:pt idx="23">
                  <c:v>55</c:v>
                </c:pt>
                <c:pt idx="24">
                  <c:v>25</c:v>
                </c:pt>
                <c:pt idx="25">
                  <c:v>43</c:v>
                </c:pt>
                <c:pt idx="26">
                  <c:v>19</c:v>
                </c:pt>
                <c:pt idx="27">
                  <c:v>31</c:v>
                </c:pt>
                <c:pt idx="28">
                  <c:v>50</c:v>
                </c:pt>
                <c:pt idx="29">
                  <c:v>69</c:v>
                </c:pt>
                <c:pt idx="30">
                  <c:v>60</c:v>
                </c:pt>
                <c:pt idx="31">
                  <c:v>10</c:v>
                </c:pt>
                <c:pt idx="32">
                  <c:v>54</c:v>
                </c:pt>
                <c:pt idx="33">
                  <c:v>61</c:v>
                </c:pt>
                <c:pt idx="34">
                  <c:v>37</c:v>
                </c:pt>
                <c:pt idx="35">
                  <c:v>71</c:v>
                </c:pt>
                <c:pt idx="36">
                  <c:v>32</c:v>
                </c:pt>
                <c:pt idx="37">
                  <c:v>11</c:v>
                </c:pt>
                <c:pt idx="38">
                  <c:v>7</c:v>
                </c:pt>
                <c:pt idx="39">
                  <c:v>2</c:v>
                </c:pt>
                <c:pt idx="40">
                  <c:v>65</c:v>
                </c:pt>
                <c:pt idx="41">
                  <c:v>15</c:v>
                </c:pt>
                <c:pt idx="42">
                  <c:v>5</c:v>
                </c:pt>
                <c:pt idx="43">
                  <c:v>53</c:v>
                </c:pt>
                <c:pt idx="44">
                  <c:v>0</c:v>
                </c:pt>
                <c:pt idx="45">
                  <c:v>62</c:v>
                </c:pt>
                <c:pt idx="46">
                  <c:v>40</c:v>
                </c:pt>
                <c:pt idx="47">
                  <c:v>22</c:v>
                </c:pt>
                <c:pt idx="48">
                  <c:v>42</c:v>
                </c:pt>
                <c:pt idx="49">
                  <c:v>13</c:v>
                </c:pt>
                <c:pt idx="50">
                  <c:v>39</c:v>
                </c:pt>
                <c:pt idx="51">
                  <c:v>49</c:v>
                </c:pt>
                <c:pt idx="52">
                  <c:v>26</c:v>
                </c:pt>
                <c:pt idx="53">
                  <c:v>46</c:v>
                </c:pt>
                <c:pt idx="54">
                  <c:v>41</c:v>
                </c:pt>
                <c:pt idx="55">
                  <c:v>28</c:v>
                </c:pt>
                <c:pt idx="56">
                  <c:v>14</c:v>
                </c:pt>
                <c:pt idx="57">
                  <c:v>9</c:v>
                </c:pt>
                <c:pt idx="58">
                  <c:v>33</c:v>
                </c:pt>
                <c:pt idx="59">
                  <c:v>75</c:v>
                </c:pt>
                <c:pt idx="60">
                  <c:v>21</c:v>
                </c:pt>
                <c:pt idx="61">
                  <c:v>44</c:v>
                </c:pt>
                <c:pt idx="62">
                  <c:v>77</c:v>
                </c:pt>
                <c:pt idx="63">
                  <c:v>4</c:v>
                </c:pt>
                <c:pt idx="64">
                  <c:v>76</c:v>
                </c:pt>
                <c:pt idx="65">
                  <c:v>68</c:v>
                </c:pt>
                <c:pt idx="66">
                  <c:v>52</c:v>
                </c:pt>
                <c:pt idx="67">
                  <c:v>63</c:v>
                </c:pt>
                <c:pt idx="68">
                  <c:v>6</c:v>
                </c:pt>
                <c:pt idx="69">
                  <c:v>74</c:v>
                </c:pt>
                <c:pt idx="70">
                  <c:v>30</c:v>
                </c:pt>
                <c:pt idx="71">
                  <c:v>16</c:v>
                </c:pt>
                <c:pt idx="72">
                  <c:v>20</c:v>
                </c:pt>
                <c:pt idx="73">
                  <c:v>17</c:v>
                </c:pt>
                <c:pt idx="74">
                  <c:v>67</c:v>
                </c:pt>
                <c:pt idx="75">
                  <c:v>66</c:v>
                </c:pt>
                <c:pt idx="76">
                  <c:v>58</c:v>
                </c:pt>
                <c:pt idx="77">
                  <c:v>45</c:v>
                </c:pt>
                <c:pt idx="78">
                  <c:v>47</c:v>
                </c:pt>
                <c:pt idx="79">
                  <c:v>34</c:v>
                </c:pt>
              </c:numCache>
            </c:numRef>
          </c:xVal>
          <c:yVal>
            <c:numRef>
              <c:f>'Major Lower Limb Amputation'!$AA$8:$AA$87</c:f>
              <c:numCache>
                <c:formatCode>General</c:formatCode>
                <c:ptCount val="80"/>
                <c:pt idx="0">
                  <c:v>84</c:v>
                </c:pt>
                <c:pt idx="1">
                  <c:v>104</c:v>
                </c:pt>
                <c:pt idx="2">
                  <c:v>164</c:v>
                </c:pt>
                <c:pt idx="3">
                  <c:v>79</c:v>
                </c:pt>
                <c:pt idx="4">
                  <c:v>233</c:v>
                </c:pt>
                <c:pt idx="5">
                  <c:v>113.99999999999999</c:v>
                </c:pt>
                <c:pt idx="6">
                  <c:v>60</c:v>
                </c:pt>
                <c:pt idx="7">
                  <c:v>28.000000000000004</c:v>
                </c:pt>
                <c:pt idx="8">
                  <c:v>420</c:v>
                </c:pt>
                <c:pt idx="9">
                  <c:v>122</c:v>
                </c:pt>
                <c:pt idx="10">
                  <c:v>184</c:v>
                </c:pt>
                <c:pt idx="11">
                  <c:v>70</c:v>
                </c:pt>
                <c:pt idx="12">
                  <c:v>73</c:v>
                </c:pt>
                <c:pt idx="13">
                  <c:v>122</c:v>
                </c:pt>
                <c:pt idx="14">
                  <c:v>123</c:v>
                </c:pt>
                <c:pt idx="15">
                  <c:v>88</c:v>
                </c:pt>
                <c:pt idx="16">
                  <c:v>45</c:v>
                </c:pt>
                <c:pt idx="17">
                  <c:v>69</c:v>
                </c:pt>
                <c:pt idx="18">
                  <c:v>17</c:v>
                </c:pt>
                <c:pt idx="19">
                  <c:v>84</c:v>
                </c:pt>
                <c:pt idx="20">
                  <c:v>131</c:v>
                </c:pt>
                <c:pt idx="21">
                  <c:v>171</c:v>
                </c:pt>
                <c:pt idx="22">
                  <c:v>54</c:v>
                </c:pt>
                <c:pt idx="23">
                  <c:v>120</c:v>
                </c:pt>
                <c:pt idx="24">
                  <c:v>70</c:v>
                </c:pt>
                <c:pt idx="25">
                  <c:v>96</c:v>
                </c:pt>
                <c:pt idx="26">
                  <c:v>60</c:v>
                </c:pt>
                <c:pt idx="27">
                  <c:v>81</c:v>
                </c:pt>
                <c:pt idx="28">
                  <c:v>112.00000000000001</c:v>
                </c:pt>
                <c:pt idx="29">
                  <c:v>160</c:v>
                </c:pt>
                <c:pt idx="30">
                  <c:v>123</c:v>
                </c:pt>
                <c:pt idx="31">
                  <c:v>52</c:v>
                </c:pt>
                <c:pt idx="32">
                  <c:v>119</c:v>
                </c:pt>
                <c:pt idx="33">
                  <c:v>123</c:v>
                </c:pt>
                <c:pt idx="34">
                  <c:v>86</c:v>
                </c:pt>
                <c:pt idx="35">
                  <c:v>167</c:v>
                </c:pt>
                <c:pt idx="36">
                  <c:v>83</c:v>
                </c:pt>
                <c:pt idx="37">
                  <c:v>52</c:v>
                </c:pt>
                <c:pt idx="38">
                  <c:v>40</c:v>
                </c:pt>
                <c:pt idx="39">
                  <c:v>24</c:v>
                </c:pt>
                <c:pt idx="40">
                  <c:v>137</c:v>
                </c:pt>
                <c:pt idx="41">
                  <c:v>59</c:v>
                </c:pt>
                <c:pt idx="42">
                  <c:v>34</c:v>
                </c:pt>
                <c:pt idx="43">
                  <c:v>115.99999999999999</c:v>
                </c:pt>
                <c:pt idx="44">
                  <c:v>0</c:v>
                </c:pt>
                <c:pt idx="45">
                  <c:v>125</c:v>
                </c:pt>
                <c:pt idx="46">
                  <c:v>91</c:v>
                </c:pt>
                <c:pt idx="47">
                  <c:v>67</c:v>
                </c:pt>
                <c:pt idx="48">
                  <c:v>94</c:v>
                </c:pt>
                <c:pt idx="49">
                  <c:v>54</c:v>
                </c:pt>
                <c:pt idx="50">
                  <c:v>88</c:v>
                </c:pt>
                <c:pt idx="51">
                  <c:v>110.00000000000001</c:v>
                </c:pt>
                <c:pt idx="52">
                  <c:v>70</c:v>
                </c:pt>
                <c:pt idx="53">
                  <c:v>101</c:v>
                </c:pt>
                <c:pt idx="54">
                  <c:v>91</c:v>
                </c:pt>
                <c:pt idx="55">
                  <c:v>74</c:v>
                </c:pt>
                <c:pt idx="56">
                  <c:v>57.999999999999993</c:v>
                </c:pt>
                <c:pt idx="57">
                  <c:v>49</c:v>
                </c:pt>
                <c:pt idx="58">
                  <c:v>83</c:v>
                </c:pt>
                <c:pt idx="59">
                  <c:v>194</c:v>
                </c:pt>
                <c:pt idx="60">
                  <c:v>65</c:v>
                </c:pt>
                <c:pt idx="61">
                  <c:v>98</c:v>
                </c:pt>
                <c:pt idx="62">
                  <c:v>229</c:v>
                </c:pt>
                <c:pt idx="63">
                  <c:v>31</c:v>
                </c:pt>
                <c:pt idx="64">
                  <c:v>200</c:v>
                </c:pt>
                <c:pt idx="65">
                  <c:v>153</c:v>
                </c:pt>
                <c:pt idx="66">
                  <c:v>113.99999999999999</c:v>
                </c:pt>
                <c:pt idx="67">
                  <c:v>128</c:v>
                </c:pt>
                <c:pt idx="68">
                  <c:v>38</c:v>
                </c:pt>
                <c:pt idx="69">
                  <c:v>193</c:v>
                </c:pt>
                <c:pt idx="70">
                  <c:v>80</c:v>
                </c:pt>
                <c:pt idx="71">
                  <c:v>59</c:v>
                </c:pt>
                <c:pt idx="72">
                  <c:v>62</c:v>
                </c:pt>
                <c:pt idx="73">
                  <c:v>59</c:v>
                </c:pt>
                <c:pt idx="74">
                  <c:v>142</c:v>
                </c:pt>
                <c:pt idx="75">
                  <c:v>141</c:v>
                </c:pt>
                <c:pt idx="76">
                  <c:v>122</c:v>
                </c:pt>
                <c:pt idx="77">
                  <c:v>100</c:v>
                </c:pt>
                <c:pt idx="78">
                  <c:v>103</c:v>
                </c:pt>
                <c:pt idx="79">
                  <c:v>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07-4BEF-A997-1ACCCCC0F591}"/>
            </c:ext>
          </c:extLst>
        </c:ser>
        <c:ser>
          <c:idx val="1"/>
          <c:order val="1"/>
          <c:tx>
            <c:strRef>
              <c:f>'Amputation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'Amputation Summary'!$AC$2</c:f>
                <c:numCache>
                  <c:formatCode>General</c:formatCode>
                  <c:ptCount val="1"/>
                  <c:pt idx="0">
                    <c:v>70.745891332626343</c:v>
                  </c:pt>
                </c:numCache>
              </c:numRef>
            </c:plus>
            <c:minus>
              <c:numRef>
                <c:f>'Amputation Summary'!$AB$2</c:f>
                <c:numCache>
                  <c:formatCode>General</c:formatCode>
                  <c:ptCount val="1"/>
                  <c:pt idx="0">
                    <c:v>28.228857755661011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'Amputation Summary'!$AD$2</c:f>
              <c:numCache>
                <c:formatCode>General</c:formatCode>
                <c:ptCount val="1"/>
                <c:pt idx="0">
                  <c:v>35</c:v>
                </c:pt>
              </c:numCache>
            </c:numRef>
          </c:xVal>
          <c:yVal>
            <c:numRef>
              <c:f>'Amputation Summary'!$AA$2</c:f>
              <c:numCache>
                <c:formatCode>General</c:formatCode>
                <c:ptCount val="1"/>
                <c:pt idx="0">
                  <c:v>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07-4BEF-A997-1ACCCCC0F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valAx>
        <c:axId val="606186136"/>
        <c:scaling>
          <c:orientation val="minMax"/>
          <c:max val="8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crossBetween val="midCat"/>
      </c:valAx>
      <c:valAx>
        <c:axId val="606183840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'Major Lower Limb Amputation'!$I$7</c:f>
              <c:strCache>
                <c:ptCount val="1"/>
                <c:pt idx="0">
                  <c:v>Adjusted 30 day in-hospital mortality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dPt>
            <c:idx val="55"/>
            <c:marker>
              <c:symbol val="circle"/>
              <c:size val="5"/>
              <c:spPr>
                <a:solidFill>
                  <a:schemeClr val="tx1"/>
                </a:solidFill>
                <a:ln w="12700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7C-453C-B8EF-21B2F0387BEA}"/>
              </c:ext>
            </c:extLst>
          </c:dPt>
          <c:xVal>
            <c:numRef>
              <c:f>'Major Lower Limb Amputation'!$C$8:$C$87</c:f>
              <c:numCache>
                <c:formatCode>0</c:formatCode>
                <c:ptCount val="80"/>
                <c:pt idx="0">
                  <c:v>92</c:v>
                </c:pt>
                <c:pt idx="1">
                  <c:v>86</c:v>
                </c:pt>
                <c:pt idx="2">
                  <c:v>104</c:v>
                </c:pt>
                <c:pt idx="3">
                  <c:v>205</c:v>
                </c:pt>
                <c:pt idx="4">
                  <c:v>9</c:v>
                </c:pt>
                <c:pt idx="5">
                  <c:v>87</c:v>
                </c:pt>
                <c:pt idx="6">
                  <c:v>397</c:v>
                </c:pt>
                <c:pt idx="7">
                  <c:v>23</c:v>
                </c:pt>
                <c:pt idx="8">
                  <c:v>72</c:v>
                </c:pt>
                <c:pt idx="9">
                  <c:v>207</c:v>
                </c:pt>
                <c:pt idx="10">
                  <c:v>49</c:v>
                </c:pt>
                <c:pt idx="11">
                  <c:v>180</c:v>
                </c:pt>
                <c:pt idx="12">
                  <c:v>121</c:v>
                </c:pt>
                <c:pt idx="13">
                  <c:v>73</c:v>
                </c:pt>
                <c:pt idx="14">
                  <c:v>146</c:v>
                </c:pt>
                <c:pt idx="15">
                  <c:v>161</c:v>
                </c:pt>
                <c:pt idx="16">
                  <c:v>67</c:v>
                </c:pt>
                <c:pt idx="17">
                  <c:v>110</c:v>
                </c:pt>
                <c:pt idx="18">
                  <c:v>44</c:v>
                </c:pt>
                <c:pt idx="19">
                  <c:v>107</c:v>
                </c:pt>
                <c:pt idx="20">
                  <c:v>111</c:v>
                </c:pt>
                <c:pt idx="21">
                  <c:v>103</c:v>
                </c:pt>
                <c:pt idx="22">
                  <c:v>183</c:v>
                </c:pt>
                <c:pt idx="23">
                  <c:v>20</c:v>
                </c:pt>
                <c:pt idx="24">
                  <c:v>125</c:v>
                </c:pt>
                <c:pt idx="25">
                  <c:v>195</c:v>
                </c:pt>
                <c:pt idx="26">
                  <c:v>232</c:v>
                </c:pt>
                <c:pt idx="27">
                  <c:v>46</c:v>
                </c:pt>
                <c:pt idx="28">
                  <c:v>32</c:v>
                </c:pt>
                <c:pt idx="29">
                  <c:v>103</c:v>
                </c:pt>
                <c:pt idx="30">
                  <c:v>253</c:v>
                </c:pt>
                <c:pt idx="31">
                  <c:v>75</c:v>
                </c:pt>
                <c:pt idx="32">
                  <c:v>66</c:v>
                </c:pt>
                <c:pt idx="33">
                  <c:v>60</c:v>
                </c:pt>
                <c:pt idx="34">
                  <c:v>75</c:v>
                </c:pt>
                <c:pt idx="35">
                  <c:v>287</c:v>
                </c:pt>
                <c:pt idx="36">
                  <c:v>21</c:v>
                </c:pt>
                <c:pt idx="37">
                  <c:v>32</c:v>
                </c:pt>
                <c:pt idx="38">
                  <c:v>14</c:v>
                </c:pt>
                <c:pt idx="39">
                  <c:v>33</c:v>
                </c:pt>
                <c:pt idx="40">
                  <c:v>67</c:v>
                </c:pt>
                <c:pt idx="41">
                  <c:v>86</c:v>
                </c:pt>
                <c:pt idx="42">
                  <c:v>90</c:v>
                </c:pt>
                <c:pt idx="43">
                  <c:v>174</c:v>
                </c:pt>
                <c:pt idx="44">
                  <c:v>#N/A</c:v>
                </c:pt>
                <c:pt idx="45">
                  <c:v>48</c:v>
                </c:pt>
                <c:pt idx="46">
                  <c:v>193</c:v>
                </c:pt>
                <c:pt idx="47">
                  <c:v>208</c:v>
                </c:pt>
                <c:pt idx="48">
                  <c:v>139</c:v>
                </c:pt>
                <c:pt idx="49">
                  <c:v>116</c:v>
                </c:pt>
                <c:pt idx="50">
                  <c:v>13</c:v>
                </c:pt>
                <c:pt idx="51">
                  <c:v>272</c:v>
                </c:pt>
                <c:pt idx="52">
                  <c:v>78</c:v>
                </c:pt>
                <c:pt idx="53">
                  <c:v>178</c:v>
                </c:pt>
                <c:pt idx="54">
                  <c:v>40</c:v>
                </c:pt>
                <c:pt idx="55">
                  <c:v>82</c:v>
                </c:pt>
                <c:pt idx="56">
                  <c:v>133</c:v>
                </c:pt>
                <c:pt idx="57">
                  <c:v>106</c:v>
                </c:pt>
                <c:pt idx="58">
                  <c:v>105</c:v>
                </c:pt>
                <c:pt idx="59">
                  <c:v>214</c:v>
                </c:pt>
                <c:pt idx="60">
                  <c:v>103</c:v>
                </c:pt>
                <c:pt idx="61">
                  <c:v>112</c:v>
                </c:pt>
                <c:pt idx="62">
                  <c:v>105</c:v>
                </c:pt>
                <c:pt idx="63">
                  <c:v>48</c:v>
                </c:pt>
                <c:pt idx="64">
                  <c:v>81</c:v>
                </c:pt>
                <c:pt idx="65">
                  <c:v>292</c:v>
                </c:pt>
                <c:pt idx="66">
                  <c:v>69</c:v>
                </c:pt>
                <c:pt idx="67">
                  <c:v>238</c:v>
                </c:pt>
                <c:pt idx="68">
                  <c:v>25</c:v>
                </c:pt>
                <c:pt idx="69">
                  <c:v>154</c:v>
                </c:pt>
                <c:pt idx="70">
                  <c:v>297</c:v>
                </c:pt>
                <c:pt idx="71">
                  <c:v>269</c:v>
                </c:pt>
                <c:pt idx="72">
                  <c:v>308</c:v>
                </c:pt>
                <c:pt idx="73">
                  <c:v>88</c:v>
                </c:pt>
                <c:pt idx="74">
                  <c:v>163</c:v>
                </c:pt>
                <c:pt idx="75">
                  <c:v>105</c:v>
                </c:pt>
                <c:pt idx="76">
                  <c:v>97</c:v>
                </c:pt>
                <c:pt idx="77">
                  <c:v>6</c:v>
                </c:pt>
                <c:pt idx="78">
                  <c:v>111</c:v>
                </c:pt>
                <c:pt idx="79">
                  <c:v>80</c:v>
                </c:pt>
              </c:numCache>
            </c:numRef>
          </c:xVal>
          <c:yVal>
            <c:numRef>
              <c:f>'Major Lower Limb Amputation'!$I$8:$I$87</c:f>
              <c:numCache>
                <c:formatCode>0.0%</c:formatCode>
                <c:ptCount val="80"/>
                <c:pt idx="0">
                  <c:v>3.6999999999999998E-2</c:v>
                </c:pt>
                <c:pt idx="1">
                  <c:v>3.2000000000000001E-2</c:v>
                </c:pt>
                <c:pt idx="2">
                  <c:v>7.2999999999999995E-2</c:v>
                </c:pt>
                <c:pt idx="3">
                  <c:v>5.6000000000000001E-2</c:v>
                </c:pt>
                <c:pt idx="4">
                  <c:v>0</c:v>
                </c:pt>
                <c:pt idx="5">
                  <c:v>5.3999999999999999E-2</c:v>
                </c:pt>
                <c:pt idx="6">
                  <c:v>2.5000000000000001E-2</c:v>
                </c:pt>
                <c:pt idx="7">
                  <c:v>0</c:v>
                </c:pt>
                <c:pt idx="8">
                  <c:v>4.1000000000000002E-2</c:v>
                </c:pt>
                <c:pt idx="9">
                  <c:v>2.1999999999999999E-2</c:v>
                </c:pt>
                <c:pt idx="10">
                  <c:v>5.2999999999999999E-2</c:v>
                </c:pt>
                <c:pt idx="11">
                  <c:v>4.5999999999999999E-2</c:v>
                </c:pt>
                <c:pt idx="12">
                  <c:v>6.6000000000000003E-2</c:v>
                </c:pt>
                <c:pt idx="13">
                  <c:v>0.04</c:v>
                </c:pt>
                <c:pt idx="14">
                  <c:v>2.1000000000000001E-2</c:v>
                </c:pt>
                <c:pt idx="15">
                  <c:v>6.0999999999999999E-2</c:v>
                </c:pt>
                <c:pt idx="16">
                  <c:v>6.9000000000000006E-2</c:v>
                </c:pt>
                <c:pt idx="17">
                  <c:v>6.5000000000000002E-2</c:v>
                </c:pt>
                <c:pt idx="18">
                  <c:v>0</c:v>
                </c:pt>
                <c:pt idx="19">
                  <c:v>8.1000000000000003E-2</c:v>
                </c:pt>
                <c:pt idx="20">
                  <c:v>7.8E-2</c:v>
                </c:pt>
                <c:pt idx="21">
                  <c:v>0.05</c:v>
                </c:pt>
                <c:pt idx="22">
                  <c:v>4.5999999999999999E-2</c:v>
                </c:pt>
                <c:pt idx="23">
                  <c:v>7.0000000000000007E-2</c:v>
                </c:pt>
                <c:pt idx="24">
                  <c:v>5.8000000000000003E-2</c:v>
                </c:pt>
                <c:pt idx="25">
                  <c:v>5.7000000000000002E-2</c:v>
                </c:pt>
                <c:pt idx="26">
                  <c:v>7.8E-2</c:v>
                </c:pt>
                <c:pt idx="27">
                  <c:v>3.4000000000000002E-2</c:v>
                </c:pt>
                <c:pt idx="28">
                  <c:v>0</c:v>
                </c:pt>
                <c:pt idx="29">
                  <c:v>2.4E-2</c:v>
                </c:pt>
                <c:pt idx="30">
                  <c:v>6.4000000000000001E-2</c:v>
                </c:pt>
                <c:pt idx="31">
                  <c:v>4.2999999999999997E-2</c:v>
                </c:pt>
                <c:pt idx="32">
                  <c:v>0</c:v>
                </c:pt>
                <c:pt idx="33">
                  <c:v>3.1E-2</c:v>
                </c:pt>
                <c:pt idx="34">
                  <c:v>5.7000000000000002E-2</c:v>
                </c:pt>
                <c:pt idx="35">
                  <c:v>4.9000000000000002E-2</c:v>
                </c:pt>
                <c:pt idx="36">
                  <c:v>8.7999999999999995E-2</c:v>
                </c:pt>
                <c:pt idx="37">
                  <c:v>4.2999999999999997E-2</c:v>
                </c:pt>
                <c:pt idx="38">
                  <c:v>0</c:v>
                </c:pt>
                <c:pt idx="39">
                  <c:v>0.186</c:v>
                </c:pt>
                <c:pt idx="40">
                  <c:v>4.2000000000000003E-2</c:v>
                </c:pt>
                <c:pt idx="41">
                  <c:v>4.1000000000000002E-2</c:v>
                </c:pt>
                <c:pt idx="42">
                  <c:v>5.7000000000000002E-2</c:v>
                </c:pt>
                <c:pt idx="43">
                  <c:v>4.3999999999999997E-2</c:v>
                </c:pt>
                <c:pt idx="44" formatCode="0">
                  <c:v>#N/A</c:v>
                </c:pt>
                <c:pt idx="45">
                  <c:v>4.3999999999999997E-2</c:v>
                </c:pt>
                <c:pt idx="46">
                  <c:v>1.9E-2</c:v>
                </c:pt>
                <c:pt idx="47">
                  <c:v>1.4E-2</c:v>
                </c:pt>
                <c:pt idx="48">
                  <c:v>2.9000000000000001E-2</c:v>
                </c:pt>
                <c:pt idx="49">
                  <c:v>4.9000000000000002E-2</c:v>
                </c:pt>
                <c:pt idx="50">
                  <c:v>0</c:v>
                </c:pt>
                <c:pt idx="51">
                  <c:v>7.5999999999999998E-2</c:v>
                </c:pt>
                <c:pt idx="52">
                  <c:v>5.8000000000000003E-2</c:v>
                </c:pt>
                <c:pt idx="53">
                  <c:v>5.7000000000000002E-2</c:v>
                </c:pt>
                <c:pt idx="54">
                  <c:v>3.2000000000000001E-2</c:v>
                </c:pt>
                <c:pt idx="55">
                  <c:v>7.4999999999999997E-2</c:v>
                </c:pt>
                <c:pt idx="56">
                  <c:v>5.2999999999999999E-2</c:v>
                </c:pt>
                <c:pt idx="57">
                  <c:v>7.5999999999999998E-2</c:v>
                </c:pt>
                <c:pt idx="58">
                  <c:v>3.4000000000000002E-2</c:v>
                </c:pt>
                <c:pt idx="59">
                  <c:v>3.9E-2</c:v>
                </c:pt>
                <c:pt idx="60">
                  <c:v>3.3000000000000002E-2</c:v>
                </c:pt>
                <c:pt idx="61">
                  <c:v>5.0999999999999997E-2</c:v>
                </c:pt>
                <c:pt idx="62">
                  <c:v>5.3999999999999999E-2</c:v>
                </c:pt>
                <c:pt idx="63">
                  <c:v>4.8000000000000001E-2</c:v>
                </c:pt>
                <c:pt idx="64">
                  <c:v>3.1E-2</c:v>
                </c:pt>
                <c:pt idx="65">
                  <c:v>0.06</c:v>
                </c:pt>
                <c:pt idx="66">
                  <c:v>0</c:v>
                </c:pt>
                <c:pt idx="67">
                  <c:v>4.2000000000000003E-2</c:v>
                </c:pt>
                <c:pt idx="68">
                  <c:v>6.0999999999999999E-2</c:v>
                </c:pt>
                <c:pt idx="69">
                  <c:v>6.9000000000000006E-2</c:v>
                </c:pt>
                <c:pt idx="70">
                  <c:v>6.9000000000000006E-2</c:v>
                </c:pt>
                <c:pt idx="71">
                  <c:v>2.5999999999999999E-2</c:v>
                </c:pt>
                <c:pt idx="72">
                  <c:v>5.6000000000000001E-2</c:v>
                </c:pt>
                <c:pt idx="73">
                  <c:v>0</c:v>
                </c:pt>
                <c:pt idx="74">
                  <c:v>5.3999999999999999E-2</c:v>
                </c:pt>
                <c:pt idx="75">
                  <c:v>5.5E-2</c:v>
                </c:pt>
                <c:pt idx="76">
                  <c:v>5.2999999999999999E-2</c:v>
                </c:pt>
                <c:pt idx="77">
                  <c:v>0</c:v>
                </c:pt>
                <c:pt idx="78">
                  <c:v>6.7000000000000004E-2</c:v>
                </c:pt>
                <c:pt idx="79">
                  <c:v>6.0999999999999999E-2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12-4B75-AF85-49F97078E3D4}"/>
            </c:ext>
          </c:extLst>
        </c:ser>
        <c:ser>
          <c:idx val="1"/>
          <c:order val="1"/>
          <c:tx>
            <c:v>National Rate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'Amp Funnel'!$B$2:$B$72</c:f>
              <c:numCache>
                <c:formatCode>0</c:formatCode>
                <c:ptCount val="71"/>
                <c:pt idx="0">
                  <c:v>0</c:v>
                </c:pt>
                <c:pt idx="1">
                  <c:v>6</c:v>
                </c:pt>
                <c:pt idx="2">
                  <c:v>9</c:v>
                </c:pt>
                <c:pt idx="3">
                  <c:v>13</c:v>
                </c:pt>
                <c:pt idx="4">
                  <c:v>14</c:v>
                </c:pt>
                <c:pt idx="5">
                  <c:v>20</c:v>
                </c:pt>
                <c:pt idx="6">
                  <c:v>21</c:v>
                </c:pt>
                <c:pt idx="7">
                  <c:v>23</c:v>
                </c:pt>
                <c:pt idx="8">
                  <c:v>25</c:v>
                </c:pt>
                <c:pt idx="9">
                  <c:v>32</c:v>
                </c:pt>
                <c:pt idx="10">
                  <c:v>33</c:v>
                </c:pt>
                <c:pt idx="11">
                  <c:v>40</c:v>
                </c:pt>
                <c:pt idx="12">
                  <c:v>44</c:v>
                </c:pt>
                <c:pt idx="13">
                  <c:v>46</c:v>
                </c:pt>
                <c:pt idx="14">
                  <c:v>48</c:v>
                </c:pt>
                <c:pt idx="15">
                  <c:v>49</c:v>
                </c:pt>
                <c:pt idx="16">
                  <c:v>60</c:v>
                </c:pt>
                <c:pt idx="17">
                  <c:v>66</c:v>
                </c:pt>
                <c:pt idx="18">
                  <c:v>67</c:v>
                </c:pt>
                <c:pt idx="19">
                  <c:v>69</c:v>
                </c:pt>
                <c:pt idx="20">
                  <c:v>72</c:v>
                </c:pt>
                <c:pt idx="21">
                  <c:v>73</c:v>
                </c:pt>
                <c:pt idx="22">
                  <c:v>75</c:v>
                </c:pt>
                <c:pt idx="23">
                  <c:v>78</c:v>
                </c:pt>
                <c:pt idx="24">
                  <c:v>80</c:v>
                </c:pt>
                <c:pt idx="25">
                  <c:v>81</c:v>
                </c:pt>
                <c:pt idx="26">
                  <c:v>82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90</c:v>
                </c:pt>
                <c:pt idx="31">
                  <c:v>92</c:v>
                </c:pt>
                <c:pt idx="32">
                  <c:v>97</c:v>
                </c:pt>
                <c:pt idx="33">
                  <c:v>103</c:v>
                </c:pt>
                <c:pt idx="34">
                  <c:v>104</c:v>
                </c:pt>
                <c:pt idx="35">
                  <c:v>105</c:v>
                </c:pt>
                <c:pt idx="36">
                  <c:v>106</c:v>
                </c:pt>
                <c:pt idx="37">
                  <c:v>107</c:v>
                </c:pt>
                <c:pt idx="38">
                  <c:v>110</c:v>
                </c:pt>
                <c:pt idx="39">
                  <c:v>111</c:v>
                </c:pt>
                <c:pt idx="40">
                  <c:v>112</c:v>
                </c:pt>
                <c:pt idx="41">
                  <c:v>116</c:v>
                </c:pt>
                <c:pt idx="42">
                  <c:v>121</c:v>
                </c:pt>
                <c:pt idx="43">
                  <c:v>125</c:v>
                </c:pt>
                <c:pt idx="44">
                  <c:v>133</c:v>
                </c:pt>
                <c:pt idx="45">
                  <c:v>139</c:v>
                </c:pt>
                <c:pt idx="46">
                  <c:v>146</c:v>
                </c:pt>
                <c:pt idx="47">
                  <c:v>154</c:v>
                </c:pt>
                <c:pt idx="48">
                  <c:v>161</c:v>
                </c:pt>
                <c:pt idx="49">
                  <c:v>163</c:v>
                </c:pt>
                <c:pt idx="50">
                  <c:v>174</c:v>
                </c:pt>
                <c:pt idx="51">
                  <c:v>178</c:v>
                </c:pt>
                <c:pt idx="52">
                  <c:v>180</c:v>
                </c:pt>
                <c:pt idx="53">
                  <c:v>183</c:v>
                </c:pt>
                <c:pt idx="54">
                  <c:v>193</c:v>
                </c:pt>
                <c:pt idx="55">
                  <c:v>195</c:v>
                </c:pt>
                <c:pt idx="56">
                  <c:v>205</c:v>
                </c:pt>
                <c:pt idx="57">
                  <c:v>207</c:v>
                </c:pt>
                <c:pt idx="58">
                  <c:v>208</c:v>
                </c:pt>
                <c:pt idx="59">
                  <c:v>214</c:v>
                </c:pt>
                <c:pt idx="60">
                  <c:v>232</c:v>
                </c:pt>
                <c:pt idx="61">
                  <c:v>238</c:v>
                </c:pt>
                <c:pt idx="62">
                  <c:v>253</c:v>
                </c:pt>
                <c:pt idx="63">
                  <c:v>269</c:v>
                </c:pt>
                <c:pt idx="64">
                  <c:v>272</c:v>
                </c:pt>
                <c:pt idx="65">
                  <c:v>287</c:v>
                </c:pt>
                <c:pt idx="66">
                  <c:v>292</c:v>
                </c:pt>
                <c:pt idx="67">
                  <c:v>297</c:v>
                </c:pt>
                <c:pt idx="68">
                  <c:v>308</c:v>
                </c:pt>
                <c:pt idx="69">
                  <c:v>397</c:v>
                </c:pt>
                <c:pt idx="70">
                  <c:v>400</c:v>
                </c:pt>
              </c:numCache>
            </c:numRef>
          </c:xVal>
          <c:yVal>
            <c:numRef>
              <c:f>'Amp Funnel'!$D$2:$D$72</c:f>
              <c:numCache>
                <c:formatCode>0.0%</c:formatCode>
                <c:ptCount val="71"/>
                <c:pt idx="0">
                  <c:v>4.8000000000000001E-2</c:v>
                </c:pt>
                <c:pt idx="1">
                  <c:v>4.8000000000000001E-2</c:v>
                </c:pt>
                <c:pt idx="2">
                  <c:v>4.8000000000000001E-2</c:v>
                </c:pt>
                <c:pt idx="3">
                  <c:v>4.8000000000000001E-2</c:v>
                </c:pt>
                <c:pt idx="4">
                  <c:v>4.8000000000000001E-2</c:v>
                </c:pt>
                <c:pt idx="5">
                  <c:v>4.8000000000000001E-2</c:v>
                </c:pt>
                <c:pt idx="6">
                  <c:v>4.8000000000000001E-2</c:v>
                </c:pt>
                <c:pt idx="7">
                  <c:v>4.8000000000000001E-2</c:v>
                </c:pt>
                <c:pt idx="8">
                  <c:v>4.8000000000000001E-2</c:v>
                </c:pt>
                <c:pt idx="9">
                  <c:v>4.8000000000000001E-2</c:v>
                </c:pt>
                <c:pt idx="10">
                  <c:v>4.8000000000000001E-2</c:v>
                </c:pt>
                <c:pt idx="11">
                  <c:v>4.8000000000000001E-2</c:v>
                </c:pt>
                <c:pt idx="12">
                  <c:v>4.8000000000000001E-2</c:v>
                </c:pt>
                <c:pt idx="13">
                  <c:v>4.8000000000000001E-2</c:v>
                </c:pt>
                <c:pt idx="14">
                  <c:v>4.8000000000000001E-2</c:v>
                </c:pt>
                <c:pt idx="15">
                  <c:v>4.8000000000000001E-2</c:v>
                </c:pt>
                <c:pt idx="16">
                  <c:v>4.8000000000000001E-2</c:v>
                </c:pt>
                <c:pt idx="17">
                  <c:v>4.8000000000000001E-2</c:v>
                </c:pt>
                <c:pt idx="18">
                  <c:v>4.8000000000000001E-2</c:v>
                </c:pt>
                <c:pt idx="19">
                  <c:v>4.8000000000000001E-2</c:v>
                </c:pt>
                <c:pt idx="20">
                  <c:v>4.8000000000000001E-2</c:v>
                </c:pt>
                <c:pt idx="21">
                  <c:v>4.8000000000000001E-2</c:v>
                </c:pt>
                <c:pt idx="22">
                  <c:v>4.8000000000000001E-2</c:v>
                </c:pt>
                <c:pt idx="23">
                  <c:v>4.8000000000000001E-2</c:v>
                </c:pt>
                <c:pt idx="24">
                  <c:v>4.8000000000000001E-2</c:v>
                </c:pt>
                <c:pt idx="25">
                  <c:v>4.8000000000000001E-2</c:v>
                </c:pt>
                <c:pt idx="26">
                  <c:v>4.8000000000000001E-2</c:v>
                </c:pt>
                <c:pt idx="27">
                  <c:v>4.8000000000000001E-2</c:v>
                </c:pt>
                <c:pt idx="28">
                  <c:v>4.8000000000000001E-2</c:v>
                </c:pt>
                <c:pt idx="29">
                  <c:v>4.8000000000000001E-2</c:v>
                </c:pt>
                <c:pt idx="30">
                  <c:v>4.8000000000000001E-2</c:v>
                </c:pt>
                <c:pt idx="31">
                  <c:v>4.8000000000000001E-2</c:v>
                </c:pt>
                <c:pt idx="32">
                  <c:v>4.8000000000000001E-2</c:v>
                </c:pt>
                <c:pt idx="33">
                  <c:v>4.8000000000000001E-2</c:v>
                </c:pt>
                <c:pt idx="34">
                  <c:v>4.8000000000000001E-2</c:v>
                </c:pt>
                <c:pt idx="35">
                  <c:v>4.8000000000000001E-2</c:v>
                </c:pt>
                <c:pt idx="36">
                  <c:v>4.8000000000000001E-2</c:v>
                </c:pt>
                <c:pt idx="37">
                  <c:v>4.8000000000000001E-2</c:v>
                </c:pt>
                <c:pt idx="38">
                  <c:v>4.8000000000000001E-2</c:v>
                </c:pt>
                <c:pt idx="39">
                  <c:v>4.8000000000000001E-2</c:v>
                </c:pt>
                <c:pt idx="40">
                  <c:v>4.8000000000000001E-2</c:v>
                </c:pt>
                <c:pt idx="41">
                  <c:v>4.8000000000000001E-2</c:v>
                </c:pt>
                <c:pt idx="42">
                  <c:v>4.8000000000000001E-2</c:v>
                </c:pt>
                <c:pt idx="43">
                  <c:v>4.8000000000000001E-2</c:v>
                </c:pt>
                <c:pt idx="44">
                  <c:v>4.8000000000000001E-2</c:v>
                </c:pt>
                <c:pt idx="45">
                  <c:v>4.8000000000000001E-2</c:v>
                </c:pt>
                <c:pt idx="46">
                  <c:v>4.8000000000000001E-2</c:v>
                </c:pt>
                <c:pt idx="47">
                  <c:v>4.8000000000000001E-2</c:v>
                </c:pt>
                <c:pt idx="48">
                  <c:v>4.8000000000000001E-2</c:v>
                </c:pt>
                <c:pt idx="49">
                  <c:v>4.8000000000000001E-2</c:v>
                </c:pt>
                <c:pt idx="50">
                  <c:v>4.8000000000000001E-2</c:v>
                </c:pt>
                <c:pt idx="51">
                  <c:v>4.8000000000000001E-2</c:v>
                </c:pt>
                <c:pt idx="52">
                  <c:v>4.8000000000000001E-2</c:v>
                </c:pt>
                <c:pt idx="53">
                  <c:v>4.8000000000000001E-2</c:v>
                </c:pt>
                <c:pt idx="54">
                  <c:v>4.8000000000000001E-2</c:v>
                </c:pt>
                <c:pt idx="55">
                  <c:v>4.8000000000000001E-2</c:v>
                </c:pt>
                <c:pt idx="56">
                  <c:v>4.8000000000000001E-2</c:v>
                </c:pt>
                <c:pt idx="57">
                  <c:v>4.8000000000000001E-2</c:v>
                </c:pt>
                <c:pt idx="58">
                  <c:v>4.8000000000000001E-2</c:v>
                </c:pt>
                <c:pt idx="59">
                  <c:v>4.8000000000000001E-2</c:v>
                </c:pt>
                <c:pt idx="60">
                  <c:v>4.8000000000000001E-2</c:v>
                </c:pt>
                <c:pt idx="61">
                  <c:v>4.8000000000000001E-2</c:v>
                </c:pt>
                <c:pt idx="62">
                  <c:v>4.8000000000000001E-2</c:v>
                </c:pt>
                <c:pt idx="63">
                  <c:v>4.8000000000000001E-2</c:v>
                </c:pt>
                <c:pt idx="64">
                  <c:v>4.8000000000000001E-2</c:v>
                </c:pt>
                <c:pt idx="65">
                  <c:v>4.8000000000000001E-2</c:v>
                </c:pt>
                <c:pt idx="66">
                  <c:v>4.8000000000000001E-2</c:v>
                </c:pt>
                <c:pt idx="67">
                  <c:v>4.8000000000000001E-2</c:v>
                </c:pt>
                <c:pt idx="68">
                  <c:v>4.8000000000000001E-2</c:v>
                </c:pt>
                <c:pt idx="69">
                  <c:v>4.8000000000000001E-2</c:v>
                </c:pt>
                <c:pt idx="70">
                  <c:v>4.8000000000000001E-2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12-4B75-AF85-49F97078E3D4}"/>
            </c:ext>
          </c:extLst>
        </c:ser>
        <c:ser>
          <c:idx val="2"/>
          <c:order val="2"/>
          <c:tx>
            <c:v>Upper Funnel Limits</c:v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'Amp Funnel'!$B$2:$B$72</c:f>
              <c:numCache>
                <c:formatCode>0</c:formatCode>
                <c:ptCount val="71"/>
                <c:pt idx="0">
                  <c:v>0</c:v>
                </c:pt>
                <c:pt idx="1">
                  <c:v>6</c:v>
                </c:pt>
                <c:pt idx="2">
                  <c:v>9</c:v>
                </c:pt>
                <c:pt idx="3">
                  <c:v>13</c:v>
                </c:pt>
                <c:pt idx="4">
                  <c:v>14</c:v>
                </c:pt>
                <c:pt idx="5">
                  <c:v>20</c:v>
                </c:pt>
                <c:pt idx="6">
                  <c:v>21</c:v>
                </c:pt>
                <c:pt idx="7">
                  <c:v>23</c:v>
                </c:pt>
                <c:pt idx="8">
                  <c:v>25</c:v>
                </c:pt>
                <c:pt idx="9">
                  <c:v>32</c:v>
                </c:pt>
                <c:pt idx="10">
                  <c:v>33</c:v>
                </c:pt>
                <c:pt idx="11">
                  <c:v>40</c:v>
                </c:pt>
                <c:pt idx="12">
                  <c:v>44</c:v>
                </c:pt>
                <c:pt idx="13">
                  <c:v>46</c:v>
                </c:pt>
                <c:pt idx="14">
                  <c:v>48</c:v>
                </c:pt>
                <c:pt idx="15">
                  <c:v>49</c:v>
                </c:pt>
                <c:pt idx="16">
                  <c:v>60</c:v>
                </c:pt>
                <c:pt idx="17">
                  <c:v>66</c:v>
                </c:pt>
                <c:pt idx="18">
                  <c:v>67</c:v>
                </c:pt>
                <c:pt idx="19">
                  <c:v>69</c:v>
                </c:pt>
                <c:pt idx="20">
                  <c:v>72</c:v>
                </c:pt>
                <c:pt idx="21">
                  <c:v>73</c:v>
                </c:pt>
                <c:pt idx="22">
                  <c:v>75</c:v>
                </c:pt>
                <c:pt idx="23">
                  <c:v>78</c:v>
                </c:pt>
                <c:pt idx="24">
                  <c:v>80</c:v>
                </c:pt>
                <c:pt idx="25">
                  <c:v>81</c:v>
                </c:pt>
                <c:pt idx="26">
                  <c:v>82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90</c:v>
                </c:pt>
                <c:pt idx="31">
                  <c:v>92</c:v>
                </c:pt>
                <c:pt idx="32">
                  <c:v>97</c:v>
                </c:pt>
                <c:pt idx="33">
                  <c:v>103</c:v>
                </c:pt>
                <c:pt idx="34">
                  <c:v>104</c:v>
                </c:pt>
                <c:pt idx="35">
                  <c:v>105</c:v>
                </c:pt>
                <c:pt idx="36">
                  <c:v>106</c:v>
                </c:pt>
                <c:pt idx="37">
                  <c:v>107</c:v>
                </c:pt>
                <c:pt idx="38">
                  <c:v>110</c:v>
                </c:pt>
                <c:pt idx="39">
                  <c:v>111</c:v>
                </c:pt>
                <c:pt idx="40">
                  <c:v>112</c:v>
                </c:pt>
                <c:pt idx="41">
                  <c:v>116</c:v>
                </c:pt>
                <c:pt idx="42">
                  <c:v>121</c:v>
                </c:pt>
                <c:pt idx="43">
                  <c:v>125</c:v>
                </c:pt>
                <c:pt idx="44">
                  <c:v>133</c:v>
                </c:pt>
                <c:pt idx="45">
                  <c:v>139</c:v>
                </c:pt>
                <c:pt idx="46">
                  <c:v>146</c:v>
                </c:pt>
                <c:pt idx="47">
                  <c:v>154</c:v>
                </c:pt>
                <c:pt idx="48">
                  <c:v>161</c:v>
                </c:pt>
                <c:pt idx="49">
                  <c:v>163</c:v>
                </c:pt>
                <c:pt idx="50">
                  <c:v>174</c:v>
                </c:pt>
                <c:pt idx="51">
                  <c:v>178</c:v>
                </c:pt>
                <c:pt idx="52">
                  <c:v>180</c:v>
                </c:pt>
                <c:pt idx="53">
                  <c:v>183</c:v>
                </c:pt>
                <c:pt idx="54">
                  <c:v>193</c:v>
                </c:pt>
                <c:pt idx="55">
                  <c:v>195</c:v>
                </c:pt>
                <c:pt idx="56">
                  <c:v>205</c:v>
                </c:pt>
                <c:pt idx="57">
                  <c:v>207</c:v>
                </c:pt>
                <c:pt idx="58">
                  <c:v>208</c:v>
                </c:pt>
                <c:pt idx="59">
                  <c:v>214</c:v>
                </c:pt>
                <c:pt idx="60">
                  <c:v>232</c:v>
                </c:pt>
                <c:pt idx="61">
                  <c:v>238</c:v>
                </c:pt>
                <c:pt idx="62">
                  <c:v>253</c:v>
                </c:pt>
                <c:pt idx="63">
                  <c:v>269</c:v>
                </c:pt>
                <c:pt idx="64">
                  <c:v>272</c:v>
                </c:pt>
                <c:pt idx="65">
                  <c:v>287</c:v>
                </c:pt>
                <c:pt idx="66">
                  <c:v>292</c:v>
                </c:pt>
                <c:pt idx="67">
                  <c:v>297</c:v>
                </c:pt>
                <c:pt idx="68">
                  <c:v>308</c:v>
                </c:pt>
                <c:pt idx="69">
                  <c:v>397</c:v>
                </c:pt>
                <c:pt idx="70">
                  <c:v>400</c:v>
                </c:pt>
              </c:numCache>
            </c:numRef>
          </c:xVal>
          <c:yVal>
            <c:numRef>
              <c:f>'Amp Funnel'!$C$2:$C$72</c:f>
              <c:numCache>
                <c:formatCode>0.0%</c:formatCode>
                <c:ptCount val="71"/>
                <c:pt idx="0">
                  <c:v>0.6</c:v>
                </c:pt>
                <c:pt idx="1">
                  <c:v>0.58610744476318355</c:v>
                </c:pt>
                <c:pt idx="2">
                  <c:v>0.43729064941406248</c:v>
                </c:pt>
                <c:pt idx="3">
                  <c:v>0.36069854736328127</c:v>
                </c:pt>
                <c:pt idx="4">
                  <c:v>0.34305477142333984</c:v>
                </c:pt>
                <c:pt idx="5">
                  <c:v>0.28068515777587888</c:v>
                </c:pt>
                <c:pt idx="6">
                  <c:v>0.27282323837280276</c:v>
                </c:pt>
                <c:pt idx="7">
                  <c:v>0.25612741470336914</c:v>
                </c:pt>
                <c:pt idx="8">
                  <c:v>0.2399102783203125</c:v>
                </c:pt>
                <c:pt idx="9">
                  <c:v>0.21560951232910155</c:v>
                </c:pt>
                <c:pt idx="10">
                  <c:v>0.21075563430786132</c:v>
                </c:pt>
                <c:pt idx="11">
                  <c:v>0.19481412887573243</c:v>
                </c:pt>
                <c:pt idx="12">
                  <c:v>0.18357660293579101</c:v>
                </c:pt>
                <c:pt idx="13">
                  <c:v>0.18230829238891602</c:v>
                </c:pt>
                <c:pt idx="14">
                  <c:v>0.17938249588012695</c:v>
                </c:pt>
                <c:pt idx="15">
                  <c:v>0.17754613876342773</c:v>
                </c:pt>
                <c:pt idx="16">
                  <c:v>0.16203741073608399</c:v>
                </c:pt>
                <c:pt idx="17">
                  <c:v>0.15447944641113281</c:v>
                </c:pt>
                <c:pt idx="18">
                  <c:v>0.15409104347229005</c:v>
                </c:pt>
                <c:pt idx="19">
                  <c:v>0.15272275924682618</c:v>
                </c:pt>
                <c:pt idx="20">
                  <c:v>0.14969902992248535</c:v>
                </c:pt>
                <c:pt idx="21">
                  <c:v>0.14852893829345704</c:v>
                </c:pt>
                <c:pt idx="22">
                  <c:v>0.14604443550109864</c:v>
                </c:pt>
                <c:pt idx="23">
                  <c:v>0.14453013420104979</c:v>
                </c:pt>
                <c:pt idx="24">
                  <c:v>0.14359506607055664</c:v>
                </c:pt>
                <c:pt idx="25">
                  <c:v>0.14294404029846192</c:v>
                </c:pt>
                <c:pt idx="26">
                  <c:v>0.14219882965087891</c:v>
                </c:pt>
                <c:pt idx="27">
                  <c:v>0.13857900619506835</c:v>
                </c:pt>
                <c:pt idx="28">
                  <c:v>0.13757093429565428</c:v>
                </c:pt>
                <c:pt idx="29">
                  <c:v>0.13690320014953614</c:v>
                </c:pt>
                <c:pt idx="30">
                  <c:v>0.13661527633666992</c:v>
                </c:pt>
                <c:pt idx="31">
                  <c:v>0.13583648681640625</c:v>
                </c:pt>
                <c:pt idx="32">
                  <c:v>0.13257938385009765</c:v>
                </c:pt>
                <c:pt idx="33">
                  <c:v>0.12991669654846191</c:v>
                </c:pt>
                <c:pt idx="34">
                  <c:v>0.1295730209350586</c:v>
                </c:pt>
                <c:pt idx="35">
                  <c:v>0.12915772438049317</c:v>
                </c:pt>
                <c:pt idx="36">
                  <c:v>0.12868121147155762</c:v>
                </c:pt>
                <c:pt idx="37">
                  <c:v>0.12815252304077149</c:v>
                </c:pt>
                <c:pt idx="38">
                  <c:v>0.126326847076416</c:v>
                </c:pt>
                <c:pt idx="39">
                  <c:v>0.12565835952758789</c:v>
                </c:pt>
                <c:pt idx="40">
                  <c:v>0.12496803283691406</c:v>
                </c:pt>
                <c:pt idx="41">
                  <c:v>0.12437797546386718</c:v>
                </c:pt>
                <c:pt idx="42">
                  <c:v>0.12232645988464355</c:v>
                </c:pt>
                <c:pt idx="43">
                  <c:v>0.12026348114013671</c:v>
                </c:pt>
                <c:pt idx="44">
                  <c:v>0.11838937759399414</c:v>
                </c:pt>
                <c:pt idx="45">
                  <c:v>0.1162148380279541</c:v>
                </c:pt>
                <c:pt idx="46">
                  <c:v>0.11464258193969727</c:v>
                </c:pt>
                <c:pt idx="47">
                  <c:v>0.11253620147705078</c:v>
                </c:pt>
                <c:pt idx="48">
                  <c:v>0.11078835487365722</c:v>
                </c:pt>
                <c:pt idx="49">
                  <c:v>0.11008266448974609</c:v>
                </c:pt>
                <c:pt idx="50">
                  <c:v>0.10807371139526367</c:v>
                </c:pt>
                <c:pt idx="51">
                  <c:v>0.10690145492553711</c:v>
                </c:pt>
                <c:pt idx="52">
                  <c:v>0.10683554649353028</c:v>
                </c:pt>
                <c:pt idx="53">
                  <c:v>0.10648606300354004</c:v>
                </c:pt>
                <c:pt idx="54">
                  <c:v>0.10442534446716309</c:v>
                </c:pt>
                <c:pt idx="55">
                  <c:v>0.1042903995513916</c:v>
                </c:pt>
                <c:pt idx="56">
                  <c:v>0.10234278678894043</c:v>
                </c:pt>
                <c:pt idx="57">
                  <c:v>0.10221342086791992</c:v>
                </c:pt>
                <c:pt idx="58">
                  <c:v>0.10216513633728028</c:v>
                </c:pt>
                <c:pt idx="59">
                  <c:v>0.10140727043151855</c:v>
                </c:pt>
                <c:pt idx="60">
                  <c:v>9.8772163391113277E-2</c:v>
                </c:pt>
                <c:pt idx="61">
                  <c:v>9.8241996765136716E-2</c:v>
                </c:pt>
                <c:pt idx="62">
                  <c:v>9.6540632247924807E-2</c:v>
                </c:pt>
                <c:pt idx="63">
                  <c:v>9.489918708801269E-2</c:v>
                </c:pt>
                <c:pt idx="64">
                  <c:v>9.4565706253051759E-2</c:v>
                </c:pt>
                <c:pt idx="65">
                  <c:v>9.3163661956787103E-2</c:v>
                </c:pt>
                <c:pt idx="66">
                  <c:v>9.247382164001465E-2</c:v>
                </c:pt>
                <c:pt idx="67">
                  <c:v>9.2322301864624021E-2</c:v>
                </c:pt>
                <c:pt idx="68">
                  <c:v>9.1254043579101565E-2</c:v>
                </c:pt>
                <c:pt idx="69">
                  <c:v>8.5526657104492185E-2</c:v>
                </c:pt>
                <c:pt idx="70">
                  <c:v>8.5426082611083989E-2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112-4B75-AF85-49F97078E3D4}"/>
            </c:ext>
          </c:extLst>
        </c:ser>
        <c:ser>
          <c:idx val="3"/>
          <c:order val="3"/>
          <c:tx>
            <c:strRef>
              <c:f>'Amputation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numRef>
              <c:f>'Amputation Summary'!$D$29</c:f>
              <c:numCache>
                <c:formatCode>General</c:formatCode>
                <c:ptCount val="1"/>
                <c:pt idx="0">
                  <c:v>92</c:v>
                </c:pt>
              </c:numCache>
            </c:numRef>
          </c:xVal>
          <c:yVal>
            <c:numRef>
              <c:f>'Amputation Summary'!$J$29</c:f>
              <c:numCache>
                <c:formatCode>0.0%</c:formatCode>
                <c:ptCount val="1"/>
                <c:pt idx="0">
                  <c:v>3.6999999999999998E-2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112-4B75-AF85-49F97078E3D4}"/>
            </c:ext>
          </c:extLst>
        </c:ser>
        <c:ser>
          <c:idx val="4"/>
          <c:order val="4"/>
          <c:tx>
            <c:v>Lower Funnel Limit</c:v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19050">
                <a:noFill/>
                <a:prstDash val="dash"/>
              </a:ln>
              <a:effectLst/>
            </c:spPr>
          </c:marker>
          <c:xVal>
            <c:numRef>
              <c:f>'Amp Funnel'!$B$2:$B$72</c:f>
              <c:numCache>
                <c:formatCode>0</c:formatCode>
                <c:ptCount val="71"/>
                <c:pt idx="0">
                  <c:v>0</c:v>
                </c:pt>
                <c:pt idx="1">
                  <c:v>6</c:v>
                </c:pt>
                <c:pt idx="2">
                  <c:v>9</c:v>
                </c:pt>
                <c:pt idx="3">
                  <c:v>13</c:v>
                </c:pt>
                <c:pt idx="4">
                  <c:v>14</c:v>
                </c:pt>
                <c:pt idx="5">
                  <c:v>20</c:v>
                </c:pt>
                <c:pt idx="6">
                  <c:v>21</c:v>
                </c:pt>
                <c:pt idx="7">
                  <c:v>23</c:v>
                </c:pt>
                <c:pt idx="8">
                  <c:v>25</c:v>
                </c:pt>
                <c:pt idx="9">
                  <c:v>32</c:v>
                </c:pt>
                <c:pt idx="10">
                  <c:v>33</c:v>
                </c:pt>
                <c:pt idx="11">
                  <c:v>40</c:v>
                </c:pt>
                <c:pt idx="12">
                  <c:v>44</c:v>
                </c:pt>
                <c:pt idx="13">
                  <c:v>46</c:v>
                </c:pt>
                <c:pt idx="14">
                  <c:v>48</c:v>
                </c:pt>
                <c:pt idx="15">
                  <c:v>49</c:v>
                </c:pt>
                <c:pt idx="16">
                  <c:v>60</c:v>
                </c:pt>
                <c:pt idx="17">
                  <c:v>66</c:v>
                </c:pt>
                <c:pt idx="18">
                  <c:v>67</c:v>
                </c:pt>
                <c:pt idx="19">
                  <c:v>69</c:v>
                </c:pt>
                <c:pt idx="20">
                  <c:v>72</c:v>
                </c:pt>
                <c:pt idx="21">
                  <c:v>73</c:v>
                </c:pt>
                <c:pt idx="22">
                  <c:v>75</c:v>
                </c:pt>
                <c:pt idx="23">
                  <c:v>78</c:v>
                </c:pt>
                <c:pt idx="24">
                  <c:v>80</c:v>
                </c:pt>
                <c:pt idx="25">
                  <c:v>81</c:v>
                </c:pt>
                <c:pt idx="26">
                  <c:v>82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90</c:v>
                </c:pt>
                <c:pt idx="31">
                  <c:v>92</c:v>
                </c:pt>
                <c:pt idx="32">
                  <c:v>97</c:v>
                </c:pt>
                <c:pt idx="33">
                  <c:v>103</c:v>
                </c:pt>
                <c:pt idx="34">
                  <c:v>104</c:v>
                </c:pt>
                <c:pt idx="35">
                  <c:v>105</c:v>
                </c:pt>
                <c:pt idx="36">
                  <c:v>106</c:v>
                </c:pt>
                <c:pt idx="37">
                  <c:v>107</c:v>
                </c:pt>
                <c:pt idx="38">
                  <c:v>110</c:v>
                </c:pt>
                <c:pt idx="39">
                  <c:v>111</c:v>
                </c:pt>
                <c:pt idx="40">
                  <c:v>112</c:v>
                </c:pt>
                <c:pt idx="41">
                  <c:v>116</c:v>
                </c:pt>
                <c:pt idx="42">
                  <c:v>121</c:v>
                </c:pt>
                <c:pt idx="43">
                  <c:v>125</c:v>
                </c:pt>
                <c:pt idx="44">
                  <c:v>133</c:v>
                </c:pt>
                <c:pt idx="45">
                  <c:v>139</c:v>
                </c:pt>
                <c:pt idx="46">
                  <c:v>146</c:v>
                </c:pt>
                <c:pt idx="47">
                  <c:v>154</c:v>
                </c:pt>
                <c:pt idx="48">
                  <c:v>161</c:v>
                </c:pt>
                <c:pt idx="49">
                  <c:v>163</c:v>
                </c:pt>
                <c:pt idx="50">
                  <c:v>174</c:v>
                </c:pt>
                <c:pt idx="51">
                  <c:v>178</c:v>
                </c:pt>
                <c:pt idx="52">
                  <c:v>180</c:v>
                </c:pt>
                <c:pt idx="53">
                  <c:v>183</c:v>
                </c:pt>
                <c:pt idx="54">
                  <c:v>193</c:v>
                </c:pt>
                <c:pt idx="55">
                  <c:v>195</c:v>
                </c:pt>
                <c:pt idx="56">
                  <c:v>205</c:v>
                </c:pt>
                <c:pt idx="57">
                  <c:v>207</c:v>
                </c:pt>
                <c:pt idx="58">
                  <c:v>208</c:v>
                </c:pt>
                <c:pt idx="59">
                  <c:v>214</c:v>
                </c:pt>
                <c:pt idx="60">
                  <c:v>232</c:v>
                </c:pt>
                <c:pt idx="61">
                  <c:v>238</c:v>
                </c:pt>
                <c:pt idx="62">
                  <c:v>253</c:v>
                </c:pt>
                <c:pt idx="63">
                  <c:v>269</c:v>
                </c:pt>
                <c:pt idx="64">
                  <c:v>272</c:v>
                </c:pt>
                <c:pt idx="65">
                  <c:v>287</c:v>
                </c:pt>
                <c:pt idx="66">
                  <c:v>292</c:v>
                </c:pt>
                <c:pt idx="67">
                  <c:v>297</c:v>
                </c:pt>
                <c:pt idx="68">
                  <c:v>308</c:v>
                </c:pt>
                <c:pt idx="69">
                  <c:v>397</c:v>
                </c:pt>
                <c:pt idx="70">
                  <c:v>400</c:v>
                </c:pt>
              </c:numCache>
            </c:numRef>
          </c:xVal>
          <c:yVal>
            <c:numRef>
              <c:f>'Amp Funnel'!$E$2:$E$72</c:f>
              <c:numCache>
                <c:formatCode>0.00%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3.0510189011692998E-4</c:v>
                </c:pt>
                <c:pt idx="47">
                  <c:v>8.1003062427043916E-4</c:v>
                </c:pt>
                <c:pt idx="48">
                  <c:v>1.3608381152153016E-3</c:v>
                </c:pt>
                <c:pt idx="49">
                  <c:v>1.5422789752483367E-3</c:v>
                </c:pt>
                <c:pt idx="50">
                  <c:v>2.797245979309082E-3</c:v>
                </c:pt>
                <c:pt idx="51">
                  <c:v>3.391198515892029E-3</c:v>
                </c:pt>
                <c:pt idx="52">
                  <c:v>3.7228852510452271E-3</c:v>
                </c:pt>
                <c:pt idx="53">
                  <c:v>4.2696022987365719E-3</c:v>
                </c:pt>
                <c:pt idx="54">
                  <c:v>5.4782491922378542E-3</c:v>
                </c:pt>
                <c:pt idx="55">
                  <c:v>5.5534160137176514E-3</c:v>
                </c:pt>
                <c:pt idx="56">
                  <c:v>6.0623657703399655E-3</c:v>
                </c:pt>
                <c:pt idx="57">
                  <c:v>6.1957424879074095E-3</c:v>
                </c:pt>
                <c:pt idx="58">
                  <c:v>6.2670439481735231E-3</c:v>
                </c:pt>
                <c:pt idx="59">
                  <c:v>6.7671781778335573E-3</c:v>
                </c:pt>
                <c:pt idx="60">
                  <c:v>8.7971043586730965E-3</c:v>
                </c:pt>
                <c:pt idx="61">
                  <c:v>8.9700424671173094E-3</c:v>
                </c:pt>
                <c:pt idx="62">
                  <c:v>9.7860574722290032E-3</c:v>
                </c:pt>
                <c:pt idx="63">
                  <c:v>1.1283540725708007E-2</c:v>
                </c:pt>
                <c:pt idx="64">
                  <c:v>1.1341761350631713E-2</c:v>
                </c:pt>
                <c:pt idx="65">
                  <c:v>1.1919666528701783E-2</c:v>
                </c:pt>
                <c:pt idx="66">
                  <c:v>1.2248334884643554E-2</c:v>
                </c:pt>
                <c:pt idx="67">
                  <c:v>1.2665902376174926E-2</c:v>
                </c:pt>
                <c:pt idx="68">
                  <c:v>1.3311433792114257E-2</c:v>
                </c:pt>
                <c:pt idx="69">
                  <c:v>1.7068095207214355E-2</c:v>
                </c:pt>
                <c:pt idx="70">
                  <c:v>1.726859450340271E-2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9B-43B5-98F2-CC766CE09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98000"/>
        <c:axId val="578493408"/>
      </c:scatterChart>
      <c:valAx>
        <c:axId val="578498000"/>
        <c:scaling>
          <c:orientation val="minMax"/>
          <c:max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</a:t>
                </a:r>
                <a:r>
                  <a:rPr lang="en-GB" baseline="0"/>
                  <a:t> of operations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3408"/>
        <c:crosses val="autoZero"/>
        <c:crossBetween val="midCat"/>
        <c:majorUnit val="50"/>
      </c:valAx>
      <c:valAx>
        <c:axId val="578493408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  <a:r>
                  <a:rPr lang="en-GB" baseline="0"/>
                  <a:t> 30 day in hospital deaths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8000"/>
        <c:crosses val="autoZero"/>
        <c:crossBetween val="midCat"/>
        <c:majorUnit val="5.000000000000001E-2"/>
        <c:minorUnit val="5.000000000000001E-3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'Amputation Summary'!$Q$32</c:f>
          <c:strCache>
            <c:ptCount val="1"/>
            <c:pt idx="0">
              <c:v>% Prophylactic Antibiotics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'Major Lower Limb Amputation'!$G$7</c:f>
              <c:strCache>
                <c:ptCount val="1"/>
                <c:pt idx="0">
                  <c:v>% Consultant Present in Theatre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'Major Lower Limb Amputation'!$M$8:$M$87</c:f>
              <c:numCache>
                <c:formatCode>General</c:formatCode>
                <c:ptCount val="80"/>
                <c:pt idx="0">
                  <c:v>50</c:v>
                </c:pt>
                <c:pt idx="1">
                  <c:v>37</c:v>
                </c:pt>
                <c:pt idx="2">
                  <c:v>1</c:v>
                </c:pt>
                <c:pt idx="3">
                  <c:v>47</c:v>
                </c:pt>
                <c:pt idx="4">
                  <c:v>2</c:v>
                </c:pt>
                <c:pt idx="5">
                  <c:v>67</c:v>
                </c:pt>
                <c:pt idx="6">
                  <c:v>43</c:v>
                </c:pt>
                <c:pt idx="7">
                  <c:v>40</c:v>
                </c:pt>
                <c:pt idx="8">
                  <c:v>69</c:v>
                </c:pt>
                <c:pt idx="9">
                  <c:v>75</c:v>
                </c:pt>
                <c:pt idx="10">
                  <c:v>21</c:v>
                </c:pt>
                <c:pt idx="11">
                  <c:v>18</c:v>
                </c:pt>
                <c:pt idx="12">
                  <c:v>29</c:v>
                </c:pt>
                <c:pt idx="13">
                  <c:v>27</c:v>
                </c:pt>
                <c:pt idx="14">
                  <c:v>38</c:v>
                </c:pt>
                <c:pt idx="15">
                  <c:v>13</c:v>
                </c:pt>
                <c:pt idx="16">
                  <c:v>61</c:v>
                </c:pt>
                <c:pt idx="17">
                  <c:v>65</c:v>
                </c:pt>
                <c:pt idx="18">
                  <c:v>26</c:v>
                </c:pt>
                <c:pt idx="19">
                  <c:v>55</c:v>
                </c:pt>
                <c:pt idx="20">
                  <c:v>12</c:v>
                </c:pt>
                <c:pt idx="21">
                  <c:v>63</c:v>
                </c:pt>
                <c:pt idx="22">
                  <c:v>11</c:v>
                </c:pt>
                <c:pt idx="23">
                  <c:v>3</c:v>
                </c:pt>
                <c:pt idx="24">
                  <c:v>35</c:v>
                </c:pt>
                <c:pt idx="25">
                  <c:v>28</c:v>
                </c:pt>
                <c:pt idx="26">
                  <c:v>4</c:v>
                </c:pt>
                <c:pt idx="27">
                  <c:v>5</c:v>
                </c:pt>
                <c:pt idx="28">
                  <c:v>19</c:v>
                </c:pt>
                <c:pt idx="29">
                  <c:v>51</c:v>
                </c:pt>
                <c:pt idx="30">
                  <c:v>33</c:v>
                </c:pt>
                <c:pt idx="31">
                  <c:v>24</c:v>
                </c:pt>
                <c:pt idx="32">
                  <c:v>60</c:v>
                </c:pt>
                <c:pt idx="33">
                  <c:v>20</c:v>
                </c:pt>
                <c:pt idx="34">
                  <c:v>9</c:v>
                </c:pt>
                <c:pt idx="35">
                  <c:v>16</c:v>
                </c:pt>
                <c:pt idx="36">
                  <c:v>23</c:v>
                </c:pt>
                <c:pt idx="37">
                  <c:v>7</c:v>
                </c:pt>
                <c:pt idx="38">
                  <c:v>49</c:v>
                </c:pt>
                <c:pt idx="39">
                  <c:v>42</c:v>
                </c:pt>
                <c:pt idx="40">
                  <c:v>71</c:v>
                </c:pt>
                <c:pt idx="41">
                  <c:v>78</c:v>
                </c:pt>
                <c:pt idx="42">
                  <c:v>48</c:v>
                </c:pt>
                <c:pt idx="43">
                  <c:v>6</c:v>
                </c:pt>
                <c:pt idx="44">
                  <c:v>0</c:v>
                </c:pt>
                <c:pt idx="45">
                  <c:v>74</c:v>
                </c:pt>
                <c:pt idx="46">
                  <c:v>30</c:v>
                </c:pt>
                <c:pt idx="47">
                  <c:v>53</c:v>
                </c:pt>
                <c:pt idx="48">
                  <c:v>10</c:v>
                </c:pt>
                <c:pt idx="49">
                  <c:v>36</c:v>
                </c:pt>
                <c:pt idx="50">
                  <c:v>64</c:v>
                </c:pt>
                <c:pt idx="51">
                  <c:v>59</c:v>
                </c:pt>
                <c:pt idx="52">
                  <c:v>39</c:v>
                </c:pt>
                <c:pt idx="53">
                  <c:v>79</c:v>
                </c:pt>
                <c:pt idx="54">
                  <c:v>8</c:v>
                </c:pt>
                <c:pt idx="55">
                  <c:v>56</c:v>
                </c:pt>
                <c:pt idx="56">
                  <c:v>31</c:v>
                </c:pt>
                <c:pt idx="57">
                  <c:v>73</c:v>
                </c:pt>
                <c:pt idx="58">
                  <c:v>44</c:v>
                </c:pt>
                <c:pt idx="59">
                  <c:v>41</c:v>
                </c:pt>
                <c:pt idx="60">
                  <c:v>34</c:v>
                </c:pt>
                <c:pt idx="61">
                  <c:v>45</c:v>
                </c:pt>
                <c:pt idx="62">
                  <c:v>58</c:v>
                </c:pt>
                <c:pt idx="63">
                  <c:v>68</c:v>
                </c:pt>
                <c:pt idx="64">
                  <c:v>62</c:v>
                </c:pt>
                <c:pt idx="65">
                  <c:v>15</c:v>
                </c:pt>
                <c:pt idx="66">
                  <c:v>57</c:v>
                </c:pt>
                <c:pt idx="67">
                  <c:v>70</c:v>
                </c:pt>
                <c:pt idx="68">
                  <c:v>72</c:v>
                </c:pt>
                <c:pt idx="69">
                  <c:v>76</c:v>
                </c:pt>
                <c:pt idx="70">
                  <c:v>32</c:v>
                </c:pt>
                <c:pt idx="71">
                  <c:v>17</c:v>
                </c:pt>
                <c:pt idx="72">
                  <c:v>54</c:v>
                </c:pt>
                <c:pt idx="73">
                  <c:v>52</c:v>
                </c:pt>
                <c:pt idx="74">
                  <c:v>25</c:v>
                </c:pt>
                <c:pt idx="75">
                  <c:v>22</c:v>
                </c:pt>
                <c:pt idx="76">
                  <c:v>66</c:v>
                </c:pt>
                <c:pt idx="77">
                  <c:v>14</c:v>
                </c:pt>
                <c:pt idx="78">
                  <c:v>77</c:v>
                </c:pt>
                <c:pt idx="79">
                  <c:v>46</c:v>
                </c:pt>
              </c:numCache>
            </c:numRef>
          </c:cat>
          <c:val>
            <c:numRef>
              <c:f>'Major Lower Limb Amputation'!$N$8:$N$87</c:f>
              <c:numCache>
                <c:formatCode>0.0%</c:formatCode>
                <c:ptCount val="80"/>
                <c:pt idx="0">
                  <c:v>0.85899999999999999</c:v>
                </c:pt>
                <c:pt idx="1">
                  <c:v>0.76700000000000002</c:v>
                </c:pt>
                <c:pt idx="2">
                  <c:v>0</c:v>
                </c:pt>
                <c:pt idx="3">
                  <c:v>0.84399999999999997</c:v>
                </c:pt>
                <c:pt idx="4">
                  <c:v>0</c:v>
                </c:pt>
                <c:pt idx="5">
                  <c:v>0.93100000000000005</c:v>
                </c:pt>
                <c:pt idx="6">
                  <c:v>0.82099999999999995</c:v>
                </c:pt>
                <c:pt idx="7">
                  <c:v>0.78300000000000003</c:v>
                </c:pt>
                <c:pt idx="8">
                  <c:v>0.94399999999999995</c:v>
                </c:pt>
                <c:pt idx="9">
                  <c:v>0.98099999999999998</c:v>
                </c:pt>
                <c:pt idx="10">
                  <c:v>0.53100000000000003</c:v>
                </c:pt>
                <c:pt idx="11">
                  <c:v>0.48899999999999999</c:v>
                </c:pt>
                <c:pt idx="12">
                  <c:v>0.65300000000000002</c:v>
                </c:pt>
                <c:pt idx="13">
                  <c:v>0.64400000000000002</c:v>
                </c:pt>
                <c:pt idx="14">
                  <c:v>0.77400000000000002</c:v>
                </c:pt>
                <c:pt idx="15">
                  <c:v>0.23599999999999999</c:v>
                </c:pt>
                <c:pt idx="16">
                  <c:v>0.91</c:v>
                </c:pt>
                <c:pt idx="17">
                  <c:v>0.92700000000000005</c:v>
                </c:pt>
                <c:pt idx="18">
                  <c:v>0.63600000000000001</c:v>
                </c:pt>
                <c:pt idx="19">
                  <c:v>0.86899999999999999</c:v>
                </c:pt>
                <c:pt idx="20">
                  <c:v>0.18</c:v>
                </c:pt>
                <c:pt idx="21">
                  <c:v>0.92200000000000004</c:v>
                </c:pt>
                <c:pt idx="22">
                  <c:v>0.17499999999999999</c:v>
                </c:pt>
                <c:pt idx="23">
                  <c:v>0</c:v>
                </c:pt>
                <c:pt idx="24">
                  <c:v>0.74399999999999999</c:v>
                </c:pt>
                <c:pt idx="25">
                  <c:v>0.65100000000000002</c:v>
                </c:pt>
                <c:pt idx="26">
                  <c:v>0</c:v>
                </c:pt>
                <c:pt idx="27">
                  <c:v>0</c:v>
                </c:pt>
                <c:pt idx="28">
                  <c:v>0.5</c:v>
                </c:pt>
                <c:pt idx="29">
                  <c:v>0.86399999999999999</c:v>
                </c:pt>
                <c:pt idx="30">
                  <c:v>0.71499999999999997</c:v>
                </c:pt>
                <c:pt idx="31">
                  <c:v>0.6</c:v>
                </c:pt>
                <c:pt idx="32">
                  <c:v>0.90900000000000003</c:v>
                </c:pt>
                <c:pt idx="33">
                  <c:v>0.51700000000000002</c:v>
                </c:pt>
                <c:pt idx="34">
                  <c:v>6.7000000000000004E-2</c:v>
                </c:pt>
                <c:pt idx="35">
                  <c:v>0.42499999999999999</c:v>
                </c:pt>
                <c:pt idx="36">
                  <c:v>0.57099999999999995</c:v>
                </c:pt>
                <c:pt idx="37">
                  <c:v>3.1E-2</c:v>
                </c:pt>
                <c:pt idx="38">
                  <c:v>0.85699999999999998</c:v>
                </c:pt>
                <c:pt idx="39">
                  <c:v>0.81799999999999995</c:v>
                </c:pt>
                <c:pt idx="40">
                  <c:v>0.95499999999999996</c:v>
                </c:pt>
                <c:pt idx="41">
                  <c:v>0.98799999999999999</c:v>
                </c:pt>
                <c:pt idx="42">
                  <c:v>0.84399999999999997</c:v>
                </c:pt>
                <c:pt idx="43">
                  <c:v>0</c:v>
                </c:pt>
                <c:pt idx="44">
                  <c:v>0</c:v>
                </c:pt>
                <c:pt idx="45">
                  <c:v>0.97899999999999998</c:v>
                </c:pt>
                <c:pt idx="46">
                  <c:v>0.65300000000000002</c:v>
                </c:pt>
                <c:pt idx="47">
                  <c:v>0.86499999999999999</c:v>
                </c:pt>
                <c:pt idx="48">
                  <c:v>0.108</c:v>
                </c:pt>
                <c:pt idx="49">
                  <c:v>0.75900000000000001</c:v>
                </c:pt>
                <c:pt idx="50">
                  <c:v>0.92300000000000004</c:v>
                </c:pt>
                <c:pt idx="51">
                  <c:v>0.89700000000000002</c:v>
                </c:pt>
                <c:pt idx="52">
                  <c:v>0.78200000000000003</c:v>
                </c:pt>
                <c:pt idx="53">
                  <c:v>1</c:v>
                </c:pt>
                <c:pt idx="54">
                  <c:v>0.05</c:v>
                </c:pt>
                <c:pt idx="55">
                  <c:v>0.878</c:v>
                </c:pt>
                <c:pt idx="56">
                  <c:v>0.68400000000000005</c:v>
                </c:pt>
                <c:pt idx="57">
                  <c:v>0.97199999999999998</c:v>
                </c:pt>
                <c:pt idx="58">
                  <c:v>0.82899999999999996</c:v>
                </c:pt>
                <c:pt idx="59">
                  <c:v>0.79900000000000004</c:v>
                </c:pt>
                <c:pt idx="60">
                  <c:v>0.73799999999999999</c:v>
                </c:pt>
                <c:pt idx="61">
                  <c:v>0.83</c:v>
                </c:pt>
                <c:pt idx="62">
                  <c:v>0.89500000000000002</c:v>
                </c:pt>
                <c:pt idx="63">
                  <c:v>0.93799999999999994</c:v>
                </c:pt>
                <c:pt idx="64">
                  <c:v>0.91400000000000003</c:v>
                </c:pt>
                <c:pt idx="65">
                  <c:v>0.34899999999999998</c:v>
                </c:pt>
                <c:pt idx="66">
                  <c:v>0.88400000000000001</c:v>
                </c:pt>
                <c:pt idx="67">
                  <c:v>0.94499999999999995</c:v>
                </c:pt>
                <c:pt idx="68">
                  <c:v>0.96</c:v>
                </c:pt>
                <c:pt idx="69">
                  <c:v>0.98099999999999998</c:v>
                </c:pt>
                <c:pt idx="70">
                  <c:v>0.70699999999999996</c:v>
                </c:pt>
                <c:pt idx="71">
                  <c:v>0.46100000000000002</c:v>
                </c:pt>
                <c:pt idx="72">
                  <c:v>0.86699999999999999</c:v>
                </c:pt>
                <c:pt idx="73">
                  <c:v>0.86399999999999999</c:v>
                </c:pt>
                <c:pt idx="74">
                  <c:v>0.62</c:v>
                </c:pt>
                <c:pt idx="75">
                  <c:v>0.56200000000000006</c:v>
                </c:pt>
                <c:pt idx="76">
                  <c:v>0.92800000000000005</c:v>
                </c:pt>
                <c:pt idx="77">
                  <c:v>0.33300000000000002</c:v>
                </c:pt>
                <c:pt idx="78">
                  <c:v>0.98199999999999998</c:v>
                </c:pt>
                <c:pt idx="79">
                  <c:v>0.83799999999999997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1-4FEE-A1EA-14B09CB0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77608"/>
        <c:axId val="636780232"/>
      </c:areaChart>
      <c:scatterChart>
        <c:scatterStyle val="lineMarker"/>
        <c:varyColors val="0"/>
        <c:ser>
          <c:idx val="1"/>
          <c:order val="1"/>
          <c:tx>
            <c:strRef>
              <c:f>'Amputation Summary'!$B$29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minus"/>
            <c:errValType val="fixedVal"/>
            <c:noEndCap val="1"/>
            <c:val val="1"/>
            <c:spPr>
              <a:noFill/>
              <a:ln w="1587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'Amputation Summary'!$AD$4</c:f>
              <c:numCache>
                <c:formatCode>General</c:formatCode>
                <c:ptCount val="1"/>
                <c:pt idx="0">
                  <c:v>50</c:v>
                </c:pt>
              </c:numCache>
            </c:numRef>
          </c:xVal>
          <c:yVal>
            <c:numRef>
              <c:f>'Amputation Summary'!$AB$4</c:f>
              <c:numCache>
                <c:formatCode>General</c:formatCode>
                <c:ptCount val="1"/>
                <c:pt idx="0">
                  <c:v>0.85899999999999999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81-4FEE-A1EA-14B09CB0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77608"/>
        <c:axId val="636780232"/>
      </c:scatterChart>
      <c:dateAx>
        <c:axId val="636777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6780232"/>
        <c:crosses val="autoZero"/>
        <c:auto val="0"/>
        <c:lblOffset val="100"/>
        <c:baseTimeUnit val="days"/>
      </c:dateAx>
      <c:valAx>
        <c:axId val="63678023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777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'AAA Funnel'!$C$1</c:f>
              <c:strCache>
                <c:ptCount val="1"/>
                <c:pt idx="0">
                  <c:v>Mortality Rate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'AAA Funnel'!$B$2:$B$76</c:f>
              <c:numCache>
                <c:formatCode>General</c:formatCode>
                <c:ptCount val="75"/>
                <c:pt idx="0">
                  <c:v>144</c:v>
                </c:pt>
                <c:pt idx="1">
                  <c:v>178</c:v>
                </c:pt>
                <c:pt idx="2">
                  <c:v>113</c:v>
                </c:pt>
                <c:pt idx="3">
                  <c:v>69</c:v>
                </c:pt>
                <c:pt idx="4">
                  <c:v>128</c:v>
                </c:pt>
                <c:pt idx="5">
                  <c:v>279</c:v>
                </c:pt>
                <c:pt idx="6">
                  <c:v>93</c:v>
                </c:pt>
                <c:pt idx="7">
                  <c:v>85</c:v>
                </c:pt>
                <c:pt idx="8">
                  <c:v>88</c:v>
                </c:pt>
                <c:pt idx="9">
                  <c:v>104</c:v>
                </c:pt>
                <c:pt idx="10">
                  <c:v>102</c:v>
                </c:pt>
                <c:pt idx="11">
                  <c:v>167</c:v>
                </c:pt>
                <c:pt idx="12">
                  <c:v>209</c:v>
                </c:pt>
                <c:pt idx="13">
                  <c:v>205</c:v>
                </c:pt>
                <c:pt idx="14">
                  <c:v>165</c:v>
                </c:pt>
                <c:pt idx="15">
                  <c:v>83</c:v>
                </c:pt>
                <c:pt idx="16">
                  <c:v>190</c:v>
                </c:pt>
                <c:pt idx="17">
                  <c:v>210</c:v>
                </c:pt>
                <c:pt idx="18">
                  <c:v>181</c:v>
                </c:pt>
                <c:pt idx="19">
                  <c:v>97</c:v>
                </c:pt>
                <c:pt idx="20">
                  <c:v>94</c:v>
                </c:pt>
                <c:pt idx="21">
                  <c:v>372</c:v>
                </c:pt>
                <c:pt idx="22">
                  <c:v>75</c:v>
                </c:pt>
                <c:pt idx="23">
                  <c:v>262</c:v>
                </c:pt>
                <c:pt idx="24">
                  <c:v>141</c:v>
                </c:pt>
                <c:pt idx="25">
                  <c:v>340</c:v>
                </c:pt>
                <c:pt idx="26">
                  <c:v>259</c:v>
                </c:pt>
                <c:pt idx="27">
                  <c:v>383</c:v>
                </c:pt>
                <c:pt idx="28">
                  <c:v>259</c:v>
                </c:pt>
                <c:pt idx="29">
                  <c:v>22</c:v>
                </c:pt>
                <c:pt idx="30">
                  <c:v>93</c:v>
                </c:pt>
                <c:pt idx="31">
                  <c:v>153</c:v>
                </c:pt>
                <c:pt idx="32">
                  <c:v>89</c:v>
                </c:pt>
                <c:pt idx="33">
                  <c:v>282</c:v>
                </c:pt>
                <c:pt idx="34">
                  <c:v>203</c:v>
                </c:pt>
                <c:pt idx="35">
                  <c:v>113</c:v>
                </c:pt>
                <c:pt idx="36">
                  <c:v>122</c:v>
                </c:pt>
                <c:pt idx="37">
                  <c:v>128</c:v>
                </c:pt>
                <c:pt idx="38">
                  <c:v>77</c:v>
                </c:pt>
                <c:pt idx="39">
                  <c:v>295</c:v>
                </c:pt>
                <c:pt idx="40">
                  <c:v>93</c:v>
                </c:pt>
                <c:pt idx="41">
                  <c:v>75</c:v>
                </c:pt>
                <c:pt idx="42">
                  <c:v>234</c:v>
                </c:pt>
                <c:pt idx="43">
                  <c:v>289</c:v>
                </c:pt>
                <c:pt idx="44">
                  <c:v>9</c:v>
                </c:pt>
                <c:pt idx="45">
                  <c:v>215</c:v>
                </c:pt>
                <c:pt idx="46">
                  <c:v>196</c:v>
                </c:pt>
                <c:pt idx="47">
                  <c:v>226</c:v>
                </c:pt>
                <c:pt idx="48">
                  <c:v>247</c:v>
                </c:pt>
                <c:pt idx="49">
                  <c:v>125</c:v>
                </c:pt>
                <c:pt idx="50">
                  <c:v>161</c:v>
                </c:pt>
                <c:pt idx="51">
                  <c:v>210</c:v>
                </c:pt>
                <c:pt idx="52">
                  <c:v>202</c:v>
                </c:pt>
                <c:pt idx="53">
                  <c:v>167</c:v>
                </c:pt>
                <c:pt idx="54">
                  <c:v>179</c:v>
                </c:pt>
                <c:pt idx="55">
                  <c:v>86</c:v>
                </c:pt>
                <c:pt idx="56">
                  <c:v>193</c:v>
                </c:pt>
                <c:pt idx="57">
                  <c:v>151</c:v>
                </c:pt>
                <c:pt idx="58">
                  <c:v>89</c:v>
                </c:pt>
                <c:pt idx="59">
                  <c:v>210</c:v>
                </c:pt>
                <c:pt idx="60">
                  <c:v>78</c:v>
                </c:pt>
                <c:pt idx="61">
                  <c:v>189</c:v>
                </c:pt>
                <c:pt idx="62">
                  <c:v>202</c:v>
                </c:pt>
                <c:pt idx="63">
                  <c:v>192</c:v>
                </c:pt>
                <c:pt idx="64">
                  <c:v>116</c:v>
                </c:pt>
                <c:pt idx="65">
                  <c:v>106</c:v>
                </c:pt>
                <c:pt idx="66">
                  <c:v>116</c:v>
                </c:pt>
                <c:pt idx="67">
                  <c:v>23</c:v>
                </c:pt>
                <c:pt idx="68">
                  <c:v>191</c:v>
                </c:pt>
                <c:pt idx="69">
                  <c:v>55</c:v>
                </c:pt>
                <c:pt idx="70">
                  <c:v>92</c:v>
                </c:pt>
                <c:pt idx="71">
                  <c:v>64</c:v>
                </c:pt>
                <c:pt idx="72">
                  <c:v>166</c:v>
                </c:pt>
                <c:pt idx="73">
                  <c:v>66</c:v>
                </c:pt>
                <c:pt idx="74">
                  <c:v>354</c:v>
                </c:pt>
              </c:numCache>
            </c:numRef>
          </c:xVal>
          <c:yVal>
            <c:numRef>
              <c:f>'AAA Funnel'!$C$2:$C$76</c:f>
              <c:numCache>
                <c:formatCode>0.0</c:formatCode>
                <c:ptCount val="75"/>
                <c:pt idx="0">
                  <c:v>1.4</c:v>
                </c:pt>
                <c:pt idx="1">
                  <c:v>2.2000000000000002</c:v>
                </c:pt>
                <c:pt idx="2">
                  <c:v>5.9</c:v>
                </c:pt>
                <c:pt idx="3">
                  <c:v>2.6</c:v>
                </c:pt>
                <c:pt idx="4">
                  <c:v>0.8</c:v>
                </c:pt>
                <c:pt idx="5">
                  <c:v>0.7</c:v>
                </c:pt>
                <c:pt idx="6">
                  <c:v>3.8</c:v>
                </c:pt>
                <c:pt idx="7">
                  <c:v>1.2</c:v>
                </c:pt>
                <c:pt idx="8">
                  <c:v>0</c:v>
                </c:pt>
                <c:pt idx="9">
                  <c:v>1.8</c:v>
                </c:pt>
                <c:pt idx="10">
                  <c:v>1.2</c:v>
                </c:pt>
                <c:pt idx="11">
                  <c:v>0</c:v>
                </c:pt>
                <c:pt idx="12">
                  <c:v>2.2999999999999998</c:v>
                </c:pt>
                <c:pt idx="13">
                  <c:v>1.9</c:v>
                </c:pt>
                <c:pt idx="14">
                  <c:v>1.8</c:v>
                </c:pt>
                <c:pt idx="15">
                  <c:v>2.4</c:v>
                </c:pt>
                <c:pt idx="16">
                  <c:v>1.1000000000000001</c:v>
                </c:pt>
                <c:pt idx="17">
                  <c:v>2</c:v>
                </c:pt>
                <c:pt idx="18">
                  <c:v>3.6</c:v>
                </c:pt>
                <c:pt idx="19">
                  <c:v>2.2000000000000002</c:v>
                </c:pt>
                <c:pt idx="20">
                  <c:v>0</c:v>
                </c:pt>
                <c:pt idx="21">
                  <c:v>0.3</c:v>
                </c:pt>
                <c:pt idx="22">
                  <c:v>1.4</c:v>
                </c:pt>
                <c:pt idx="23">
                  <c:v>1.1000000000000001</c:v>
                </c:pt>
                <c:pt idx="24">
                  <c:v>1.4</c:v>
                </c:pt>
                <c:pt idx="25">
                  <c:v>0.3</c:v>
                </c:pt>
                <c:pt idx="26">
                  <c:v>0</c:v>
                </c:pt>
                <c:pt idx="27">
                  <c:v>2.2999999999999998</c:v>
                </c:pt>
                <c:pt idx="28">
                  <c:v>1.2</c:v>
                </c:pt>
                <c:pt idx="29">
                  <c:v>4.2</c:v>
                </c:pt>
                <c:pt idx="30">
                  <c:v>2.2000000000000002</c:v>
                </c:pt>
                <c:pt idx="31">
                  <c:v>2.5</c:v>
                </c:pt>
                <c:pt idx="32">
                  <c:v>1</c:v>
                </c:pt>
                <c:pt idx="33">
                  <c:v>2.1</c:v>
                </c:pt>
                <c:pt idx="34">
                  <c:v>0</c:v>
                </c:pt>
                <c:pt idx="35">
                  <c:v>3.4</c:v>
                </c:pt>
                <c:pt idx="36">
                  <c:v>1.5</c:v>
                </c:pt>
                <c:pt idx="37">
                  <c:v>0.8</c:v>
                </c:pt>
                <c:pt idx="38">
                  <c:v>0</c:v>
                </c:pt>
                <c:pt idx="39">
                  <c:v>1.6</c:v>
                </c:pt>
                <c:pt idx="40">
                  <c:v>3.4</c:v>
                </c:pt>
                <c:pt idx="41">
                  <c:v>2.9</c:v>
                </c:pt>
                <c:pt idx="42">
                  <c:v>0.4</c:v>
                </c:pt>
                <c:pt idx="43">
                  <c:v>1.7</c:v>
                </c:pt>
                <c:pt idx="44">
                  <c:v>0</c:v>
                </c:pt>
                <c:pt idx="45">
                  <c:v>1.9</c:v>
                </c:pt>
                <c:pt idx="46">
                  <c:v>1.1000000000000001</c:v>
                </c:pt>
                <c:pt idx="47">
                  <c:v>2.1</c:v>
                </c:pt>
                <c:pt idx="48">
                  <c:v>1.3</c:v>
                </c:pt>
                <c:pt idx="49">
                  <c:v>0.8</c:v>
                </c:pt>
                <c:pt idx="50">
                  <c:v>0</c:v>
                </c:pt>
                <c:pt idx="51">
                  <c:v>2.8</c:v>
                </c:pt>
                <c:pt idx="52">
                  <c:v>0.5</c:v>
                </c:pt>
                <c:pt idx="53">
                  <c:v>1.2</c:v>
                </c:pt>
                <c:pt idx="54">
                  <c:v>1.2</c:v>
                </c:pt>
                <c:pt idx="55">
                  <c:v>4.8</c:v>
                </c:pt>
                <c:pt idx="56">
                  <c:v>0.5</c:v>
                </c:pt>
                <c:pt idx="57">
                  <c:v>1.2</c:v>
                </c:pt>
                <c:pt idx="58">
                  <c:v>0</c:v>
                </c:pt>
                <c:pt idx="59">
                  <c:v>0.5</c:v>
                </c:pt>
                <c:pt idx="60">
                  <c:v>0</c:v>
                </c:pt>
                <c:pt idx="61">
                  <c:v>1.1000000000000001</c:v>
                </c:pt>
                <c:pt idx="62">
                  <c:v>1.1000000000000001</c:v>
                </c:pt>
                <c:pt idx="63">
                  <c:v>1.5</c:v>
                </c:pt>
                <c:pt idx="64">
                  <c:v>0.9</c:v>
                </c:pt>
                <c:pt idx="65">
                  <c:v>0</c:v>
                </c:pt>
                <c:pt idx="66">
                  <c:v>0</c:v>
                </c:pt>
                <c:pt idx="67">
                  <c:v>3.6</c:v>
                </c:pt>
                <c:pt idx="68">
                  <c:v>2.7</c:v>
                </c:pt>
                <c:pt idx="69">
                  <c:v>0</c:v>
                </c:pt>
                <c:pt idx="70">
                  <c:v>1.1000000000000001</c:v>
                </c:pt>
                <c:pt idx="71">
                  <c:v>0</c:v>
                </c:pt>
                <c:pt idx="72">
                  <c:v>0.6</c:v>
                </c:pt>
                <c:pt idx="73">
                  <c:v>0</c:v>
                </c:pt>
                <c:pt idx="74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23-4E9D-ADE0-4F5A6DAF54D4}"/>
            </c:ext>
          </c:extLst>
        </c:ser>
        <c:ser>
          <c:idx val="1"/>
          <c:order val="1"/>
          <c:tx>
            <c:v>National Rate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'AAA Limits'!$B$2:$B$70</c:f>
              <c:numCache>
                <c:formatCode>General</c:formatCode>
                <c:ptCount val="69"/>
                <c:pt idx="0">
                  <c:v>0</c:v>
                </c:pt>
                <c:pt idx="1">
                  <c:v>9</c:v>
                </c:pt>
                <c:pt idx="2">
                  <c:v>11</c:v>
                </c:pt>
                <c:pt idx="3">
                  <c:v>22</c:v>
                </c:pt>
                <c:pt idx="4">
                  <c:v>23</c:v>
                </c:pt>
                <c:pt idx="5">
                  <c:v>42</c:v>
                </c:pt>
                <c:pt idx="6">
                  <c:v>44</c:v>
                </c:pt>
                <c:pt idx="7">
                  <c:v>55</c:v>
                </c:pt>
                <c:pt idx="8">
                  <c:v>64</c:v>
                </c:pt>
                <c:pt idx="9">
                  <c:v>66</c:v>
                </c:pt>
                <c:pt idx="10">
                  <c:v>69</c:v>
                </c:pt>
                <c:pt idx="11">
                  <c:v>75</c:v>
                </c:pt>
                <c:pt idx="12">
                  <c:v>77</c:v>
                </c:pt>
                <c:pt idx="13">
                  <c:v>78</c:v>
                </c:pt>
                <c:pt idx="14">
                  <c:v>83</c:v>
                </c:pt>
                <c:pt idx="15">
                  <c:v>85</c:v>
                </c:pt>
                <c:pt idx="16">
                  <c:v>86</c:v>
                </c:pt>
                <c:pt idx="17">
                  <c:v>88</c:v>
                </c:pt>
                <c:pt idx="18">
                  <c:v>89</c:v>
                </c:pt>
                <c:pt idx="19">
                  <c:v>92</c:v>
                </c:pt>
                <c:pt idx="20">
                  <c:v>93</c:v>
                </c:pt>
                <c:pt idx="21">
                  <c:v>94</c:v>
                </c:pt>
                <c:pt idx="22">
                  <c:v>97</c:v>
                </c:pt>
                <c:pt idx="23">
                  <c:v>102</c:v>
                </c:pt>
                <c:pt idx="24">
                  <c:v>104</c:v>
                </c:pt>
                <c:pt idx="25">
                  <c:v>106</c:v>
                </c:pt>
                <c:pt idx="26">
                  <c:v>113</c:v>
                </c:pt>
                <c:pt idx="27">
                  <c:v>116</c:v>
                </c:pt>
                <c:pt idx="28">
                  <c:v>122</c:v>
                </c:pt>
                <c:pt idx="29">
                  <c:v>125</c:v>
                </c:pt>
                <c:pt idx="30">
                  <c:v>128</c:v>
                </c:pt>
                <c:pt idx="31">
                  <c:v>131</c:v>
                </c:pt>
                <c:pt idx="32">
                  <c:v>141</c:v>
                </c:pt>
                <c:pt idx="33">
                  <c:v>144</c:v>
                </c:pt>
                <c:pt idx="34">
                  <c:v>151</c:v>
                </c:pt>
                <c:pt idx="35">
                  <c:v>153</c:v>
                </c:pt>
                <c:pt idx="36">
                  <c:v>161</c:v>
                </c:pt>
                <c:pt idx="37">
                  <c:v>165</c:v>
                </c:pt>
                <c:pt idx="38">
                  <c:v>166</c:v>
                </c:pt>
                <c:pt idx="39">
                  <c:v>167</c:v>
                </c:pt>
                <c:pt idx="40">
                  <c:v>178</c:v>
                </c:pt>
                <c:pt idx="41">
                  <c:v>179</c:v>
                </c:pt>
                <c:pt idx="42">
                  <c:v>181</c:v>
                </c:pt>
                <c:pt idx="43">
                  <c:v>189</c:v>
                </c:pt>
                <c:pt idx="44">
                  <c:v>190</c:v>
                </c:pt>
                <c:pt idx="45">
                  <c:v>191</c:v>
                </c:pt>
                <c:pt idx="46">
                  <c:v>192</c:v>
                </c:pt>
                <c:pt idx="47">
                  <c:v>193</c:v>
                </c:pt>
                <c:pt idx="48">
                  <c:v>196</c:v>
                </c:pt>
                <c:pt idx="49">
                  <c:v>202</c:v>
                </c:pt>
                <c:pt idx="50">
                  <c:v>203</c:v>
                </c:pt>
                <c:pt idx="51">
                  <c:v>205</c:v>
                </c:pt>
                <c:pt idx="52">
                  <c:v>209</c:v>
                </c:pt>
                <c:pt idx="53">
                  <c:v>210</c:v>
                </c:pt>
                <c:pt idx="54">
                  <c:v>215</c:v>
                </c:pt>
                <c:pt idx="55">
                  <c:v>226</c:v>
                </c:pt>
                <c:pt idx="56">
                  <c:v>234</c:v>
                </c:pt>
                <c:pt idx="57">
                  <c:v>247</c:v>
                </c:pt>
                <c:pt idx="58">
                  <c:v>259</c:v>
                </c:pt>
                <c:pt idx="59">
                  <c:v>262</c:v>
                </c:pt>
                <c:pt idx="60">
                  <c:v>279</c:v>
                </c:pt>
                <c:pt idx="61">
                  <c:v>282</c:v>
                </c:pt>
                <c:pt idx="62">
                  <c:v>289</c:v>
                </c:pt>
                <c:pt idx="63">
                  <c:v>295</c:v>
                </c:pt>
                <c:pt idx="64">
                  <c:v>340</c:v>
                </c:pt>
                <c:pt idx="65">
                  <c:v>354</c:v>
                </c:pt>
                <c:pt idx="66">
                  <c:v>372</c:v>
                </c:pt>
                <c:pt idx="67">
                  <c:v>383</c:v>
                </c:pt>
                <c:pt idx="68">
                  <c:v>400</c:v>
                </c:pt>
              </c:numCache>
            </c:numRef>
          </c:xVal>
          <c:yVal>
            <c:numRef>
              <c:f>'AAA Limits'!$D$2:$D$70</c:f>
              <c:numCache>
                <c:formatCode>General</c:formatCode>
                <c:ptCount val="69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1.4</c:v>
                </c:pt>
                <c:pt idx="18">
                  <c:v>1.4</c:v>
                </c:pt>
                <c:pt idx="19">
                  <c:v>1.4</c:v>
                </c:pt>
                <c:pt idx="20">
                  <c:v>1.4</c:v>
                </c:pt>
                <c:pt idx="21">
                  <c:v>1.4</c:v>
                </c:pt>
                <c:pt idx="22">
                  <c:v>1.4</c:v>
                </c:pt>
                <c:pt idx="23">
                  <c:v>1.4</c:v>
                </c:pt>
                <c:pt idx="24">
                  <c:v>1.4</c:v>
                </c:pt>
                <c:pt idx="25">
                  <c:v>1.4</c:v>
                </c:pt>
                <c:pt idx="26">
                  <c:v>1.4</c:v>
                </c:pt>
                <c:pt idx="27">
                  <c:v>1.4</c:v>
                </c:pt>
                <c:pt idx="28">
                  <c:v>1.4</c:v>
                </c:pt>
                <c:pt idx="29">
                  <c:v>1.4</c:v>
                </c:pt>
                <c:pt idx="30">
                  <c:v>1.4</c:v>
                </c:pt>
                <c:pt idx="31">
                  <c:v>1.4</c:v>
                </c:pt>
                <c:pt idx="32">
                  <c:v>1.4</c:v>
                </c:pt>
                <c:pt idx="33">
                  <c:v>1.4</c:v>
                </c:pt>
                <c:pt idx="34">
                  <c:v>1.4</c:v>
                </c:pt>
                <c:pt idx="35">
                  <c:v>1.4</c:v>
                </c:pt>
                <c:pt idx="36">
                  <c:v>1.4</c:v>
                </c:pt>
                <c:pt idx="37">
                  <c:v>1.4</c:v>
                </c:pt>
                <c:pt idx="38">
                  <c:v>1.4</c:v>
                </c:pt>
                <c:pt idx="39">
                  <c:v>1.4</c:v>
                </c:pt>
                <c:pt idx="40">
                  <c:v>1.4</c:v>
                </c:pt>
                <c:pt idx="41">
                  <c:v>1.4</c:v>
                </c:pt>
                <c:pt idx="42">
                  <c:v>1.4</c:v>
                </c:pt>
                <c:pt idx="43">
                  <c:v>1.4</c:v>
                </c:pt>
                <c:pt idx="44">
                  <c:v>1.4</c:v>
                </c:pt>
                <c:pt idx="45">
                  <c:v>1.4</c:v>
                </c:pt>
                <c:pt idx="46">
                  <c:v>1.4</c:v>
                </c:pt>
                <c:pt idx="47">
                  <c:v>1.4</c:v>
                </c:pt>
                <c:pt idx="48">
                  <c:v>1.4</c:v>
                </c:pt>
                <c:pt idx="49">
                  <c:v>1.4</c:v>
                </c:pt>
                <c:pt idx="50">
                  <c:v>1.4</c:v>
                </c:pt>
                <c:pt idx="51">
                  <c:v>1.4</c:v>
                </c:pt>
                <c:pt idx="52">
                  <c:v>1.4</c:v>
                </c:pt>
                <c:pt idx="53">
                  <c:v>1.4</c:v>
                </c:pt>
                <c:pt idx="54">
                  <c:v>1.4</c:v>
                </c:pt>
                <c:pt idx="55">
                  <c:v>1.4</c:v>
                </c:pt>
                <c:pt idx="56">
                  <c:v>1.4</c:v>
                </c:pt>
                <c:pt idx="57">
                  <c:v>1.4</c:v>
                </c:pt>
                <c:pt idx="58">
                  <c:v>1.4</c:v>
                </c:pt>
                <c:pt idx="59">
                  <c:v>1.4</c:v>
                </c:pt>
                <c:pt idx="60">
                  <c:v>1.4</c:v>
                </c:pt>
                <c:pt idx="61">
                  <c:v>1.4</c:v>
                </c:pt>
                <c:pt idx="62">
                  <c:v>1.4</c:v>
                </c:pt>
                <c:pt idx="63">
                  <c:v>1.4</c:v>
                </c:pt>
                <c:pt idx="64">
                  <c:v>1.4</c:v>
                </c:pt>
                <c:pt idx="65">
                  <c:v>1.4</c:v>
                </c:pt>
                <c:pt idx="66">
                  <c:v>1.4</c:v>
                </c:pt>
                <c:pt idx="67">
                  <c:v>1.4</c:v>
                </c:pt>
                <c:pt idx="68">
                  <c:v>1.4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23-4E9D-ADE0-4F5A6DAF54D4}"/>
            </c:ext>
          </c:extLst>
        </c:ser>
        <c:ser>
          <c:idx val="2"/>
          <c:order val="2"/>
          <c:tx>
            <c:v>Funnel Limits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'AAA Limits'!$B$2:$B$70</c:f>
              <c:numCache>
                <c:formatCode>General</c:formatCode>
                <c:ptCount val="69"/>
                <c:pt idx="0">
                  <c:v>0</c:v>
                </c:pt>
                <c:pt idx="1">
                  <c:v>9</c:v>
                </c:pt>
                <c:pt idx="2">
                  <c:v>11</c:v>
                </c:pt>
                <c:pt idx="3">
                  <c:v>22</c:v>
                </c:pt>
                <c:pt idx="4">
                  <c:v>23</c:v>
                </c:pt>
                <c:pt idx="5">
                  <c:v>42</c:v>
                </c:pt>
                <c:pt idx="6">
                  <c:v>44</c:v>
                </c:pt>
                <c:pt idx="7">
                  <c:v>55</c:v>
                </c:pt>
                <c:pt idx="8">
                  <c:v>64</c:v>
                </c:pt>
                <c:pt idx="9">
                  <c:v>66</c:v>
                </c:pt>
                <c:pt idx="10">
                  <c:v>69</c:v>
                </c:pt>
                <c:pt idx="11">
                  <c:v>75</c:v>
                </c:pt>
                <c:pt idx="12">
                  <c:v>77</c:v>
                </c:pt>
                <c:pt idx="13">
                  <c:v>78</c:v>
                </c:pt>
                <c:pt idx="14">
                  <c:v>83</c:v>
                </c:pt>
                <c:pt idx="15">
                  <c:v>85</c:v>
                </c:pt>
                <c:pt idx="16">
                  <c:v>86</c:v>
                </c:pt>
                <c:pt idx="17">
                  <c:v>88</c:v>
                </c:pt>
                <c:pt idx="18">
                  <c:v>89</c:v>
                </c:pt>
                <c:pt idx="19">
                  <c:v>92</c:v>
                </c:pt>
                <c:pt idx="20">
                  <c:v>93</c:v>
                </c:pt>
                <c:pt idx="21">
                  <c:v>94</c:v>
                </c:pt>
                <c:pt idx="22">
                  <c:v>97</c:v>
                </c:pt>
                <c:pt idx="23">
                  <c:v>102</c:v>
                </c:pt>
                <c:pt idx="24">
                  <c:v>104</c:v>
                </c:pt>
                <c:pt idx="25">
                  <c:v>106</c:v>
                </c:pt>
                <c:pt idx="26">
                  <c:v>113</c:v>
                </c:pt>
                <c:pt idx="27">
                  <c:v>116</c:v>
                </c:pt>
                <c:pt idx="28">
                  <c:v>122</c:v>
                </c:pt>
                <c:pt idx="29">
                  <c:v>125</c:v>
                </c:pt>
                <c:pt idx="30">
                  <c:v>128</c:v>
                </c:pt>
                <c:pt idx="31">
                  <c:v>131</c:v>
                </c:pt>
                <c:pt idx="32">
                  <c:v>141</c:v>
                </c:pt>
                <c:pt idx="33">
                  <c:v>144</c:v>
                </c:pt>
                <c:pt idx="34">
                  <c:v>151</c:v>
                </c:pt>
                <c:pt idx="35">
                  <c:v>153</c:v>
                </c:pt>
                <c:pt idx="36">
                  <c:v>161</c:v>
                </c:pt>
                <c:pt idx="37">
                  <c:v>165</c:v>
                </c:pt>
                <c:pt idx="38">
                  <c:v>166</c:v>
                </c:pt>
                <c:pt idx="39">
                  <c:v>167</c:v>
                </c:pt>
                <c:pt idx="40">
                  <c:v>178</c:v>
                </c:pt>
                <c:pt idx="41">
                  <c:v>179</c:v>
                </c:pt>
                <c:pt idx="42">
                  <c:v>181</c:v>
                </c:pt>
                <c:pt idx="43">
                  <c:v>189</c:v>
                </c:pt>
                <c:pt idx="44">
                  <c:v>190</c:v>
                </c:pt>
                <c:pt idx="45">
                  <c:v>191</c:v>
                </c:pt>
                <c:pt idx="46">
                  <c:v>192</c:v>
                </c:pt>
                <c:pt idx="47">
                  <c:v>193</c:v>
                </c:pt>
                <c:pt idx="48">
                  <c:v>196</c:v>
                </c:pt>
                <c:pt idx="49">
                  <c:v>202</c:v>
                </c:pt>
                <c:pt idx="50">
                  <c:v>203</c:v>
                </c:pt>
                <c:pt idx="51">
                  <c:v>205</c:v>
                </c:pt>
                <c:pt idx="52">
                  <c:v>209</c:v>
                </c:pt>
                <c:pt idx="53">
                  <c:v>210</c:v>
                </c:pt>
                <c:pt idx="54">
                  <c:v>215</c:v>
                </c:pt>
                <c:pt idx="55">
                  <c:v>226</c:v>
                </c:pt>
                <c:pt idx="56">
                  <c:v>234</c:v>
                </c:pt>
                <c:pt idx="57">
                  <c:v>247</c:v>
                </c:pt>
                <c:pt idx="58">
                  <c:v>259</c:v>
                </c:pt>
                <c:pt idx="59">
                  <c:v>262</c:v>
                </c:pt>
                <c:pt idx="60">
                  <c:v>279</c:v>
                </c:pt>
                <c:pt idx="61">
                  <c:v>282</c:v>
                </c:pt>
                <c:pt idx="62">
                  <c:v>289</c:v>
                </c:pt>
                <c:pt idx="63">
                  <c:v>295</c:v>
                </c:pt>
                <c:pt idx="64">
                  <c:v>340</c:v>
                </c:pt>
                <c:pt idx="65">
                  <c:v>354</c:v>
                </c:pt>
                <c:pt idx="66">
                  <c:v>372</c:v>
                </c:pt>
                <c:pt idx="67">
                  <c:v>383</c:v>
                </c:pt>
                <c:pt idx="68">
                  <c:v>400</c:v>
                </c:pt>
              </c:numCache>
            </c:numRef>
          </c:xVal>
          <c:yVal>
            <c:numRef>
              <c:f>'AAA Limits'!$C$2:$C$70</c:f>
              <c:numCache>
                <c:formatCode>General</c:formatCode>
                <c:ptCount val="69"/>
                <c:pt idx="0">
                  <c:v>50</c:v>
                </c:pt>
                <c:pt idx="1">
                  <c:v>31.869100000000003</c:v>
                </c:pt>
                <c:pt idx="2">
                  <c:v>26.652850000000001</c:v>
                </c:pt>
                <c:pt idx="3">
                  <c:v>16.981380000000001</c:v>
                </c:pt>
                <c:pt idx="4">
                  <c:v>16.431269999999998</c:v>
                </c:pt>
                <c:pt idx="5">
                  <c:v>11.138310000000004</c:v>
                </c:pt>
                <c:pt idx="6">
                  <c:v>10.798410000000004</c:v>
                </c:pt>
                <c:pt idx="7">
                  <c:v>9.0683700000000016</c:v>
                </c:pt>
                <c:pt idx="8">
                  <c:v>8.6339600000000019</c:v>
                </c:pt>
                <c:pt idx="9">
                  <c:v>8.4982439999999997</c:v>
                </c:pt>
                <c:pt idx="10">
                  <c:v>8.2782870000000059</c:v>
                </c:pt>
                <c:pt idx="11">
                  <c:v>7.8182769999999948</c:v>
                </c:pt>
                <c:pt idx="12">
                  <c:v>7.6659499999999952</c:v>
                </c:pt>
                <c:pt idx="13">
                  <c:v>7.5906219999999962</c:v>
                </c:pt>
                <c:pt idx="14">
                  <c:v>7.225442000000001</c:v>
                </c:pt>
                <c:pt idx="15">
                  <c:v>7.2042930000000069</c:v>
                </c:pt>
                <c:pt idx="16">
                  <c:v>7.1934640000000059</c:v>
                </c:pt>
                <c:pt idx="17">
                  <c:v>7.1585510000000028</c:v>
                </c:pt>
                <c:pt idx="18">
                  <c:v>7.1355130000000031</c:v>
                </c:pt>
                <c:pt idx="19">
                  <c:v>7.0491970000000066</c:v>
                </c:pt>
                <c:pt idx="20">
                  <c:v>7.0158509999999978</c:v>
                </c:pt>
                <c:pt idx="21">
                  <c:v>6.9807050000000004</c:v>
                </c:pt>
                <c:pt idx="22">
                  <c:v>6.8668030000000044</c:v>
                </c:pt>
                <c:pt idx="23">
                  <c:v>6.6593890000000044</c:v>
                </c:pt>
                <c:pt idx="24">
                  <c:v>6.5733220000000046</c:v>
                </c:pt>
                <c:pt idx="25">
                  <c:v>6.4865920000000017</c:v>
                </c:pt>
                <c:pt idx="26">
                  <c:v>6.1846450000000033</c:v>
                </c:pt>
                <c:pt idx="27">
                  <c:v>6.1445070000000044</c:v>
                </c:pt>
                <c:pt idx="28">
                  <c:v>6.0741000000000014</c:v>
                </c:pt>
                <c:pt idx="29">
                  <c:v>6.0170870000000036</c:v>
                </c:pt>
                <c:pt idx="30">
                  <c:v>5.9506290000000064</c:v>
                </c:pt>
                <c:pt idx="31">
                  <c:v>5.8774370000000005</c:v>
                </c:pt>
                <c:pt idx="32">
                  <c:v>5.6081169999999929</c:v>
                </c:pt>
                <c:pt idx="33">
                  <c:v>5.5243509999999958</c:v>
                </c:pt>
                <c:pt idx="34">
                  <c:v>5.426084000000003</c:v>
                </c:pt>
                <c:pt idx="35">
                  <c:v>5.4126239999999939</c:v>
                </c:pt>
                <c:pt idx="36">
                  <c:v>5.3190780000000046</c:v>
                </c:pt>
                <c:pt idx="37">
                  <c:v>5.2561970000000002</c:v>
                </c:pt>
                <c:pt idx="38">
                  <c:v>5.2393629999999973</c:v>
                </c:pt>
                <c:pt idx="39">
                  <c:v>5.2221629999999948</c:v>
                </c:pt>
                <c:pt idx="40">
                  <c:v>5.0173269999999945</c:v>
                </c:pt>
                <c:pt idx="41">
                  <c:v>4.9978859999999941</c:v>
                </c:pt>
                <c:pt idx="42">
                  <c:v>4.9588430000000017</c:v>
                </c:pt>
                <c:pt idx="43">
                  <c:v>4.907077000000001</c:v>
                </c:pt>
                <c:pt idx="44">
                  <c:v>4.9012409999999988</c:v>
                </c:pt>
                <c:pt idx="45">
                  <c:v>4.8946969999999936</c:v>
                </c:pt>
                <c:pt idx="46">
                  <c:v>4.8874930000000063</c:v>
                </c:pt>
                <c:pt idx="47">
                  <c:v>4.8796729999999968</c:v>
                </c:pt>
                <c:pt idx="48">
                  <c:v>4.8529290000000032</c:v>
                </c:pt>
                <c:pt idx="49">
                  <c:v>4.7877500000000026</c:v>
                </c:pt>
                <c:pt idx="50">
                  <c:v>4.7757110000000011</c:v>
                </c:pt>
                <c:pt idx="51">
                  <c:v>4.7508380000000017</c:v>
                </c:pt>
                <c:pt idx="52">
                  <c:v>4.6984759999999994</c:v>
                </c:pt>
                <c:pt idx="53">
                  <c:v>4.6849409999999949</c:v>
                </c:pt>
                <c:pt idx="54">
                  <c:v>4.6153290000000027</c:v>
                </c:pt>
                <c:pt idx="55">
                  <c:v>4.5293530000000004</c:v>
                </c:pt>
                <c:pt idx="56">
                  <c:v>4.4861719999999963</c:v>
                </c:pt>
                <c:pt idx="57">
                  <c:v>4.3725019999999972</c:v>
                </c:pt>
                <c:pt idx="58">
                  <c:v>4.2444220000000001</c:v>
                </c:pt>
                <c:pt idx="59">
                  <c:v>4.2375880000000024</c:v>
                </c:pt>
                <c:pt idx="60">
                  <c:v>4.1658400000000029</c:v>
                </c:pt>
                <c:pt idx="61">
                  <c:v>4.1454010000000068</c:v>
                </c:pt>
                <c:pt idx="62">
                  <c:v>4.0923879999999997</c:v>
                </c:pt>
                <c:pt idx="63">
                  <c:v>4.042664000000002</c:v>
                </c:pt>
                <c:pt idx="64">
                  <c:v>3.8149300000000039</c:v>
                </c:pt>
                <c:pt idx="65">
                  <c:v>3.782432</c:v>
                </c:pt>
                <c:pt idx="66">
                  <c:v>3.7081000000000017</c:v>
                </c:pt>
                <c:pt idx="67">
                  <c:v>3.6473739999999992</c:v>
                </c:pt>
                <c:pt idx="68">
                  <c:v>3.6132999999999953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23-4E9D-ADE0-4F5A6DAF54D4}"/>
            </c:ext>
          </c:extLst>
        </c:ser>
        <c:ser>
          <c:idx val="3"/>
          <c:order val="3"/>
          <c:tx>
            <c:strRef>
              <c:f>'AAA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numRef>
              <c:f>'AAA Summary'!$AN$2</c:f>
              <c:numCache>
                <c:formatCode>General</c:formatCode>
                <c:ptCount val="1"/>
                <c:pt idx="0">
                  <c:v>128</c:v>
                </c:pt>
              </c:numCache>
            </c:numRef>
          </c:xVal>
          <c:yVal>
            <c:numRef>
              <c:f>'AAA Summary'!$AO$2</c:f>
              <c:numCache>
                <c:formatCode>General</c:formatCode>
                <c:ptCount val="1"/>
                <c:pt idx="0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23-4E9D-ADE0-4F5A6DAF5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98000"/>
        <c:axId val="578493408"/>
      </c:scatterChart>
      <c:valAx>
        <c:axId val="578498000"/>
        <c:scaling>
          <c:orientation val="minMax"/>
          <c:max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</a:t>
                </a:r>
                <a:r>
                  <a:rPr lang="en-GB" baseline="0"/>
                  <a:t> of operations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3408"/>
        <c:crosses val="autoZero"/>
        <c:crossBetween val="midCat"/>
      </c:valAx>
      <c:valAx>
        <c:axId val="578493408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  <a:r>
                  <a:rPr lang="en-GB" baseline="0"/>
                  <a:t> In hospital deaths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8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'AAA Summary'!$J$30</c:f>
          <c:strCache>
            <c:ptCount val="1"/>
            <c:pt idx="0">
              <c:v>% patients with date of assessment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'Elective Infra-Renal AAA Repair'!$H$7</c:f>
              <c:strCache>
                <c:ptCount val="1"/>
                <c:pt idx="0">
                  <c:v>%patients discussed at MDT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'Elective Infra-Renal AAA Repair'!$R$8:$R$83</c:f>
              <c:numCache>
                <c:formatCode>General</c:formatCode>
                <c:ptCount val="76"/>
                <c:pt idx="0">
                  <c:v>15</c:v>
                </c:pt>
                <c:pt idx="1">
                  <c:v>56</c:v>
                </c:pt>
                <c:pt idx="2">
                  <c:v>57</c:v>
                </c:pt>
                <c:pt idx="3">
                  <c:v>3</c:v>
                </c:pt>
                <c:pt idx="4">
                  <c:v>7</c:v>
                </c:pt>
                <c:pt idx="5">
                  <c:v>13</c:v>
                </c:pt>
                <c:pt idx="6">
                  <c:v>20</c:v>
                </c:pt>
                <c:pt idx="7">
                  <c:v>24</c:v>
                </c:pt>
                <c:pt idx="8">
                  <c:v>58</c:v>
                </c:pt>
                <c:pt idx="9">
                  <c:v>59</c:v>
                </c:pt>
                <c:pt idx="10">
                  <c:v>11</c:v>
                </c:pt>
                <c:pt idx="11">
                  <c:v>4</c:v>
                </c:pt>
                <c:pt idx="12">
                  <c:v>43</c:v>
                </c:pt>
                <c:pt idx="13">
                  <c:v>60</c:v>
                </c:pt>
                <c:pt idx="14">
                  <c:v>18</c:v>
                </c:pt>
                <c:pt idx="15">
                  <c:v>61</c:v>
                </c:pt>
                <c:pt idx="16">
                  <c:v>27</c:v>
                </c:pt>
                <c:pt idx="17">
                  <c:v>28</c:v>
                </c:pt>
                <c:pt idx="18">
                  <c:v>25</c:v>
                </c:pt>
                <c:pt idx="19">
                  <c:v>48</c:v>
                </c:pt>
                <c:pt idx="20">
                  <c:v>16</c:v>
                </c:pt>
                <c:pt idx="21">
                  <c:v>49</c:v>
                </c:pt>
                <c:pt idx="22">
                  <c:v>31</c:v>
                </c:pt>
                <c:pt idx="23">
                  <c:v>14</c:v>
                </c:pt>
                <c:pt idx="24">
                  <c:v>50</c:v>
                </c:pt>
                <c:pt idx="25">
                  <c:v>2</c:v>
                </c:pt>
                <c:pt idx="26">
                  <c:v>62</c:v>
                </c:pt>
                <c:pt idx="27">
                  <c:v>26</c:v>
                </c:pt>
                <c:pt idx="28">
                  <c:v>29</c:v>
                </c:pt>
                <c:pt idx="29">
                  <c:v>63</c:v>
                </c:pt>
                <c:pt idx="30">
                  <c:v>32</c:v>
                </c:pt>
                <c:pt idx="31">
                  <c:v>64</c:v>
                </c:pt>
                <c:pt idx="32">
                  <c:v>37</c:v>
                </c:pt>
                <c:pt idx="33">
                  <c:v>38</c:v>
                </c:pt>
                <c:pt idx="34">
                  <c:v>0</c:v>
                </c:pt>
                <c:pt idx="35">
                  <c:v>65</c:v>
                </c:pt>
                <c:pt idx="36">
                  <c:v>8</c:v>
                </c:pt>
                <c:pt idx="37">
                  <c:v>66</c:v>
                </c:pt>
                <c:pt idx="38">
                  <c:v>67</c:v>
                </c:pt>
                <c:pt idx="39">
                  <c:v>51</c:v>
                </c:pt>
                <c:pt idx="40">
                  <c:v>9</c:v>
                </c:pt>
                <c:pt idx="41">
                  <c:v>1</c:v>
                </c:pt>
                <c:pt idx="42">
                  <c:v>12</c:v>
                </c:pt>
                <c:pt idx="43">
                  <c:v>44</c:v>
                </c:pt>
                <c:pt idx="44">
                  <c:v>33</c:v>
                </c:pt>
                <c:pt idx="45">
                  <c:v>36</c:v>
                </c:pt>
                <c:pt idx="46">
                  <c:v>34</c:v>
                </c:pt>
                <c:pt idx="47">
                  <c:v>21</c:v>
                </c:pt>
                <c:pt idx="48">
                  <c:v>40</c:v>
                </c:pt>
                <c:pt idx="49">
                  <c:v>68</c:v>
                </c:pt>
                <c:pt idx="50">
                  <c:v>39</c:v>
                </c:pt>
                <c:pt idx="51">
                  <c:v>69</c:v>
                </c:pt>
                <c:pt idx="52">
                  <c:v>41</c:v>
                </c:pt>
                <c:pt idx="53">
                  <c:v>70</c:v>
                </c:pt>
                <c:pt idx="54">
                  <c:v>5</c:v>
                </c:pt>
                <c:pt idx="55">
                  <c:v>19</c:v>
                </c:pt>
                <c:pt idx="56">
                  <c:v>22</c:v>
                </c:pt>
                <c:pt idx="57">
                  <c:v>45</c:v>
                </c:pt>
                <c:pt idx="58">
                  <c:v>17</c:v>
                </c:pt>
                <c:pt idx="59">
                  <c:v>46</c:v>
                </c:pt>
                <c:pt idx="60">
                  <c:v>10</c:v>
                </c:pt>
                <c:pt idx="61">
                  <c:v>71</c:v>
                </c:pt>
                <c:pt idx="62">
                  <c:v>52</c:v>
                </c:pt>
                <c:pt idx="63">
                  <c:v>35</c:v>
                </c:pt>
                <c:pt idx="64">
                  <c:v>72</c:v>
                </c:pt>
                <c:pt idx="65">
                  <c:v>42</c:v>
                </c:pt>
                <c:pt idx="66">
                  <c:v>55</c:v>
                </c:pt>
                <c:pt idx="67">
                  <c:v>30</c:v>
                </c:pt>
                <c:pt idx="68">
                  <c:v>53</c:v>
                </c:pt>
                <c:pt idx="69">
                  <c:v>54</c:v>
                </c:pt>
                <c:pt idx="70">
                  <c:v>73</c:v>
                </c:pt>
                <c:pt idx="71">
                  <c:v>6</c:v>
                </c:pt>
                <c:pt idx="72">
                  <c:v>47</c:v>
                </c:pt>
                <c:pt idx="73">
                  <c:v>74</c:v>
                </c:pt>
                <c:pt idx="74">
                  <c:v>75</c:v>
                </c:pt>
                <c:pt idx="75">
                  <c:v>23</c:v>
                </c:pt>
              </c:numCache>
            </c:numRef>
          </c:cat>
          <c:val>
            <c:numRef>
              <c:f>'Elective Infra-Renal AAA Repair'!$S$8:$S$85</c:f>
              <c:numCache>
                <c:formatCode>0%</c:formatCode>
                <c:ptCount val="78"/>
                <c:pt idx="0">
                  <c:v>0.85</c:v>
                </c:pt>
                <c:pt idx="1">
                  <c:v>1</c:v>
                </c:pt>
                <c:pt idx="2">
                  <c:v>1</c:v>
                </c:pt>
                <c:pt idx="3">
                  <c:v>0.51</c:v>
                </c:pt>
                <c:pt idx="4">
                  <c:v>0.64</c:v>
                </c:pt>
                <c:pt idx="5">
                  <c:v>0.82</c:v>
                </c:pt>
                <c:pt idx="6">
                  <c:v>0.89</c:v>
                </c:pt>
                <c:pt idx="7">
                  <c:v>0.9</c:v>
                </c:pt>
                <c:pt idx="8">
                  <c:v>1</c:v>
                </c:pt>
                <c:pt idx="9">
                  <c:v>1</c:v>
                </c:pt>
                <c:pt idx="10">
                  <c:v>0.73</c:v>
                </c:pt>
                <c:pt idx="11">
                  <c:v>0.59</c:v>
                </c:pt>
                <c:pt idx="12">
                  <c:v>0.97</c:v>
                </c:pt>
                <c:pt idx="13">
                  <c:v>1</c:v>
                </c:pt>
                <c:pt idx="14">
                  <c:v>0.88</c:v>
                </c:pt>
                <c:pt idx="15">
                  <c:v>1</c:v>
                </c:pt>
                <c:pt idx="16">
                  <c:v>0.92</c:v>
                </c:pt>
                <c:pt idx="17">
                  <c:v>0.92</c:v>
                </c:pt>
                <c:pt idx="18">
                  <c:v>0.91</c:v>
                </c:pt>
                <c:pt idx="19">
                  <c:v>0.98</c:v>
                </c:pt>
                <c:pt idx="20">
                  <c:v>0.85</c:v>
                </c:pt>
                <c:pt idx="21">
                  <c:v>0.98</c:v>
                </c:pt>
                <c:pt idx="22">
                  <c:v>0.93</c:v>
                </c:pt>
                <c:pt idx="23">
                  <c:v>0.84</c:v>
                </c:pt>
                <c:pt idx="24">
                  <c:v>0.98</c:v>
                </c:pt>
                <c:pt idx="25">
                  <c:v>0.32</c:v>
                </c:pt>
                <c:pt idx="26">
                  <c:v>1</c:v>
                </c:pt>
                <c:pt idx="27">
                  <c:v>0.91</c:v>
                </c:pt>
                <c:pt idx="28">
                  <c:v>0.92</c:v>
                </c:pt>
                <c:pt idx="29">
                  <c:v>1</c:v>
                </c:pt>
                <c:pt idx="30">
                  <c:v>0.93</c:v>
                </c:pt>
                <c:pt idx="31">
                  <c:v>1</c:v>
                </c:pt>
                <c:pt idx="32">
                  <c:v>0.95</c:v>
                </c:pt>
                <c:pt idx="33">
                  <c:v>0.95</c:v>
                </c:pt>
                <c:pt idx="34">
                  <c:v>0</c:v>
                </c:pt>
                <c:pt idx="35">
                  <c:v>1</c:v>
                </c:pt>
                <c:pt idx="36">
                  <c:v>0.67</c:v>
                </c:pt>
                <c:pt idx="37">
                  <c:v>1</c:v>
                </c:pt>
                <c:pt idx="38">
                  <c:v>1</c:v>
                </c:pt>
                <c:pt idx="39">
                  <c:v>0.98</c:v>
                </c:pt>
                <c:pt idx="40">
                  <c:v>0.69</c:v>
                </c:pt>
                <c:pt idx="41">
                  <c:v>0.31</c:v>
                </c:pt>
                <c:pt idx="42">
                  <c:v>0.74</c:v>
                </c:pt>
                <c:pt idx="43">
                  <c:v>0.97</c:v>
                </c:pt>
                <c:pt idx="44">
                  <c:v>0.93</c:v>
                </c:pt>
                <c:pt idx="45">
                  <c:v>0.94</c:v>
                </c:pt>
                <c:pt idx="46">
                  <c:v>0.93</c:v>
                </c:pt>
                <c:pt idx="47">
                  <c:v>0.89</c:v>
                </c:pt>
                <c:pt idx="48">
                  <c:v>0.96</c:v>
                </c:pt>
                <c:pt idx="49">
                  <c:v>1</c:v>
                </c:pt>
                <c:pt idx="50">
                  <c:v>0.95</c:v>
                </c:pt>
                <c:pt idx="51">
                  <c:v>1</c:v>
                </c:pt>
                <c:pt idx="52">
                  <c:v>0.96</c:v>
                </c:pt>
                <c:pt idx="53">
                  <c:v>1</c:v>
                </c:pt>
                <c:pt idx="54">
                  <c:v>0.6</c:v>
                </c:pt>
                <c:pt idx="55">
                  <c:v>0.88</c:v>
                </c:pt>
                <c:pt idx="56">
                  <c:v>0.89</c:v>
                </c:pt>
                <c:pt idx="57">
                  <c:v>0.97</c:v>
                </c:pt>
                <c:pt idx="58">
                  <c:v>0.85</c:v>
                </c:pt>
                <c:pt idx="59">
                  <c:v>0.97</c:v>
                </c:pt>
                <c:pt idx="60">
                  <c:v>0.7</c:v>
                </c:pt>
                <c:pt idx="61">
                  <c:v>1</c:v>
                </c:pt>
                <c:pt idx="62">
                  <c:v>0.98</c:v>
                </c:pt>
                <c:pt idx="63">
                  <c:v>0.93</c:v>
                </c:pt>
                <c:pt idx="64">
                  <c:v>1</c:v>
                </c:pt>
                <c:pt idx="65">
                  <c:v>0.96</c:v>
                </c:pt>
                <c:pt idx="66">
                  <c:v>0.99</c:v>
                </c:pt>
                <c:pt idx="67">
                  <c:v>0.92</c:v>
                </c:pt>
                <c:pt idx="68">
                  <c:v>0.98</c:v>
                </c:pt>
                <c:pt idx="69">
                  <c:v>0.98</c:v>
                </c:pt>
                <c:pt idx="70">
                  <c:v>1</c:v>
                </c:pt>
                <c:pt idx="71">
                  <c:v>0.6</c:v>
                </c:pt>
                <c:pt idx="72">
                  <c:v>0.97</c:v>
                </c:pt>
                <c:pt idx="73">
                  <c:v>1</c:v>
                </c:pt>
                <c:pt idx="74">
                  <c:v>1</c:v>
                </c:pt>
                <c:pt idx="75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4-4594-B984-3CC6BE088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77608"/>
        <c:axId val="636780232"/>
      </c:areaChart>
      <c:scatterChart>
        <c:scatterStyle val="lineMarker"/>
        <c:varyColors val="0"/>
        <c:ser>
          <c:idx val="1"/>
          <c:order val="1"/>
          <c:tx>
            <c:strRef>
              <c:f>'AAA Summary'!$B$29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minus"/>
            <c:errValType val="fixedVal"/>
            <c:noEndCap val="1"/>
            <c:val val="1"/>
            <c:spPr>
              <a:noFill/>
              <a:ln w="1587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'AAA Summary'!$AD$4</c:f>
              <c:numCache>
                <c:formatCode>General</c:formatCode>
                <c:ptCount val="1"/>
                <c:pt idx="0">
                  <c:v>15</c:v>
                </c:pt>
              </c:numCache>
            </c:numRef>
          </c:xVal>
          <c:yVal>
            <c:numRef>
              <c:f>'AAA Summary'!$AB$4</c:f>
              <c:numCache>
                <c:formatCode>General</c:formatCode>
                <c:ptCount val="1"/>
                <c:pt idx="0">
                  <c:v>0.85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14-4594-B984-3CC6BE088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77608"/>
        <c:axId val="636780232"/>
      </c:scatterChart>
      <c:dateAx>
        <c:axId val="636777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6780232"/>
        <c:crosses val="autoZero"/>
        <c:auto val="0"/>
        <c:lblOffset val="100"/>
        <c:baseTimeUnit val="days"/>
      </c:dateAx>
      <c:valAx>
        <c:axId val="63678023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777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Median delay from symptom to CEA (days)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Symptom to CEA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'CEA Summary'!$AK$2:$AK$77</c:f>
                <c:numCache>
                  <c:formatCode>General</c:formatCode>
                  <c:ptCount val="76"/>
                  <c:pt idx="0">
                    <c:v>3</c:v>
                  </c:pt>
                  <c:pt idx="1">
                    <c:v>4</c:v>
                  </c:pt>
                  <c:pt idx="2">
                    <c:v>4</c:v>
                  </c:pt>
                  <c:pt idx="3">
                    <c:v>5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8</c:v>
                  </c:pt>
                  <c:pt idx="9">
                    <c:v>8</c:v>
                  </c:pt>
                  <c:pt idx="10">
                    <c:v>2</c:v>
                  </c:pt>
                  <c:pt idx="11">
                    <c:v>3</c:v>
                  </c:pt>
                  <c:pt idx="12">
                    <c:v>6</c:v>
                  </c:pt>
                  <c:pt idx="13">
                    <c:v>13</c:v>
                  </c:pt>
                  <c:pt idx="14">
                    <c:v>15</c:v>
                  </c:pt>
                  <c:pt idx="15">
                    <c:v>23</c:v>
                  </c:pt>
                  <c:pt idx="16">
                    <c:v>10</c:v>
                  </c:pt>
                  <c:pt idx="17">
                    <c:v>5</c:v>
                  </c:pt>
                  <c:pt idx="18">
                    <c:v>4</c:v>
                  </c:pt>
                  <c:pt idx="19">
                    <c:v>7</c:v>
                  </c:pt>
                  <c:pt idx="20">
                    <c:v>18</c:v>
                  </c:pt>
                  <c:pt idx="21">
                    <c:v>5</c:v>
                  </c:pt>
                  <c:pt idx="22">
                    <c:v>14</c:v>
                  </c:pt>
                  <c:pt idx="23">
                    <c:v>3</c:v>
                  </c:pt>
                  <c:pt idx="24">
                    <c:v>7</c:v>
                  </c:pt>
                  <c:pt idx="25">
                    <c:v>8</c:v>
                  </c:pt>
                  <c:pt idx="26">
                    <c:v>11</c:v>
                  </c:pt>
                  <c:pt idx="27">
                    <c:v>6</c:v>
                  </c:pt>
                  <c:pt idx="28">
                    <c:v>5</c:v>
                  </c:pt>
                  <c:pt idx="29">
                    <c:v>4</c:v>
                  </c:pt>
                  <c:pt idx="30">
                    <c:v>21</c:v>
                  </c:pt>
                  <c:pt idx="31">
                    <c:v>5</c:v>
                  </c:pt>
                  <c:pt idx="32">
                    <c:v>7</c:v>
                  </c:pt>
                  <c:pt idx="33">
                    <c:v>10</c:v>
                  </c:pt>
                  <c:pt idx="34">
                    <c:v>14</c:v>
                  </c:pt>
                  <c:pt idx="35">
                    <c:v>2</c:v>
                  </c:pt>
                  <c:pt idx="36">
                    <c:v>2</c:v>
                  </c:pt>
                  <c:pt idx="37">
                    <c:v>7</c:v>
                  </c:pt>
                  <c:pt idx="38">
                    <c:v>7</c:v>
                  </c:pt>
                  <c:pt idx="39">
                    <c:v>3</c:v>
                  </c:pt>
                  <c:pt idx="40">
                    <c:v>4</c:v>
                  </c:pt>
                  <c:pt idx="41">
                    <c:v>10</c:v>
                  </c:pt>
                  <c:pt idx="42">
                    <c:v>11</c:v>
                  </c:pt>
                  <c:pt idx="43">
                    <c:v>13</c:v>
                  </c:pt>
                  <c:pt idx="44">
                    <c:v>4</c:v>
                  </c:pt>
                  <c:pt idx="45">
                    <c:v>5</c:v>
                  </c:pt>
                  <c:pt idx="46">
                    <c:v>9</c:v>
                  </c:pt>
                  <c:pt idx="47">
                    <c:v>17</c:v>
                  </c:pt>
                  <c:pt idx="48">
                    <c:v>3</c:v>
                  </c:pt>
                  <c:pt idx="49">
                    <c:v>13</c:v>
                  </c:pt>
                  <c:pt idx="50">
                    <c:v>23</c:v>
                  </c:pt>
                  <c:pt idx="51">
                    <c:v>9</c:v>
                  </c:pt>
                  <c:pt idx="52">
                    <c:v>16</c:v>
                  </c:pt>
                  <c:pt idx="53">
                    <c:v>6</c:v>
                  </c:pt>
                  <c:pt idx="54">
                    <c:v>7</c:v>
                  </c:pt>
                  <c:pt idx="55">
                    <c:v>5</c:v>
                  </c:pt>
                  <c:pt idx="56">
                    <c:v>7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11</c:v>
                  </c:pt>
                  <c:pt idx="60">
                    <c:v>33</c:v>
                  </c:pt>
                  <c:pt idx="61">
                    <c:v>43</c:v>
                  </c:pt>
                  <c:pt idx="62">
                    <c:v>9</c:v>
                  </c:pt>
                  <c:pt idx="63">
                    <c:v>18</c:v>
                  </c:pt>
                  <c:pt idx="64">
                    <c:v>3</c:v>
                  </c:pt>
                  <c:pt idx="65">
                    <c:v>21</c:v>
                  </c:pt>
                  <c:pt idx="66">
                    <c:v>14</c:v>
                  </c:pt>
                  <c:pt idx="67">
                    <c:v>21</c:v>
                  </c:pt>
                  <c:pt idx="68">
                    <c:v>16</c:v>
                  </c:pt>
                  <c:pt idx="69">
                    <c:v>21</c:v>
                  </c:pt>
                  <c:pt idx="70">
                    <c:v>18</c:v>
                  </c:pt>
                  <c:pt idx="71">
                    <c:v>19</c:v>
                  </c:pt>
                  <c:pt idx="72">
                    <c:v>32</c:v>
                  </c:pt>
                  <c:pt idx="73">
                    <c:v>18</c:v>
                  </c:pt>
                  <c:pt idx="74">
                    <c:v>25</c:v>
                  </c:pt>
                  <c:pt idx="75">
                    <c:v>15</c:v>
                  </c:pt>
                </c:numCache>
              </c:numRef>
            </c:plus>
            <c:minus>
              <c:numRef>
                <c:f>'CEA Summary'!$AI$2:$AI$77</c:f>
                <c:numCache>
                  <c:formatCode>General</c:formatCode>
                  <c:ptCount val="76"/>
                  <c:pt idx="0">
                    <c:v>1</c:v>
                  </c:pt>
                  <c:pt idx="1">
                    <c:v>1</c:v>
                  </c:pt>
                  <c:pt idx="2">
                    <c:v>2</c:v>
                  </c:pt>
                  <c:pt idx="3">
                    <c:v>2</c:v>
                  </c:pt>
                  <c:pt idx="4">
                    <c:v>3</c:v>
                  </c:pt>
                  <c:pt idx="5">
                    <c:v>3</c:v>
                  </c:pt>
                  <c:pt idx="6">
                    <c:v>3</c:v>
                  </c:pt>
                  <c:pt idx="7">
                    <c:v>3</c:v>
                  </c:pt>
                  <c:pt idx="8">
                    <c:v>3</c:v>
                  </c:pt>
                  <c:pt idx="9">
                    <c:v>3</c:v>
                  </c:pt>
                  <c:pt idx="10">
                    <c:v>2</c:v>
                  </c:pt>
                  <c:pt idx="11">
                    <c:v>2</c:v>
                  </c:pt>
                  <c:pt idx="12">
                    <c:v>2</c:v>
                  </c:pt>
                  <c:pt idx="13">
                    <c:v>2</c:v>
                  </c:pt>
                  <c:pt idx="14">
                    <c:v>4</c:v>
                  </c:pt>
                  <c:pt idx="15">
                    <c:v>4</c:v>
                  </c:pt>
                  <c:pt idx="16">
                    <c:v>3</c:v>
                  </c:pt>
                  <c:pt idx="17">
                    <c:v>2</c:v>
                  </c:pt>
                  <c:pt idx="18">
                    <c:v>5</c:v>
                  </c:pt>
                  <c:pt idx="19">
                    <c:v>4</c:v>
                  </c:pt>
                  <c:pt idx="20">
                    <c:v>4</c:v>
                  </c:pt>
                  <c:pt idx="21">
                    <c:v>3</c:v>
                  </c:pt>
                  <c:pt idx="22">
                    <c:v>3</c:v>
                  </c:pt>
                  <c:pt idx="23">
                    <c:v>2</c:v>
                  </c:pt>
                  <c:pt idx="24">
                    <c:v>2</c:v>
                  </c:pt>
                  <c:pt idx="25">
                    <c:v>5</c:v>
                  </c:pt>
                  <c:pt idx="26">
                    <c:v>5</c:v>
                  </c:pt>
                  <c:pt idx="27">
                    <c:v>4</c:v>
                  </c:pt>
                  <c:pt idx="28">
                    <c:v>3</c:v>
                  </c:pt>
                  <c:pt idx="29">
                    <c:v>5</c:v>
                  </c:pt>
                  <c:pt idx="30">
                    <c:v>5</c:v>
                  </c:pt>
                  <c:pt idx="31">
                    <c:v>4</c:v>
                  </c:pt>
                  <c:pt idx="32">
                    <c:v>4</c:v>
                  </c:pt>
                  <c:pt idx="33">
                    <c:v>4</c:v>
                  </c:pt>
                  <c:pt idx="34">
                    <c:v>4</c:v>
                  </c:pt>
                  <c:pt idx="35">
                    <c:v>3</c:v>
                  </c:pt>
                  <c:pt idx="36">
                    <c:v>3</c:v>
                  </c:pt>
                  <c:pt idx="37">
                    <c:v>3</c:v>
                  </c:pt>
                  <c:pt idx="38">
                    <c:v>3</c:v>
                  </c:pt>
                  <c:pt idx="39">
                    <c:v>2</c:v>
                  </c:pt>
                  <c:pt idx="40">
                    <c:v>6</c:v>
                  </c:pt>
                  <c:pt idx="41">
                    <c:v>6</c:v>
                  </c:pt>
                  <c:pt idx="42">
                    <c:v>6</c:v>
                  </c:pt>
                  <c:pt idx="43">
                    <c:v>6</c:v>
                  </c:pt>
                  <c:pt idx="44">
                    <c:v>4</c:v>
                  </c:pt>
                  <c:pt idx="45">
                    <c:v>4</c:v>
                  </c:pt>
                  <c:pt idx="46">
                    <c:v>4</c:v>
                  </c:pt>
                  <c:pt idx="47">
                    <c:v>4</c:v>
                  </c:pt>
                  <c:pt idx="48">
                    <c:v>3</c:v>
                  </c:pt>
                  <c:pt idx="49">
                    <c:v>7</c:v>
                  </c:pt>
                  <c:pt idx="50">
                    <c:v>6</c:v>
                  </c:pt>
                  <c:pt idx="51">
                    <c:v>5</c:v>
                  </c:pt>
                  <c:pt idx="52">
                    <c:v>5</c:v>
                  </c:pt>
                  <c:pt idx="53">
                    <c:v>4</c:v>
                  </c:pt>
                  <c:pt idx="54">
                    <c:v>4</c:v>
                  </c:pt>
                  <c:pt idx="55">
                    <c:v>3</c:v>
                  </c:pt>
                  <c:pt idx="56">
                    <c:v>0</c:v>
                  </c:pt>
                  <c:pt idx="57">
                    <c:v>5</c:v>
                  </c:pt>
                  <c:pt idx="58">
                    <c:v>4</c:v>
                  </c:pt>
                  <c:pt idx="59">
                    <c:v>7</c:v>
                  </c:pt>
                  <c:pt idx="60">
                    <c:v>7</c:v>
                  </c:pt>
                  <c:pt idx="61">
                    <c:v>10</c:v>
                  </c:pt>
                  <c:pt idx="62">
                    <c:v>8</c:v>
                  </c:pt>
                  <c:pt idx="63">
                    <c:v>8</c:v>
                  </c:pt>
                  <c:pt idx="64">
                    <c:v>5</c:v>
                  </c:pt>
                  <c:pt idx="65">
                    <c:v>10</c:v>
                  </c:pt>
                  <c:pt idx="66">
                    <c:v>6</c:v>
                  </c:pt>
                  <c:pt idx="67">
                    <c:v>11</c:v>
                  </c:pt>
                  <c:pt idx="68">
                    <c:v>10</c:v>
                  </c:pt>
                  <c:pt idx="69">
                    <c:v>8</c:v>
                  </c:pt>
                  <c:pt idx="70">
                    <c:v>6</c:v>
                  </c:pt>
                  <c:pt idx="71">
                    <c:v>5</c:v>
                  </c:pt>
                  <c:pt idx="72">
                    <c:v>15</c:v>
                  </c:pt>
                  <c:pt idx="73">
                    <c:v>10</c:v>
                  </c:pt>
                  <c:pt idx="74">
                    <c:v>12</c:v>
                  </c:pt>
                  <c:pt idx="75">
                    <c:v>9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'CEA Summary'!$AE$2:$AE$79</c:f>
              <c:strCache>
                <c:ptCount val="78"/>
                <c:pt idx="0">
                  <c:v>R1K</c:v>
                </c:pt>
                <c:pt idx="1">
                  <c:v>RCB</c:v>
                </c:pt>
                <c:pt idx="2">
                  <c:v>RWH</c:v>
                </c:pt>
                <c:pt idx="3">
                  <c:v>RM1</c:v>
                </c:pt>
                <c:pt idx="4">
                  <c:v>RWE</c:v>
                </c:pt>
                <c:pt idx="5">
                  <c:v>RX1</c:v>
                </c:pt>
                <c:pt idx="6">
                  <c:v>RH8</c:v>
                </c:pt>
                <c:pt idx="7">
                  <c:v>SN999</c:v>
                </c:pt>
                <c:pt idx="8">
                  <c:v>RR8</c:v>
                </c:pt>
                <c:pt idx="9">
                  <c:v>RVV</c:v>
                </c:pt>
                <c:pt idx="10">
                  <c:v>RAJ</c:v>
                </c:pt>
                <c:pt idx="11">
                  <c:v>RJ7</c:v>
                </c:pt>
                <c:pt idx="12">
                  <c:v>RDD</c:v>
                </c:pt>
                <c:pt idx="13">
                  <c:v>RA9</c:v>
                </c:pt>
                <c:pt idx="14">
                  <c:v>RJZ</c:v>
                </c:pt>
                <c:pt idx="15">
                  <c:v>RW6</c:v>
                </c:pt>
                <c:pt idx="16">
                  <c:v>R1H</c:v>
                </c:pt>
                <c:pt idx="17">
                  <c:v>RVJ</c:v>
                </c:pt>
                <c:pt idx="18">
                  <c:v>RDU</c:v>
                </c:pt>
                <c:pt idx="19">
                  <c:v>R0A</c:v>
                </c:pt>
                <c:pt idx="20">
                  <c:v>RTK</c:v>
                </c:pt>
                <c:pt idx="21">
                  <c:v>RWP</c:v>
                </c:pt>
                <c:pt idx="22">
                  <c:v>RQ8</c:v>
                </c:pt>
                <c:pt idx="23">
                  <c:v>7A5</c:v>
                </c:pt>
                <c:pt idx="24">
                  <c:v>RJ1</c:v>
                </c:pt>
                <c:pt idx="25">
                  <c:v>RTG</c:v>
                </c:pt>
                <c:pt idx="26">
                  <c:v>RDZ</c:v>
                </c:pt>
                <c:pt idx="27">
                  <c:v>RWD</c:v>
                </c:pt>
                <c:pt idx="28">
                  <c:v>SS999</c:v>
                </c:pt>
                <c:pt idx="29">
                  <c:v>RAE</c:v>
                </c:pt>
                <c:pt idx="30">
                  <c:v>RNS</c:v>
                </c:pt>
                <c:pt idx="31">
                  <c:v>RNA</c:v>
                </c:pt>
                <c:pt idx="32">
                  <c:v>SG999</c:v>
                </c:pt>
                <c:pt idx="33">
                  <c:v>RTH</c:v>
                </c:pt>
                <c:pt idx="34">
                  <c:v>RTE</c:v>
                </c:pt>
                <c:pt idx="35">
                  <c:v>RHM</c:v>
                </c:pt>
                <c:pt idx="36">
                  <c:v>RXW</c:v>
                </c:pt>
                <c:pt idx="37">
                  <c:v>RNL</c:v>
                </c:pt>
                <c:pt idx="38">
                  <c:v>SA999</c:v>
                </c:pt>
                <c:pt idx="39">
                  <c:v>RWY</c:v>
                </c:pt>
                <c:pt idx="40">
                  <c:v>RWG</c:v>
                </c:pt>
                <c:pt idx="41">
                  <c:v>7A3</c:v>
                </c:pt>
                <c:pt idx="42">
                  <c:v>RGT</c:v>
                </c:pt>
                <c:pt idx="43">
                  <c:v>RXR</c:v>
                </c:pt>
                <c:pt idx="44">
                  <c:v>RAL</c:v>
                </c:pt>
                <c:pt idx="45">
                  <c:v>RXH</c:v>
                </c:pt>
                <c:pt idx="46">
                  <c:v>RTD</c:v>
                </c:pt>
                <c:pt idx="47">
                  <c:v>RP5</c:v>
                </c:pt>
                <c:pt idx="48">
                  <c:v>RLN</c:v>
                </c:pt>
                <c:pt idx="49">
                  <c:v>7A6</c:v>
                </c:pt>
                <c:pt idx="50">
                  <c:v>RRV</c:v>
                </c:pt>
                <c:pt idx="51">
                  <c:v>RRK</c:v>
                </c:pt>
                <c:pt idx="52">
                  <c:v>RJE</c:v>
                </c:pt>
                <c:pt idx="53">
                  <c:v>SL999</c:v>
                </c:pt>
                <c:pt idx="54">
                  <c:v>SV999</c:v>
                </c:pt>
                <c:pt idx="55">
                  <c:v>RPA</c:v>
                </c:pt>
                <c:pt idx="56">
                  <c:v>RHQ</c:v>
                </c:pt>
                <c:pt idx="57">
                  <c:v>RBA</c:v>
                </c:pt>
                <c:pt idx="58">
                  <c:v>7A1</c:v>
                </c:pt>
                <c:pt idx="59">
                  <c:v>REF</c:v>
                </c:pt>
                <c:pt idx="60">
                  <c:v>RK9</c:v>
                </c:pt>
                <c:pt idx="61">
                  <c:v>RWA</c:v>
                </c:pt>
                <c:pt idx="62">
                  <c:v>RTR</c:v>
                </c:pt>
                <c:pt idx="63">
                  <c:v>ZT001</c:v>
                </c:pt>
                <c:pt idx="64">
                  <c:v>ST999</c:v>
                </c:pt>
                <c:pt idx="65">
                  <c:v>RYJ</c:v>
                </c:pt>
                <c:pt idx="66">
                  <c:v>RXN</c:v>
                </c:pt>
                <c:pt idx="67">
                  <c:v>RDE</c:v>
                </c:pt>
                <c:pt idx="68">
                  <c:v>7A4</c:v>
                </c:pt>
                <c:pt idx="69">
                  <c:v>SH999</c:v>
                </c:pt>
                <c:pt idx="70">
                  <c:v>RQ6</c:v>
                </c:pt>
                <c:pt idx="71">
                  <c:v>SY999</c:v>
                </c:pt>
                <c:pt idx="72">
                  <c:v>RKB</c:v>
                </c:pt>
                <c:pt idx="73">
                  <c:v>RF4</c:v>
                </c:pt>
                <c:pt idx="74">
                  <c:v>RC1</c:v>
                </c:pt>
                <c:pt idx="75">
                  <c:v>RJR</c:v>
                </c:pt>
                <c:pt idx="76">
                  <c:v>RQW</c:v>
                </c:pt>
                <c:pt idx="77">
                  <c:v>RT3</c:v>
                </c:pt>
              </c:strCache>
            </c:strRef>
          </c:cat>
          <c:val>
            <c:numRef>
              <c:f>'CEA Summary'!$AG$2:$AG$79</c:f>
              <c:numCache>
                <c:formatCode>General</c:formatCode>
                <c:ptCount val="78"/>
                <c:pt idx="0">
                  <c:v>4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12</c:v>
                </c:pt>
                <c:pt idx="39">
                  <c:v>12</c:v>
                </c:pt>
                <c:pt idx="40">
                  <c:v>13</c:v>
                </c:pt>
                <c:pt idx="41">
                  <c:v>13</c:v>
                </c:pt>
                <c:pt idx="42">
                  <c:v>13</c:v>
                </c:pt>
                <c:pt idx="43">
                  <c:v>13</c:v>
                </c:pt>
                <c:pt idx="44">
                  <c:v>13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14</c:v>
                </c:pt>
                <c:pt idx="50">
                  <c:v>14</c:v>
                </c:pt>
                <c:pt idx="51">
                  <c:v>14</c:v>
                </c:pt>
                <c:pt idx="52">
                  <c:v>14</c:v>
                </c:pt>
                <c:pt idx="53">
                  <c:v>14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15</c:v>
                </c:pt>
                <c:pt idx="58">
                  <c:v>15</c:v>
                </c:pt>
                <c:pt idx="59">
                  <c:v>16</c:v>
                </c:pt>
                <c:pt idx="60">
                  <c:v>16</c:v>
                </c:pt>
                <c:pt idx="61">
                  <c:v>17</c:v>
                </c:pt>
                <c:pt idx="62">
                  <c:v>17</c:v>
                </c:pt>
                <c:pt idx="63">
                  <c:v>17</c:v>
                </c:pt>
                <c:pt idx="64">
                  <c:v>17</c:v>
                </c:pt>
                <c:pt idx="65">
                  <c:v>18</c:v>
                </c:pt>
                <c:pt idx="66">
                  <c:v>18</c:v>
                </c:pt>
                <c:pt idx="67">
                  <c:v>19</c:v>
                </c:pt>
                <c:pt idx="68">
                  <c:v>21</c:v>
                </c:pt>
                <c:pt idx="69">
                  <c:v>21</c:v>
                </c:pt>
                <c:pt idx="70">
                  <c:v>22</c:v>
                </c:pt>
                <c:pt idx="71">
                  <c:v>22</c:v>
                </c:pt>
                <c:pt idx="72">
                  <c:v>24</c:v>
                </c:pt>
                <c:pt idx="73">
                  <c:v>24</c:v>
                </c:pt>
                <c:pt idx="74">
                  <c:v>25</c:v>
                </c:pt>
                <c:pt idx="75">
                  <c:v>26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B-4779-A8DB-8B96D50AA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186136"/>
        <c:axId val="606183840"/>
      </c:lineChart>
      <c:scatterChart>
        <c:scatterStyle val="lineMarker"/>
        <c:varyColors val="0"/>
        <c:ser>
          <c:idx val="1"/>
          <c:order val="1"/>
          <c:tx>
            <c:strRef>
              <c:f>'CEA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'CEA Summary'!$AC$2</c:f>
                <c:numCache>
                  <c:formatCode>General</c:formatCode>
                  <c:ptCount val="1"/>
                  <c:pt idx="0">
                    <c:v>13</c:v>
                  </c:pt>
                </c:numCache>
              </c:numRef>
            </c:plus>
            <c:minus>
              <c:numRef>
                <c:f>'CEA Summary'!$AB$2</c:f>
                <c:numCache>
                  <c:formatCode>General</c:formatCode>
                  <c:ptCount val="1"/>
                  <c:pt idx="0">
                    <c:v>7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'CEA Summary'!$AD$2</c:f>
              <c:numCache>
                <c:formatCode>General</c:formatCode>
                <c:ptCount val="1"/>
                <c:pt idx="0">
                  <c:v>50</c:v>
                </c:pt>
              </c:numCache>
            </c:numRef>
          </c:xVal>
          <c:yVal>
            <c:numRef>
              <c:f>'CEA Summary'!$AA$2</c:f>
              <c:numCache>
                <c:formatCode>General</c:formatCode>
                <c:ptCount val="1"/>
                <c:pt idx="0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6B-4779-A8DB-8B96D50AAEE2}"/>
            </c:ext>
          </c:extLst>
        </c:ser>
        <c:ser>
          <c:idx val="2"/>
          <c:order val="2"/>
          <c:tx>
            <c:v>NICE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'CEA Summary'!$AL$2:$AL$77</c:f>
              <c:numCache>
                <c:formatCode>General</c:formatCode>
                <c:ptCount val="7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</c:numCache>
            </c:numRef>
          </c:xVal>
          <c:yVal>
            <c:numRef>
              <c:f>'CEA Summary'!$AM$2:$AM$77</c:f>
              <c:numCache>
                <c:formatCode>General</c:formatCode>
                <c:ptCount val="76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14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14</c:v>
                </c:pt>
                <c:pt idx="31">
                  <c:v>14</c:v>
                </c:pt>
                <c:pt idx="32">
                  <c:v>14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14</c:v>
                </c:pt>
                <c:pt idx="39">
                  <c:v>14</c:v>
                </c:pt>
                <c:pt idx="40">
                  <c:v>14</c:v>
                </c:pt>
                <c:pt idx="41">
                  <c:v>14</c:v>
                </c:pt>
                <c:pt idx="42">
                  <c:v>14</c:v>
                </c:pt>
                <c:pt idx="43">
                  <c:v>14</c:v>
                </c:pt>
                <c:pt idx="44">
                  <c:v>14</c:v>
                </c:pt>
                <c:pt idx="45">
                  <c:v>14</c:v>
                </c:pt>
                <c:pt idx="46">
                  <c:v>14</c:v>
                </c:pt>
                <c:pt idx="47">
                  <c:v>14</c:v>
                </c:pt>
                <c:pt idx="48">
                  <c:v>14</c:v>
                </c:pt>
                <c:pt idx="49">
                  <c:v>14</c:v>
                </c:pt>
                <c:pt idx="50">
                  <c:v>14</c:v>
                </c:pt>
                <c:pt idx="51">
                  <c:v>14</c:v>
                </c:pt>
                <c:pt idx="52">
                  <c:v>14</c:v>
                </c:pt>
                <c:pt idx="53">
                  <c:v>14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</c:v>
                </c:pt>
                <c:pt idx="64">
                  <c:v>14</c:v>
                </c:pt>
                <c:pt idx="65">
                  <c:v>14</c:v>
                </c:pt>
                <c:pt idx="66">
                  <c:v>14</c:v>
                </c:pt>
                <c:pt idx="67">
                  <c:v>14</c:v>
                </c:pt>
                <c:pt idx="68">
                  <c:v>14</c:v>
                </c:pt>
                <c:pt idx="69">
                  <c:v>14</c:v>
                </c:pt>
                <c:pt idx="70">
                  <c:v>14</c:v>
                </c:pt>
                <c:pt idx="71">
                  <c:v>14</c:v>
                </c:pt>
                <c:pt idx="72">
                  <c:v>14</c:v>
                </c:pt>
                <c:pt idx="73">
                  <c:v>14</c:v>
                </c:pt>
                <c:pt idx="74">
                  <c:v>14</c:v>
                </c:pt>
                <c:pt idx="75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6B-4779-A8DB-8B96D50AA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catAx>
        <c:axId val="60618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auto val="1"/>
        <c:lblAlgn val="ctr"/>
        <c:lblOffset val="100"/>
        <c:noMultiLvlLbl val="0"/>
      </c:catAx>
      <c:valAx>
        <c:axId val="60618384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'CEA Funnel'!$C$1</c:f>
              <c:strCache>
                <c:ptCount val="1"/>
                <c:pt idx="0">
                  <c:v>Stroke/Death 30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'CEA Funnel'!$B$2:$B$79</c:f>
              <c:numCache>
                <c:formatCode>General</c:formatCode>
                <c:ptCount val="78"/>
                <c:pt idx="0">
                  <c:v>84</c:v>
                </c:pt>
                <c:pt idx="1">
                  <c:v>291</c:v>
                </c:pt>
                <c:pt idx="2">
                  <c:v>58</c:v>
                </c:pt>
                <c:pt idx="3">
                  <c:v>64</c:v>
                </c:pt>
                <c:pt idx="4">
                  <c:v>144</c:v>
                </c:pt>
                <c:pt idx="5">
                  <c:v>362</c:v>
                </c:pt>
                <c:pt idx="6">
                  <c:v>108</c:v>
                </c:pt>
                <c:pt idx="7">
                  <c:v>121</c:v>
                </c:pt>
                <c:pt idx="8">
                  <c:v>37</c:v>
                </c:pt>
                <c:pt idx="9">
                  <c:v>151</c:v>
                </c:pt>
                <c:pt idx="10">
                  <c:v>81</c:v>
                </c:pt>
                <c:pt idx="11">
                  <c:v>73</c:v>
                </c:pt>
                <c:pt idx="12">
                  <c:v>208</c:v>
                </c:pt>
                <c:pt idx="13">
                  <c:v>105</c:v>
                </c:pt>
                <c:pt idx="14">
                  <c:v>373</c:v>
                </c:pt>
                <c:pt idx="15">
                  <c:v>49</c:v>
                </c:pt>
                <c:pt idx="16">
                  <c:v>210</c:v>
                </c:pt>
                <c:pt idx="17">
                  <c:v>131</c:v>
                </c:pt>
                <c:pt idx="18">
                  <c:v>143</c:v>
                </c:pt>
                <c:pt idx="19">
                  <c:v>135</c:v>
                </c:pt>
                <c:pt idx="20">
                  <c:v>110</c:v>
                </c:pt>
                <c:pt idx="21">
                  <c:v>278</c:v>
                </c:pt>
                <c:pt idx="22">
                  <c:v>92</c:v>
                </c:pt>
                <c:pt idx="23">
                  <c:v>207</c:v>
                </c:pt>
                <c:pt idx="24">
                  <c:v>113</c:v>
                </c:pt>
                <c:pt idx="25">
                  <c:v>183</c:v>
                </c:pt>
                <c:pt idx="26">
                  <c:v>135</c:v>
                </c:pt>
                <c:pt idx="27">
                  <c:v>204</c:v>
                </c:pt>
                <c:pt idx="28">
                  <c:v>300</c:v>
                </c:pt>
                <c:pt idx="29">
                  <c:v>252</c:v>
                </c:pt>
                <c:pt idx="30">
                  <c:v>178</c:v>
                </c:pt>
                <c:pt idx="31">
                  <c:v>160</c:v>
                </c:pt>
                <c:pt idx="32">
                  <c:v>98</c:v>
                </c:pt>
                <c:pt idx="33">
                  <c:v>232</c:v>
                </c:pt>
                <c:pt idx="34">
                  <c:v>167</c:v>
                </c:pt>
                <c:pt idx="35">
                  <c:v>87</c:v>
                </c:pt>
                <c:pt idx="36">
                  <c:v>136</c:v>
                </c:pt>
                <c:pt idx="37">
                  <c:v>118</c:v>
                </c:pt>
                <c:pt idx="38">
                  <c:v>62</c:v>
                </c:pt>
                <c:pt idx="39">
                  <c:v>328</c:v>
                </c:pt>
                <c:pt idx="40">
                  <c:v>135</c:v>
                </c:pt>
                <c:pt idx="41">
                  <c:v>9</c:v>
                </c:pt>
                <c:pt idx="42">
                  <c:v>146</c:v>
                </c:pt>
                <c:pt idx="43">
                  <c:v>262</c:v>
                </c:pt>
                <c:pt idx="44">
                  <c:v>104</c:v>
                </c:pt>
                <c:pt idx="45">
                  <c:v>9</c:v>
                </c:pt>
                <c:pt idx="46">
                  <c:v>239</c:v>
                </c:pt>
                <c:pt idx="47">
                  <c:v>191</c:v>
                </c:pt>
                <c:pt idx="48">
                  <c:v>134</c:v>
                </c:pt>
                <c:pt idx="49">
                  <c:v>381</c:v>
                </c:pt>
                <c:pt idx="50">
                  <c:v>87</c:v>
                </c:pt>
                <c:pt idx="51">
                  <c:v>126</c:v>
                </c:pt>
                <c:pt idx="52">
                  <c:v>308</c:v>
                </c:pt>
                <c:pt idx="53">
                  <c:v>188</c:v>
                </c:pt>
                <c:pt idx="54">
                  <c:v>308</c:v>
                </c:pt>
                <c:pt idx="55">
                  <c:v>231</c:v>
                </c:pt>
                <c:pt idx="56">
                  <c:v>128</c:v>
                </c:pt>
                <c:pt idx="57">
                  <c:v>215</c:v>
                </c:pt>
                <c:pt idx="58">
                  <c:v>129</c:v>
                </c:pt>
                <c:pt idx="59">
                  <c:v>121</c:v>
                </c:pt>
                <c:pt idx="60">
                  <c:v>202</c:v>
                </c:pt>
                <c:pt idx="61">
                  <c:v>124</c:v>
                </c:pt>
                <c:pt idx="62">
                  <c:v>169</c:v>
                </c:pt>
                <c:pt idx="63">
                  <c:v>134</c:v>
                </c:pt>
                <c:pt idx="64">
                  <c:v>253</c:v>
                </c:pt>
                <c:pt idx="65">
                  <c:v>181</c:v>
                </c:pt>
                <c:pt idx="66">
                  <c:v>106</c:v>
                </c:pt>
                <c:pt idx="67">
                  <c:v>148</c:v>
                </c:pt>
                <c:pt idx="68">
                  <c:v>134</c:v>
                </c:pt>
                <c:pt idx="69">
                  <c:v>311</c:v>
                </c:pt>
                <c:pt idx="70">
                  <c:v>73</c:v>
                </c:pt>
                <c:pt idx="71">
                  <c:v>92</c:v>
                </c:pt>
                <c:pt idx="72">
                  <c:v>64</c:v>
                </c:pt>
                <c:pt idx="73">
                  <c:v>119</c:v>
                </c:pt>
                <c:pt idx="74">
                  <c:v>62</c:v>
                </c:pt>
                <c:pt idx="75">
                  <c:v>71</c:v>
                </c:pt>
                <c:pt idx="76">
                  <c:v>499</c:v>
                </c:pt>
              </c:numCache>
            </c:numRef>
          </c:xVal>
          <c:yVal>
            <c:numRef>
              <c:f>'CEA Funnel'!$C$2:$C$79</c:f>
              <c:numCache>
                <c:formatCode>General</c:formatCode>
                <c:ptCount val="78"/>
                <c:pt idx="0">
                  <c:v>2.7999999999999972</c:v>
                </c:pt>
                <c:pt idx="1">
                  <c:v>2.9000000000000057</c:v>
                </c:pt>
                <c:pt idx="2">
                  <c:v>2.2999999999999972</c:v>
                </c:pt>
                <c:pt idx="3">
                  <c:v>1.4000000000000057</c:v>
                </c:pt>
                <c:pt idx="4">
                  <c:v>3.2000000000000028</c:v>
                </c:pt>
                <c:pt idx="5">
                  <c:v>1.2999999999999972</c:v>
                </c:pt>
                <c:pt idx="6">
                  <c:v>3.4000000000000057</c:v>
                </c:pt>
                <c:pt idx="7">
                  <c:v>3.2999999999999972</c:v>
                </c:pt>
                <c:pt idx="8">
                  <c:v>0</c:v>
                </c:pt>
                <c:pt idx="9">
                  <c:v>1.2999999999999972</c:v>
                </c:pt>
                <c:pt idx="10">
                  <c:v>3.5</c:v>
                </c:pt>
                <c:pt idx="11">
                  <c:v>4.7000000000000028</c:v>
                </c:pt>
                <c:pt idx="12">
                  <c:v>0.90000000000000568</c:v>
                </c:pt>
                <c:pt idx="13">
                  <c:v>0</c:v>
                </c:pt>
                <c:pt idx="14">
                  <c:v>3.2000000000000028</c:v>
                </c:pt>
                <c:pt idx="15">
                  <c:v>4</c:v>
                </c:pt>
                <c:pt idx="16">
                  <c:v>3.4000000000000057</c:v>
                </c:pt>
                <c:pt idx="17">
                  <c:v>3.7999999999999972</c:v>
                </c:pt>
                <c:pt idx="18">
                  <c:v>0.79999999999999716</c:v>
                </c:pt>
                <c:pt idx="19">
                  <c:v>3</c:v>
                </c:pt>
                <c:pt idx="20">
                  <c:v>3.0999999999999943</c:v>
                </c:pt>
                <c:pt idx="21">
                  <c:v>0.40000000000000568</c:v>
                </c:pt>
                <c:pt idx="22">
                  <c:v>1.4000000000000057</c:v>
                </c:pt>
                <c:pt idx="23">
                  <c:v>3</c:v>
                </c:pt>
                <c:pt idx="24">
                  <c:v>2.0999999999999943</c:v>
                </c:pt>
                <c:pt idx="25">
                  <c:v>1</c:v>
                </c:pt>
                <c:pt idx="26">
                  <c:v>1.2999999999999972</c:v>
                </c:pt>
                <c:pt idx="27">
                  <c:v>3.5999999999999943</c:v>
                </c:pt>
                <c:pt idx="28">
                  <c:v>1.2000000000000028</c:v>
                </c:pt>
                <c:pt idx="29">
                  <c:v>1.0999999999999943</c:v>
                </c:pt>
                <c:pt idx="30">
                  <c:v>1.2000000000000028</c:v>
                </c:pt>
                <c:pt idx="31">
                  <c:v>0</c:v>
                </c:pt>
                <c:pt idx="32">
                  <c:v>2.7999999999999972</c:v>
                </c:pt>
                <c:pt idx="33">
                  <c:v>3</c:v>
                </c:pt>
                <c:pt idx="34">
                  <c:v>1.7999999999999972</c:v>
                </c:pt>
                <c:pt idx="35">
                  <c:v>1.0999999999999943</c:v>
                </c:pt>
                <c:pt idx="36">
                  <c:v>1.5</c:v>
                </c:pt>
                <c:pt idx="37">
                  <c:v>0</c:v>
                </c:pt>
                <c:pt idx="38">
                  <c:v>1.7999999999999972</c:v>
                </c:pt>
                <c:pt idx="39">
                  <c:v>2.7999999999999972</c:v>
                </c:pt>
                <c:pt idx="40">
                  <c:v>2.2999999999999972</c:v>
                </c:pt>
                <c:pt idx="41">
                  <c:v>0</c:v>
                </c:pt>
                <c:pt idx="42">
                  <c:v>4.0999999999999943</c:v>
                </c:pt>
                <c:pt idx="43">
                  <c:v>0.79999999999999716</c:v>
                </c:pt>
                <c:pt idx="44">
                  <c:v>3.9000000000000057</c:v>
                </c:pt>
                <c:pt idx="45">
                  <c:v>0</c:v>
                </c:pt>
                <c:pt idx="46">
                  <c:v>0.79999999999999716</c:v>
                </c:pt>
                <c:pt idx="47">
                  <c:v>1.9000000000000057</c:v>
                </c:pt>
                <c:pt idx="48">
                  <c:v>1.9000000000000057</c:v>
                </c:pt>
                <c:pt idx="49">
                  <c:v>1.7999999999999972</c:v>
                </c:pt>
                <c:pt idx="50">
                  <c:v>2</c:v>
                </c:pt>
                <c:pt idx="51">
                  <c:v>1.2999999999999972</c:v>
                </c:pt>
                <c:pt idx="52">
                  <c:v>2.7999999999999972</c:v>
                </c:pt>
                <c:pt idx="53">
                  <c:v>2.5999999999999943</c:v>
                </c:pt>
                <c:pt idx="54">
                  <c:v>0.70000000000000284</c:v>
                </c:pt>
                <c:pt idx="55">
                  <c:v>1</c:v>
                </c:pt>
                <c:pt idx="56">
                  <c:v>2.7999999999999972</c:v>
                </c:pt>
                <c:pt idx="57">
                  <c:v>0.40000000000000568</c:v>
                </c:pt>
                <c:pt idx="58">
                  <c:v>2.2999999999999972</c:v>
                </c:pt>
                <c:pt idx="59">
                  <c:v>2.4000000000000057</c:v>
                </c:pt>
                <c:pt idx="60">
                  <c:v>2</c:v>
                </c:pt>
                <c:pt idx="61">
                  <c:v>0</c:v>
                </c:pt>
                <c:pt idx="62">
                  <c:v>4</c:v>
                </c:pt>
                <c:pt idx="63">
                  <c:v>0</c:v>
                </c:pt>
                <c:pt idx="64">
                  <c:v>1.2000000000000028</c:v>
                </c:pt>
                <c:pt idx="65">
                  <c:v>3.2999999999999972</c:v>
                </c:pt>
                <c:pt idx="66">
                  <c:v>0</c:v>
                </c:pt>
                <c:pt idx="67">
                  <c:v>1.9000000000000057</c:v>
                </c:pt>
                <c:pt idx="68">
                  <c:v>4.5999999999999943</c:v>
                </c:pt>
                <c:pt idx="69">
                  <c:v>3.2000000000000028</c:v>
                </c:pt>
                <c:pt idx="70">
                  <c:v>0</c:v>
                </c:pt>
                <c:pt idx="71">
                  <c:v>3.7999999999999972</c:v>
                </c:pt>
                <c:pt idx="72">
                  <c:v>2</c:v>
                </c:pt>
                <c:pt idx="73">
                  <c:v>2.5999999999999943</c:v>
                </c:pt>
                <c:pt idx="74">
                  <c:v>1.7999999999999972</c:v>
                </c:pt>
                <c:pt idx="75">
                  <c:v>0.90000000000000568</c:v>
                </c:pt>
                <c:pt idx="76">
                  <c:v>2.0999999999999943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8C-44A6-A196-2D3C440F0395}"/>
            </c:ext>
          </c:extLst>
        </c:ser>
        <c:ser>
          <c:idx val="1"/>
          <c:order val="1"/>
          <c:tx>
            <c:v>National Rate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'CEA Limits'!$B$2:$B$75</c:f>
              <c:numCache>
                <c:formatCode>General</c:formatCode>
                <c:ptCount val="74"/>
                <c:pt idx="0">
                  <c:v>0</c:v>
                </c:pt>
                <c:pt idx="1">
                  <c:v>9</c:v>
                </c:pt>
                <c:pt idx="2">
                  <c:v>10</c:v>
                </c:pt>
                <c:pt idx="3">
                  <c:v>14</c:v>
                </c:pt>
                <c:pt idx="4">
                  <c:v>23</c:v>
                </c:pt>
                <c:pt idx="5">
                  <c:v>37</c:v>
                </c:pt>
                <c:pt idx="6">
                  <c:v>39</c:v>
                </c:pt>
                <c:pt idx="7">
                  <c:v>45</c:v>
                </c:pt>
                <c:pt idx="8">
                  <c:v>49</c:v>
                </c:pt>
                <c:pt idx="9">
                  <c:v>58</c:v>
                </c:pt>
                <c:pt idx="10">
                  <c:v>62</c:v>
                </c:pt>
                <c:pt idx="11">
                  <c:v>64</c:v>
                </c:pt>
                <c:pt idx="12">
                  <c:v>71</c:v>
                </c:pt>
                <c:pt idx="13">
                  <c:v>73</c:v>
                </c:pt>
                <c:pt idx="14">
                  <c:v>77</c:v>
                </c:pt>
                <c:pt idx="15">
                  <c:v>81</c:v>
                </c:pt>
                <c:pt idx="16">
                  <c:v>84</c:v>
                </c:pt>
                <c:pt idx="17">
                  <c:v>87</c:v>
                </c:pt>
                <c:pt idx="18">
                  <c:v>92</c:v>
                </c:pt>
                <c:pt idx="19">
                  <c:v>98</c:v>
                </c:pt>
                <c:pt idx="20">
                  <c:v>104</c:v>
                </c:pt>
                <c:pt idx="21">
                  <c:v>105</c:v>
                </c:pt>
                <c:pt idx="22">
                  <c:v>106</c:v>
                </c:pt>
                <c:pt idx="23">
                  <c:v>108</c:v>
                </c:pt>
                <c:pt idx="24">
                  <c:v>110</c:v>
                </c:pt>
                <c:pt idx="25">
                  <c:v>113</c:v>
                </c:pt>
                <c:pt idx="26">
                  <c:v>118</c:v>
                </c:pt>
                <c:pt idx="27">
                  <c:v>119</c:v>
                </c:pt>
                <c:pt idx="28">
                  <c:v>121</c:v>
                </c:pt>
                <c:pt idx="29">
                  <c:v>124</c:v>
                </c:pt>
                <c:pt idx="30">
                  <c:v>126</c:v>
                </c:pt>
                <c:pt idx="31">
                  <c:v>128</c:v>
                </c:pt>
                <c:pt idx="32">
                  <c:v>129</c:v>
                </c:pt>
                <c:pt idx="33">
                  <c:v>130</c:v>
                </c:pt>
                <c:pt idx="34">
                  <c:v>131</c:v>
                </c:pt>
                <c:pt idx="35">
                  <c:v>134</c:v>
                </c:pt>
                <c:pt idx="36">
                  <c:v>135</c:v>
                </c:pt>
                <c:pt idx="37">
                  <c:v>136</c:v>
                </c:pt>
                <c:pt idx="38">
                  <c:v>143</c:v>
                </c:pt>
                <c:pt idx="39">
                  <c:v>144</c:v>
                </c:pt>
                <c:pt idx="40">
                  <c:v>146</c:v>
                </c:pt>
                <c:pt idx="41">
                  <c:v>148</c:v>
                </c:pt>
                <c:pt idx="42">
                  <c:v>151</c:v>
                </c:pt>
                <c:pt idx="43">
                  <c:v>160</c:v>
                </c:pt>
                <c:pt idx="44">
                  <c:v>167</c:v>
                </c:pt>
                <c:pt idx="45">
                  <c:v>169</c:v>
                </c:pt>
                <c:pt idx="46">
                  <c:v>178</c:v>
                </c:pt>
                <c:pt idx="47">
                  <c:v>181</c:v>
                </c:pt>
                <c:pt idx="48">
                  <c:v>183</c:v>
                </c:pt>
                <c:pt idx="49">
                  <c:v>188</c:v>
                </c:pt>
                <c:pt idx="50">
                  <c:v>191</c:v>
                </c:pt>
                <c:pt idx="51">
                  <c:v>202</c:v>
                </c:pt>
                <c:pt idx="52">
                  <c:v>204</c:v>
                </c:pt>
                <c:pt idx="53">
                  <c:v>207</c:v>
                </c:pt>
                <c:pt idx="54">
                  <c:v>208</c:v>
                </c:pt>
                <c:pt idx="55">
                  <c:v>210</c:v>
                </c:pt>
                <c:pt idx="56">
                  <c:v>215</c:v>
                </c:pt>
                <c:pt idx="57">
                  <c:v>231</c:v>
                </c:pt>
                <c:pt idx="58">
                  <c:v>232</c:v>
                </c:pt>
                <c:pt idx="59">
                  <c:v>239</c:v>
                </c:pt>
                <c:pt idx="60">
                  <c:v>252</c:v>
                </c:pt>
                <c:pt idx="61">
                  <c:v>253</c:v>
                </c:pt>
                <c:pt idx="62">
                  <c:v>262</c:v>
                </c:pt>
                <c:pt idx="63">
                  <c:v>278</c:v>
                </c:pt>
                <c:pt idx="64">
                  <c:v>291</c:v>
                </c:pt>
                <c:pt idx="65">
                  <c:v>300</c:v>
                </c:pt>
                <c:pt idx="66">
                  <c:v>308</c:v>
                </c:pt>
                <c:pt idx="67">
                  <c:v>311</c:v>
                </c:pt>
                <c:pt idx="68">
                  <c:v>328</c:v>
                </c:pt>
                <c:pt idx="69">
                  <c:v>362</c:v>
                </c:pt>
                <c:pt idx="70">
                  <c:v>373</c:v>
                </c:pt>
                <c:pt idx="71">
                  <c:v>381</c:v>
                </c:pt>
                <c:pt idx="72">
                  <c:v>499</c:v>
                </c:pt>
                <c:pt idx="73">
                  <c:v>500</c:v>
                </c:pt>
              </c:numCache>
            </c:numRef>
          </c:xVal>
          <c:yVal>
            <c:numRef>
              <c:f>'CEA Limits'!$D$2:$D$75</c:f>
              <c:numCache>
                <c:formatCode>General</c:formatCode>
                <c:ptCount val="7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8C-44A6-A196-2D3C440F0395}"/>
            </c:ext>
          </c:extLst>
        </c:ser>
        <c:ser>
          <c:idx val="2"/>
          <c:order val="2"/>
          <c:tx>
            <c:v>Upper Funnel Limits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'CEA Limits'!$B$2:$B$75</c:f>
              <c:numCache>
                <c:formatCode>General</c:formatCode>
                <c:ptCount val="74"/>
                <c:pt idx="0">
                  <c:v>0</c:v>
                </c:pt>
                <c:pt idx="1">
                  <c:v>9</c:v>
                </c:pt>
                <c:pt idx="2">
                  <c:v>10</c:v>
                </c:pt>
                <c:pt idx="3">
                  <c:v>14</c:v>
                </c:pt>
                <c:pt idx="4">
                  <c:v>23</c:v>
                </c:pt>
                <c:pt idx="5">
                  <c:v>37</c:v>
                </c:pt>
                <c:pt idx="6">
                  <c:v>39</c:v>
                </c:pt>
                <c:pt idx="7">
                  <c:v>45</c:v>
                </c:pt>
                <c:pt idx="8">
                  <c:v>49</c:v>
                </c:pt>
                <c:pt idx="9">
                  <c:v>58</c:v>
                </c:pt>
                <c:pt idx="10">
                  <c:v>62</c:v>
                </c:pt>
                <c:pt idx="11">
                  <c:v>64</c:v>
                </c:pt>
                <c:pt idx="12">
                  <c:v>71</c:v>
                </c:pt>
                <c:pt idx="13">
                  <c:v>73</c:v>
                </c:pt>
                <c:pt idx="14">
                  <c:v>77</c:v>
                </c:pt>
                <c:pt idx="15">
                  <c:v>81</c:v>
                </c:pt>
                <c:pt idx="16">
                  <c:v>84</c:v>
                </c:pt>
                <c:pt idx="17">
                  <c:v>87</c:v>
                </c:pt>
                <c:pt idx="18">
                  <c:v>92</c:v>
                </c:pt>
                <c:pt idx="19">
                  <c:v>98</c:v>
                </c:pt>
                <c:pt idx="20">
                  <c:v>104</c:v>
                </c:pt>
                <c:pt idx="21">
                  <c:v>105</c:v>
                </c:pt>
                <c:pt idx="22">
                  <c:v>106</c:v>
                </c:pt>
                <c:pt idx="23">
                  <c:v>108</c:v>
                </c:pt>
                <c:pt idx="24">
                  <c:v>110</c:v>
                </c:pt>
                <c:pt idx="25">
                  <c:v>113</c:v>
                </c:pt>
                <c:pt idx="26">
                  <c:v>118</c:v>
                </c:pt>
                <c:pt idx="27">
                  <c:v>119</c:v>
                </c:pt>
                <c:pt idx="28">
                  <c:v>121</c:v>
                </c:pt>
                <c:pt idx="29">
                  <c:v>124</c:v>
                </c:pt>
                <c:pt idx="30">
                  <c:v>126</c:v>
                </c:pt>
                <c:pt idx="31">
                  <c:v>128</c:v>
                </c:pt>
                <c:pt idx="32">
                  <c:v>129</c:v>
                </c:pt>
                <c:pt idx="33">
                  <c:v>130</c:v>
                </c:pt>
                <c:pt idx="34">
                  <c:v>131</c:v>
                </c:pt>
                <c:pt idx="35">
                  <c:v>134</c:v>
                </c:pt>
                <c:pt idx="36">
                  <c:v>135</c:v>
                </c:pt>
                <c:pt idx="37">
                  <c:v>136</c:v>
                </c:pt>
                <c:pt idx="38">
                  <c:v>143</c:v>
                </c:pt>
                <c:pt idx="39">
                  <c:v>144</c:v>
                </c:pt>
                <c:pt idx="40">
                  <c:v>146</c:v>
                </c:pt>
                <c:pt idx="41">
                  <c:v>148</c:v>
                </c:pt>
                <c:pt idx="42">
                  <c:v>151</c:v>
                </c:pt>
                <c:pt idx="43">
                  <c:v>160</c:v>
                </c:pt>
                <c:pt idx="44">
                  <c:v>167</c:v>
                </c:pt>
                <c:pt idx="45">
                  <c:v>169</c:v>
                </c:pt>
                <c:pt idx="46">
                  <c:v>178</c:v>
                </c:pt>
                <c:pt idx="47">
                  <c:v>181</c:v>
                </c:pt>
                <c:pt idx="48">
                  <c:v>183</c:v>
                </c:pt>
                <c:pt idx="49">
                  <c:v>188</c:v>
                </c:pt>
                <c:pt idx="50">
                  <c:v>191</c:v>
                </c:pt>
                <c:pt idx="51">
                  <c:v>202</c:v>
                </c:pt>
                <c:pt idx="52">
                  <c:v>204</c:v>
                </c:pt>
                <c:pt idx="53">
                  <c:v>207</c:v>
                </c:pt>
                <c:pt idx="54">
                  <c:v>208</c:v>
                </c:pt>
                <c:pt idx="55">
                  <c:v>210</c:v>
                </c:pt>
                <c:pt idx="56">
                  <c:v>215</c:v>
                </c:pt>
                <c:pt idx="57">
                  <c:v>231</c:v>
                </c:pt>
                <c:pt idx="58">
                  <c:v>232</c:v>
                </c:pt>
                <c:pt idx="59">
                  <c:v>239</c:v>
                </c:pt>
                <c:pt idx="60">
                  <c:v>252</c:v>
                </c:pt>
                <c:pt idx="61">
                  <c:v>253</c:v>
                </c:pt>
                <c:pt idx="62">
                  <c:v>262</c:v>
                </c:pt>
                <c:pt idx="63">
                  <c:v>278</c:v>
                </c:pt>
                <c:pt idx="64">
                  <c:v>291</c:v>
                </c:pt>
                <c:pt idx="65">
                  <c:v>300</c:v>
                </c:pt>
                <c:pt idx="66">
                  <c:v>308</c:v>
                </c:pt>
                <c:pt idx="67">
                  <c:v>311</c:v>
                </c:pt>
                <c:pt idx="68">
                  <c:v>328</c:v>
                </c:pt>
                <c:pt idx="69">
                  <c:v>362</c:v>
                </c:pt>
                <c:pt idx="70">
                  <c:v>373</c:v>
                </c:pt>
                <c:pt idx="71">
                  <c:v>381</c:v>
                </c:pt>
                <c:pt idx="72">
                  <c:v>499</c:v>
                </c:pt>
                <c:pt idx="73">
                  <c:v>500</c:v>
                </c:pt>
              </c:numCache>
            </c:numRef>
          </c:xVal>
          <c:yVal>
            <c:numRef>
              <c:f>'CEA Limits'!$C$2:$C$75</c:f>
              <c:numCache>
                <c:formatCode>General</c:formatCode>
                <c:ptCount val="74"/>
                <c:pt idx="0">
                  <c:v>50</c:v>
                </c:pt>
                <c:pt idx="1">
                  <c:v>33.036429999999996</c:v>
                </c:pt>
                <c:pt idx="2">
                  <c:v>29.948580000000007</c:v>
                </c:pt>
                <c:pt idx="3">
                  <c:v>26.109030000000004</c:v>
                </c:pt>
                <c:pt idx="4">
                  <c:v>17.931110000000004</c:v>
                </c:pt>
                <c:pt idx="5">
                  <c:v>13.466409999999996</c:v>
                </c:pt>
                <c:pt idx="6">
                  <c:v>13.193330000000003</c:v>
                </c:pt>
                <c:pt idx="7">
                  <c:v>12.514030000000005</c:v>
                </c:pt>
                <c:pt idx="8">
                  <c:v>11.855369999999994</c:v>
                </c:pt>
                <c:pt idx="9">
                  <c:v>10.660589999999999</c:v>
                </c:pt>
                <c:pt idx="10">
                  <c:v>10.455799999999996</c:v>
                </c:pt>
                <c:pt idx="11">
                  <c:v>10.303489999999996</c:v>
                </c:pt>
                <c:pt idx="12">
                  <c:v>9.6670349999999985</c:v>
                </c:pt>
                <c:pt idx="13">
                  <c:v>9.4759580000000057</c:v>
                </c:pt>
                <c:pt idx="14">
                  <c:v>9.1267699999999934</c:v>
                </c:pt>
                <c:pt idx="15">
                  <c:v>9.0596100000000064</c:v>
                </c:pt>
                <c:pt idx="16">
                  <c:v>8.9443040000000025</c:v>
                </c:pt>
                <c:pt idx="17">
                  <c:v>8.7960659999999962</c:v>
                </c:pt>
                <c:pt idx="18">
                  <c:v>8.5095290000000006</c:v>
                </c:pt>
                <c:pt idx="19">
                  <c:v>8.141727000000003</c:v>
                </c:pt>
                <c:pt idx="20">
                  <c:v>8.0255779999999959</c:v>
                </c:pt>
                <c:pt idx="21">
                  <c:v>8.0029150000000016</c:v>
                </c:pt>
                <c:pt idx="22">
                  <c:v>7.977248000000003</c:v>
                </c:pt>
                <c:pt idx="23">
                  <c:v>7.9182930000000056</c:v>
                </c:pt>
                <c:pt idx="24">
                  <c:v>7.8511429999999933</c:v>
                </c:pt>
                <c:pt idx="25">
                  <c:v>7.7392130000000066</c:v>
                </c:pt>
                <c:pt idx="26">
                  <c:v>7.5343199999999939</c:v>
                </c:pt>
                <c:pt idx="27">
                  <c:v>7.4917460000000062</c:v>
                </c:pt>
                <c:pt idx="28">
                  <c:v>7.4057669999999973</c:v>
                </c:pt>
                <c:pt idx="29">
                  <c:v>7.3239460000000065</c:v>
                </c:pt>
                <c:pt idx="30">
                  <c:v>7.3119379999999978</c:v>
                </c:pt>
                <c:pt idx="31">
                  <c:v>7.2885550000000023</c:v>
                </c:pt>
                <c:pt idx="32">
                  <c:v>7.2732780000000048</c:v>
                </c:pt>
                <c:pt idx="33">
                  <c:v>7.2559229999999957</c:v>
                </c:pt>
                <c:pt idx="34">
                  <c:v>7.2367009999999965</c:v>
                </c:pt>
                <c:pt idx="35">
                  <c:v>7.169635999999997</c:v>
                </c:pt>
                <c:pt idx="36">
                  <c:v>7.1446739999999949</c:v>
                </c:pt>
                <c:pt idx="37">
                  <c:v>7.1186380000000042</c:v>
                </c:pt>
                <c:pt idx="38">
                  <c:v>6.9150769999999966</c:v>
                </c:pt>
                <c:pt idx="39">
                  <c:v>6.8839540000000028</c:v>
                </c:pt>
                <c:pt idx="40">
                  <c:v>6.8208269999999942</c:v>
                </c:pt>
                <c:pt idx="41">
                  <c:v>6.7570699999999988</c:v>
                </c:pt>
                <c:pt idx="42">
                  <c:v>6.7490939999999995</c:v>
                </c:pt>
                <c:pt idx="43">
                  <c:v>6.6320929999999976</c:v>
                </c:pt>
                <c:pt idx="44">
                  <c:v>6.4863990000000058</c:v>
                </c:pt>
                <c:pt idx="45">
                  <c:v>6.4401189999999957</c:v>
                </c:pt>
                <c:pt idx="46">
                  <c:v>6.3042920000000038</c:v>
                </c:pt>
                <c:pt idx="47">
                  <c:v>6.2823180000000036</c:v>
                </c:pt>
                <c:pt idx="48">
                  <c:v>6.2620359999999948</c:v>
                </c:pt>
                <c:pt idx="49">
                  <c:v>6.196234000000004</c:v>
                </c:pt>
                <c:pt idx="50">
                  <c:v>6.1489040000000017</c:v>
                </c:pt>
                <c:pt idx="51">
                  <c:v>5.9576950000000011</c:v>
                </c:pt>
                <c:pt idx="52">
                  <c:v>5.9546559999999999</c:v>
                </c:pt>
                <c:pt idx="53">
                  <c:v>5.9416279999999944</c:v>
                </c:pt>
                <c:pt idx="54">
                  <c:v>5.9353279999999984</c:v>
                </c:pt>
                <c:pt idx="55">
                  <c:v>5.9201819999999969</c:v>
                </c:pt>
                <c:pt idx="56">
                  <c:v>5.8700290000000024</c:v>
                </c:pt>
                <c:pt idx="57">
                  <c:v>5.6644660000000044</c:v>
                </c:pt>
                <c:pt idx="58">
                  <c:v>5.6628730000000047</c:v>
                </c:pt>
                <c:pt idx="59">
                  <c:v>5.6294039999999939</c:v>
                </c:pt>
                <c:pt idx="60">
                  <c:v>5.4999410000000069</c:v>
                </c:pt>
                <c:pt idx="61">
                  <c:v>5.4877720000000068</c:v>
                </c:pt>
                <c:pt idx="62">
                  <c:v>5.4160169999999965</c:v>
                </c:pt>
                <c:pt idx="63">
                  <c:v>5.3130759999999952</c:v>
                </c:pt>
                <c:pt idx="64">
                  <c:v>5.2095379999999949</c:v>
                </c:pt>
                <c:pt idx="65">
                  <c:v>5.1747660000000053</c:v>
                </c:pt>
                <c:pt idx="66">
                  <c:v>5.1197250000000025</c:v>
                </c:pt>
                <c:pt idx="67">
                  <c:v>5.0951280000000025</c:v>
                </c:pt>
                <c:pt idx="68">
                  <c:v>5.0111490000000032</c:v>
                </c:pt>
                <c:pt idx="69">
                  <c:v>4.8453679999999935</c:v>
                </c:pt>
                <c:pt idx="70">
                  <c:v>4.7853900000000067</c:v>
                </c:pt>
                <c:pt idx="71">
                  <c:v>4.7389090000000067</c:v>
                </c:pt>
                <c:pt idx="72">
                  <c:v>4.3630880000000047</c:v>
                </c:pt>
                <c:pt idx="73">
                  <c:v>4.3593620000000044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8C-44A6-A196-2D3C440F0395}"/>
            </c:ext>
          </c:extLst>
        </c:ser>
        <c:ser>
          <c:idx val="3"/>
          <c:order val="3"/>
          <c:tx>
            <c:strRef>
              <c:f>'CEA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numRef>
              <c:f>'CEA Summary'!$AN$2</c:f>
              <c:numCache>
                <c:formatCode>General</c:formatCode>
                <c:ptCount val="1"/>
                <c:pt idx="0">
                  <c:v>144</c:v>
                </c:pt>
              </c:numCache>
            </c:numRef>
          </c:xVal>
          <c:yVal>
            <c:numRef>
              <c:f>'CEA Summary'!$AO$2</c:f>
              <c:numCache>
                <c:formatCode>General</c:formatCode>
                <c:ptCount val="1"/>
                <c:pt idx="0">
                  <c:v>3.2000000000000028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8C-44A6-A196-2D3C440F0395}"/>
            </c:ext>
          </c:extLst>
        </c:ser>
        <c:ser>
          <c:idx val="4"/>
          <c:order val="4"/>
          <c:tx>
            <c:v>Lower Funnel Limits</c:v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'CEA Limits'!$B$2:$B$75</c:f>
              <c:numCache>
                <c:formatCode>General</c:formatCode>
                <c:ptCount val="74"/>
                <c:pt idx="0">
                  <c:v>0</c:v>
                </c:pt>
                <c:pt idx="1">
                  <c:v>9</c:v>
                </c:pt>
                <c:pt idx="2">
                  <c:v>10</c:v>
                </c:pt>
                <c:pt idx="3">
                  <c:v>14</c:v>
                </c:pt>
                <c:pt idx="4">
                  <c:v>23</c:v>
                </c:pt>
                <c:pt idx="5">
                  <c:v>37</c:v>
                </c:pt>
                <c:pt idx="6">
                  <c:v>39</c:v>
                </c:pt>
                <c:pt idx="7">
                  <c:v>45</c:v>
                </c:pt>
                <c:pt idx="8">
                  <c:v>49</c:v>
                </c:pt>
                <c:pt idx="9">
                  <c:v>58</c:v>
                </c:pt>
                <c:pt idx="10">
                  <c:v>62</c:v>
                </c:pt>
                <c:pt idx="11">
                  <c:v>64</c:v>
                </c:pt>
                <c:pt idx="12">
                  <c:v>71</c:v>
                </c:pt>
                <c:pt idx="13">
                  <c:v>73</c:v>
                </c:pt>
                <c:pt idx="14">
                  <c:v>77</c:v>
                </c:pt>
                <c:pt idx="15">
                  <c:v>81</c:v>
                </c:pt>
                <c:pt idx="16">
                  <c:v>84</c:v>
                </c:pt>
                <c:pt idx="17">
                  <c:v>87</c:v>
                </c:pt>
                <c:pt idx="18">
                  <c:v>92</c:v>
                </c:pt>
                <c:pt idx="19">
                  <c:v>98</c:v>
                </c:pt>
                <c:pt idx="20">
                  <c:v>104</c:v>
                </c:pt>
                <c:pt idx="21">
                  <c:v>105</c:v>
                </c:pt>
                <c:pt idx="22">
                  <c:v>106</c:v>
                </c:pt>
                <c:pt idx="23">
                  <c:v>108</c:v>
                </c:pt>
                <c:pt idx="24">
                  <c:v>110</c:v>
                </c:pt>
                <c:pt idx="25">
                  <c:v>113</c:v>
                </c:pt>
                <c:pt idx="26">
                  <c:v>118</c:v>
                </c:pt>
                <c:pt idx="27">
                  <c:v>119</c:v>
                </c:pt>
                <c:pt idx="28">
                  <c:v>121</c:v>
                </c:pt>
                <c:pt idx="29">
                  <c:v>124</c:v>
                </c:pt>
                <c:pt idx="30">
                  <c:v>126</c:v>
                </c:pt>
                <c:pt idx="31">
                  <c:v>128</c:v>
                </c:pt>
                <c:pt idx="32">
                  <c:v>129</c:v>
                </c:pt>
                <c:pt idx="33">
                  <c:v>130</c:v>
                </c:pt>
                <c:pt idx="34">
                  <c:v>131</c:v>
                </c:pt>
                <c:pt idx="35">
                  <c:v>134</c:v>
                </c:pt>
                <c:pt idx="36">
                  <c:v>135</c:v>
                </c:pt>
                <c:pt idx="37">
                  <c:v>136</c:v>
                </c:pt>
                <c:pt idx="38">
                  <c:v>143</c:v>
                </c:pt>
                <c:pt idx="39">
                  <c:v>144</c:v>
                </c:pt>
                <c:pt idx="40">
                  <c:v>146</c:v>
                </c:pt>
                <c:pt idx="41">
                  <c:v>148</c:v>
                </c:pt>
                <c:pt idx="42">
                  <c:v>151</c:v>
                </c:pt>
                <c:pt idx="43">
                  <c:v>160</c:v>
                </c:pt>
                <c:pt idx="44">
                  <c:v>167</c:v>
                </c:pt>
                <c:pt idx="45">
                  <c:v>169</c:v>
                </c:pt>
                <c:pt idx="46">
                  <c:v>178</c:v>
                </c:pt>
                <c:pt idx="47">
                  <c:v>181</c:v>
                </c:pt>
                <c:pt idx="48">
                  <c:v>183</c:v>
                </c:pt>
                <c:pt idx="49">
                  <c:v>188</c:v>
                </c:pt>
                <c:pt idx="50">
                  <c:v>191</c:v>
                </c:pt>
                <c:pt idx="51">
                  <c:v>202</c:v>
                </c:pt>
                <c:pt idx="52">
                  <c:v>204</c:v>
                </c:pt>
                <c:pt idx="53">
                  <c:v>207</c:v>
                </c:pt>
                <c:pt idx="54">
                  <c:v>208</c:v>
                </c:pt>
                <c:pt idx="55">
                  <c:v>210</c:v>
                </c:pt>
                <c:pt idx="56">
                  <c:v>215</c:v>
                </c:pt>
                <c:pt idx="57">
                  <c:v>231</c:v>
                </c:pt>
                <c:pt idx="58">
                  <c:v>232</c:v>
                </c:pt>
                <c:pt idx="59">
                  <c:v>239</c:v>
                </c:pt>
                <c:pt idx="60">
                  <c:v>252</c:v>
                </c:pt>
                <c:pt idx="61">
                  <c:v>253</c:v>
                </c:pt>
                <c:pt idx="62">
                  <c:v>262</c:v>
                </c:pt>
                <c:pt idx="63">
                  <c:v>278</c:v>
                </c:pt>
                <c:pt idx="64">
                  <c:v>291</c:v>
                </c:pt>
                <c:pt idx="65">
                  <c:v>300</c:v>
                </c:pt>
                <c:pt idx="66">
                  <c:v>308</c:v>
                </c:pt>
                <c:pt idx="67">
                  <c:v>311</c:v>
                </c:pt>
                <c:pt idx="68">
                  <c:v>328</c:v>
                </c:pt>
                <c:pt idx="69">
                  <c:v>362</c:v>
                </c:pt>
                <c:pt idx="70">
                  <c:v>373</c:v>
                </c:pt>
                <c:pt idx="71">
                  <c:v>381</c:v>
                </c:pt>
                <c:pt idx="72">
                  <c:v>499</c:v>
                </c:pt>
                <c:pt idx="73">
                  <c:v>500</c:v>
                </c:pt>
              </c:numCache>
            </c:numRef>
          </c:xVal>
          <c:yVal>
            <c:numRef>
              <c:f>'CEA Limits'!$E$2:$E$75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2.7654999999995766E-2</c:v>
                </c:pt>
                <c:pt idx="70">
                  <c:v>4.1470399999994356E-2</c:v>
                </c:pt>
                <c:pt idx="71">
                  <c:v>5.2812500000001705E-2</c:v>
                </c:pt>
                <c:pt idx="72">
                  <c:v>0.26815510000000131</c:v>
                </c:pt>
                <c:pt idx="73">
                  <c:v>0.26955259999999726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08-4873-B7B3-631BFEF13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98000"/>
        <c:axId val="578493408"/>
      </c:scatterChart>
      <c:valAx>
        <c:axId val="578498000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</a:t>
                </a:r>
                <a:r>
                  <a:rPr lang="en-GB" baseline="0"/>
                  <a:t> of operations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3408"/>
        <c:crosses val="autoZero"/>
        <c:crossBetween val="midCat"/>
      </c:valAx>
      <c:valAx>
        <c:axId val="578493408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  <a:r>
                  <a:rPr lang="en-GB" baseline="0"/>
                  <a:t> 30 day deaths/strokes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80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National</c:v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'CEA Summary'!$F$28:$H$28</c:f>
              <c:strCache>
                <c:ptCount val="3"/>
                <c:pt idx="0">
                  <c:v>Patients referred within 7 days of symptom</c:v>
                </c:pt>
                <c:pt idx="1">
                  <c:v>Patients receiving surgery within 7 days of referral</c:v>
                </c:pt>
                <c:pt idx="2">
                  <c:v>Patients receiving surgery within 14 days of symptom</c:v>
                </c:pt>
              </c:strCache>
            </c:strRef>
          </c:cat>
          <c:val>
            <c:numRef>
              <c:f>'CEA Summary'!$F$30:$H$30</c:f>
              <c:numCache>
                <c:formatCode>0%</c:formatCode>
                <c:ptCount val="3"/>
                <c:pt idx="0">
                  <c:v>0.68</c:v>
                </c:pt>
                <c:pt idx="1">
                  <c:v>0.53</c:v>
                </c:pt>
                <c:pt idx="2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D-4807-8B71-0B15A9CCC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389960"/>
        <c:axId val="406391600"/>
      </c:barChart>
      <c:scatterChart>
        <c:scatterStyle val="lineMarker"/>
        <c:varyColors val="0"/>
        <c:ser>
          <c:idx val="0"/>
          <c:order val="0"/>
          <c:tx>
            <c:strRef>
              <c:f>'CEA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'CEA Summary'!$F$28:$H$28</c:f>
              <c:strCache>
                <c:ptCount val="3"/>
                <c:pt idx="0">
                  <c:v>Patients referred within 7 days of symptom</c:v>
                </c:pt>
                <c:pt idx="1">
                  <c:v>Patients receiving surgery within 7 days of referral</c:v>
                </c:pt>
                <c:pt idx="2">
                  <c:v>Patients receiving surgery within 14 days of symptom</c:v>
                </c:pt>
              </c:strCache>
            </c:strRef>
          </c:xVal>
          <c:yVal>
            <c:numRef>
              <c:f>'CEA Summary'!$F$29:$H$29</c:f>
              <c:numCache>
                <c:formatCode>0%</c:formatCode>
                <c:ptCount val="3"/>
                <c:pt idx="0">
                  <c:v>0.57999999999999996</c:v>
                </c:pt>
                <c:pt idx="1">
                  <c:v>0.55000000000000004</c:v>
                </c:pt>
                <c:pt idx="2">
                  <c:v>0.55000000000000004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9D-4807-8B71-0B15A9CCC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389960"/>
        <c:axId val="406391600"/>
      </c:scatterChart>
      <c:catAx>
        <c:axId val="40638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391600"/>
        <c:crosses val="autoZero"/>
        <c:auto val="1"/>
        <c:lblAlgn val="ctr"/>
        <c:lblOffset val="100"/>
        <c:noMultiLvlLbl val="0"/>
      </c:catAx>
      <c:valAx>
        <c:axId val="4063916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38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Median delay from admission to bypass (days)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Admission to Bypass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'Bypass Summary'!$AK$2:$AK$76</c:f>
                <c:numCache>
                  <c:formatCode>General</c:formatCode>
                  <c:ptCount val="75"/>
                  <c:pt idx="0">
                    <c:v>1</c:v>
                  </c:pt>
                  <c:pt idx="1">
                    <c:v>3</c:v>
                  </c:pt>
                  <c:pt idx="2">
                    <c:v>0</c:v>
                  </c:pt>
                  <c:pt idx="3">
                    <c:v>4</c:v>
                  </c:pt>
                  <c:pt idx="4">
                    <c:v>3</c:v>
                  </c:pt>
                  <c:pt idx="5">
                    <c:v>3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5</c:v>
                  </c:pt>
                  <c:pt idx="10">
                    <c:v>4</c:v>
                  </c:pt>
                  <c:pt idx="11">
                    <c:v>2</c:v>
                  </c:pt>
                  <c:pt idx="12">
                    <c:v>3</c:v>
                  </c:pt>
                  <c:pt idx="13">
                    <c:v>3</c:v>
                  </c:pt>
                  <c:pt idx="14">
                    <c:v>3</c:v>
                  </c:pt>
                  <c:pt idx="15">
                    <c:v>3</c:v>
                  </c:pt>
                  <c:pt idx="16">
                    <c:v>3</c:v>
                  </c:pt>
                  <c:pt idx="17">
                    <c:v>3</c:v>
                  </c:pt>
                  <c:pt idx="18">
                    <c:v>4</c:v>
                  </c:pt>
                  <c:pt idx="19">
                    <c:v>4</c:v>
                  </c:pt>
                  <c:pt idx="20">
                    <c:v>4</c:v>
                  </c:pt>
                  <c:pt idx="21">
                    <c:v>4</c:v>
                  </c:pt>
                  <c:pt idx="22">
                    <c:v>5</c:v>
                  </c:pt>
                  <c:pt idx="23">
                    <c:v>5</c:v>
                  </c:pt>
                  <c:pt idx="24">
                    <c:v>6</c:v>
                  </c:pt>
                  <c:pt idx="25">
                    <c:v>3</c:v>
                  </c:pt>
                  <c:pt idx="26">
                    <c:v>2</c:v>
                  </c:pt>
                  <c:pt idx="27">
                    <c:v>3</c:v>
                  </c:pt>
                  <c:pt idx="28">
                    <c:v>3</c:v>
                  </c:pt>
                  <c:pt idx="29">
                    <c:v>5</c:v>
                  </c:pt>
                  <c:pt idx="30">
                    <c:v>2</c:v>
                  </c:pt>
                  <c:pt idx="31">
                    <c:v>2</c:v>
                  </c:pt>
                  <c:pt idx="32">
                    <c:v>3</c:v>
                  </c:pt>
                  <c:pt idx="33">
                    <c:v>3</c:v>
                  </c:pt>
                  <c:pt idx="34">
                    <c:v>3</c:v>
                  </c:pt>
                  <c:pt idx="35">
                    <c:v>3</c:v>
                  </c:pt>
                  <c:pt idx="36">
                    <c:v>4</c:v>
                  </c:pt>
                  <c:pt idx="37">
                    <c:v>6</c:v>
                  </c:pt>
                  <c:pt idx="38">
                    <c:v>3</c:v>
                  </c:pt>
                  <c:pt idx="39">
                    <c:v>3</c:v>
                  </c:pt>
                  <c:pt idx="40">
                    <c:v>4</c:v>
                  </c:pt>
                  <c:pt idx="41">
                    <c:v>4</c:v>
                  </c:pt>
                  <c:pt idx="42">
                    <c:v>6</c:v>
                  </c:pt>
                  <c:pt idx="43">
                    <c:v>2</c:v>
                  </c:pt>
                  <c:pt idx="44">
                    <c:v>3</c:v>
                  </c:pt>
                  <c:pt idx="45">
                    <c:v>3</c:v>
                  </c:pt>
                  <c:pt idx="46">
                    <c:v>3</c:v>
                  </c:pt>
                  <c:pt idx="47">
                    <c:v>4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6</c:v>
                  </c:pt>
                  <c:pt idx="52">
                    <c:v>2</c:v>
                  </c:pt>
                  <c:pt idx="53">
                    <c:v>4</c:v>
                  </c:pt>
                  <c:pt idx="54">
                    <c:v>6</c:v>
                  </c:pt>
                  <c:pt idx="55">
                    <c:v>4</c:v>
                  </c:pt>
                  <c:pt idx="56">
                    <c:v>4</c:v>
                  </c:pt>
                  <c:pt idx="57">
                    <c:v>3</c:v>
                  </c:pt>
                  <c:pt idx="58">
                    <c:v>3</c:v>
                  </c:pt>
                  <c:pt idx="59">
                    <c:v>4</c:v>
                  </c:pt>
                  <c:pt idx="60">
                    <c:v>5</c:v>
                  </c:pt>
                  <c:pt idx="61">
                    <c:v>7</c:v>
                  </c:pt>
                  <c:pt idx="62">
                    <c:v>2</c:v>
                  </c:pt>
                  <c:pt idx="63">
                    <c:v>3</c:v>
                  </c:pt>
                  <c:pt idx="64">
                    <c:v>2</c:v>
                  </c:pt>
                  <c:pt idx="65">
                    <c:v>3</c:v>
                  </c:pt>
                  <c:pt idx="66">
                    <c:v>4</c:v>
                  </c:pt>
                  <c:pt idx="67">
                    <c:v>4</c:v>
                  </c:pt>
                  <c:pt idx="68">
                    <c:v>6</c:v>
                  </c:pt>
                  <c:pt idx="69">
                    <c:v>2</c:v>
                  </c:pt>
                  <c:pt idx="70">
                    <c:v>4</c:v>
                  </c:pt>
                  <c:pt idx="71">
                    <c:v>4</c:v>
                  </c:pt>
                  <c:pt idx="72">
                    <c:v>7</c:v>
                  </c:pt>
                  <c:pt idx="73">
                    <c:v>4</c:v>
                  </c:pt>
                  <c:pt idx="74">
                    <c:v>15</c:v>
                  </c:pt>
                </c:numCache>
              </c:numRef>
            </c:plus>
            <c:minus>
              <c:numRef>
                <c:f>'Bypass Summary'!$AI$2:$AI$77</c:f>
                <c:numCache>
                  <c:formatCode>General</c:formatCode>
                  <c:ptCount val="76"/>
                  <c:pt idx="0">
                    <c:v>0</c:v>
                  </c:pt>
                  <c:pt idx="1">
                    <c:v>0</c:v>
                  </c:pt>
                  <c:pt idx="2">
                    <c:v>1</c:v>
                  </c:pt>
                  <c:pt idx="3">
                    <c:v>0</c:v>
                  </c:pt>
                  <c:pt idx="4">
                    <c:v>1</c:v>
                  </c:pt>
                  <c:pt idx="5">
                    <c:v>1</c:v>
                  </c:pt>
                  <c:pt idx="6">
                    <c:v>1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3</c:v>
                  </c:pt>
                  <c:pt idx="11">
                    <c:v>2</c:v>
                  </c:pt>
                  <c:pt idx="12">
                    <c:v>2</c:v>
                  </c:pt>
                  <c:pt idx="13">
                    <c:v>2</c:v>
                  </c:pt>
                  <c:pt idx="14">
                    <c:v>2</c:v>
                  </c:pt>
                  <c:pt idx="15">
                    <c:v>2</c:v>
                  </c:pt>
                  <c:pt idx="16">
                    <c:v>2</c:v>
                  </c:pt>
                  <c:pt idx="17">
                    <c:v>2</c:v>
                  </c:pt>
                  <c:pt idx="18">
                    <c:v>2</c:v>
                  </c:pt>
                  <c:pt idx="19">
                    <c:v>2</c:v>
                  </c:pt>
                  <c:pt idx="20">
                    <c:v>2</c:v>
                  </c:pt>
                  <c:pt idx="21">
                    <c:v>2</c:v>
                  </c:pt>
                  <c:pt idx="22">
                    <c:v>2</c:v>
                  </c:pt>
                  <c:pt idx="23">
                    <c:v>2</c:v>
                  </c:pt>
                  <c:pt idx="24">
                    <c:v>2</c:v>
                  </c:pt>
                  <c:pt idx="25">
                    <c:v>1</c:v>
                  </c:pt>
                  <c:pt idx="26">
                    <c:v>3</c:v>
                  </c:pt>
                  <c:pt idx="27">
                    <c:v>3</c:v>
                  </c:pt>
                  <c:pt idx="28">
                    <c:v>3</c:v>
                  </c:pt>
                  <c:pt idx="29">
                    <c:v>3</c:v>
                  </c:pt>
                  <c:pt idx="30">
                    <c:v>2</c:v>
                  </c:pt>
                  <c:pt idx="31">
                    <c:v>2</c:v>
                  </c:pt>
                  <c:pt idx="32">
                    <c:v>2</c:v>
                  </c:pt>
                  <c:pt idx="33">
                    <c:v>2</c:v>
                  </c:pt>
                  <c:pt idx="34">
                    <c:v>2</c:v>
                  </c:pt>
                  <c:pt idx="35">
                    <c:v>2</c:v>
                  </c:pt>
                  <c:pt idx="36">
                    <c:v>2</c:v>
                  </c:pt>
                  <c:pt idx="37">
                    <c:v>5</c:v>
                  </c:pt>
                  <c:pt idx="38">
                    <c:v>4</c:v>
                  </c:pt>
                  <c:pt idx="39">
                    <c:v>4</c:v>
                  </c:pt>
                  <c:pt idx="40">
                    <c:v>4</c:v>
                  </c:pt>
                  <c:pt idx="41">
                    <c:v>4</c:v>
                  </c:pt>
                  <c:pt idx="42">
                    <c:v>4</c:v>
                  </c:pt>
                  <c:pt idx="43">
                    <c:v>3</c:v>
                  </c:pt>
                  <c:pt idx="44">
                    <c:v>3</c:v>
                  </c:pt>
                  <c:pt idx="45">
                    <c:v>3</c:v>
                  </c:pt>
                  <c:pt idx="46">
                    <c:v>3</c:v>
                  </c:pt>
                  <c:pt idx="47">
                    <c:v>3</c:v>
                  </c:pt>
                  <c:pt idx="48">
                    <c:v>2</c:v>
                  </c:pt>
                  <c:pt idx="49">
                    <c:v>2</c:v>
                  </c:pt>
                  <c:pt idx="50">
                    <c:v>2</c:v>
                  </c:pt>
                  <c:pt idx="51">
                    <c:v>2</c:v>
                  </c:pt>
                  <c:pt idx="52">
                    <c:v>5</c:v>
                  </c:pt>
                  <c:pt idx="53">
                    <c:v>5</c:v>
                  </c:pt>
                  <c:pt idx="54">
                    <c:v>5</c:v>
                  </c:pt>
                  <c:pt idx="55">
                    <c:v>4</c:v>
                  </c:pt>
                  <c:pt idx="56">
                    <c:v>4</c:v>
                  </c:pt>
                  <c:pt idx="57">
                    <c:v>3</c:v>
                  </c:pt>
                  <c:pt idx="58">
                    <c:v>3</c:v>
                  </c:pt>
                  <c:pt idx="59">
                    <c:v>3</c:v>
                  </c:pt>
                  <c:pt idx="60">
                    <c:v>3</c:v>
                  </c:pt>
                  <c:pt idx="61">
                    <c:v>3</c:v>
                  </c:pt>
                  <c:pt idx="62">
                    <c:v>2</c:v>
                  </c:pt>
                  <c:pt idx="63">
                    <c:v>2</c:v>
                  </c:pt>
                  <c:pt idx="64">
                    <c:v>4</c:v>
                  </c:pt>
                  <c:pt idx="65">
                    <c:v>4</c:v>
                  </c:pt>
                  <c:pt idx="66">
                    <c:v>3</c:v>
                  </c:pt>
                  <c:pt idx="67">
                    <c:v>3</c:v>
                  </c:pt>
                  <c:pt idx="68">
                    <c:v>6</c:v>
                  </c:pt>
                  <c:pt idx="69">
                    <c:v>5</c:v>
                  </c:pt>
                  <c:pt idx="70">
                    <c:v>4</c:v>
                  </c:pt>
                  <c:pt idx="71">
                    <c:v>3</c:v>
                  </c:pt>
                  <c:pt idx="72">
                    <c:v>3</c:v>
                  </c:pt>
                  <c:pt idx="73">
                    <c:v>5</c:v>
                  </c:pt>
                  <c:pt idx="74">
                    <c:v>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'Bypass Summary'!$AE$2:$AE$77</c:f>
              <c:strCache>
                <c:ptCount val="75"/>
                <c:pt idx="0">
                  <c:v>RQW</c:v>
                </c:pt>
                <c:pt idx="1">
                  <c:v>7A1</c:v>
                </c:pt>
                <c:pt idx="2">
                  <c:v>RA9</c:v>
                </c:pt>
                <c:pt idx="3">
                  <c:v>RBZ</c:v>
                </c:pt>
                <c:pt idx="4">
                  <c:v>RCB</c:v>
                </c:pt>
                <c:pt idx="5">
                  <c:v>RH8</c:v>
                </c:pt>
                <c:pt idx="6">
                  <c:v>RXW</c:v>
                </c:pt>
                <c:pt idx="7">
                  <c:v>RVJ</c:v>
                </c:pt>
                <c:pt idx="8">
                  <c:v>RVV</c:v>
                </c:pt>
                <c:pt idx="9">
                  <c:v>RWP</c:v>
                </c:pt>
                <c:pt idx="10">
                  <c:v>RTR</c:v>
                </c:pt>
                <c:pt idx="11">
                  <c:v>RTK</c:v>
                </c:pt>
                <c:pt idx="12">
                  <c:v>RBA</c:v>
                </c:pt>
                <c:pt idx="13">
                  <c:v>RDE</c:v>
                </c:pt>
                <c:pt idx="14">
                  <c:v>RNA</c:v>
                </c:pt>
                <c:pt idx="15">
                  <c:v>SN999</c:v>
                </c:pt>
                <c:pt idx="16">
                  <c:v>SS999</c:v>
                </c:pt>
                <c:pt idx="17">
                  <c:v>SV999</c:v>
                </c:pt>
                <c:pt idx="18">
                  <c:v>RC1</c:v>
                </c:pt>
                <c:pt idx="19">
                  <c:v>RDZ</c:v>
                </c:pt>
                <c:pt idx="20">
                  <c:v>RNS</c:v>
                </c:pt>
                <c:pt idx="21">
                  <c:v>RXR</c:v>
                </c:pt>
                <c:pt idx="22">
                  <c:v>R1K</c:v>
                </c:pt>
                <c:pt idx="23">
                  <c:v>SH999</c:v>
                </c:pt>
                <c:pt idx="24">
                  <c:v>RWH</c:v>
                </c:pt>
                <c:pt idx="25">
                  <c:v>REF</c:v>
                </c:pt>
                <c:pt idx="26">
                  <c:v>RX1</c:v>
                </c:pt>
                <c:pt idx="27">
                  <c:v>RDD</c:v>
                </c:pt>
                <c:pt idx="28">
                  <c:v>RJR</c:v>
                </c:pt>
                <c:pt idx="29">
                  <c:v>RDU</c:v>
                </c:pt>
                <c:pt idx="30">
                  <c:v>RPA</c:v>
                </c:pt>
                <c:pt idx="31">
                  <c:v>RTH</c:v>
                </c:pt>
                <c:pt idx="32">
                  <c:v>RNL</c:v>
                </c:pt>
                <c:pt idx="33">
                  <c:v>RTE</c:v>
                </c:pt>
                <c:pt idx="34">
                  <c:v>RXN</c:v>
                </c:pt>
                <c:pt idx="35">
                  <c:v>ZT001</c:v>
                </c:pt>
                <c:pt idx="36">
                  <c:v>RW6</c:v>
                </c:pt>
                <c:pt idx="37">
                  <c:v>RWY</c:v>
                </c:pt>
                <c:pt idx="38">
                  <c:v>RJ1</c:v>
                </c:pt>
                <c:pt idx="39">
                  <c:v>RKB</c:v>
                </c:pt>
                <c:pt idx="40">
                  <c:v>RHQ</c:v>
                </c:pt>
                <c:pt idx="41">
                  <c:v>RQ8</c:v>
                </c:pt>
                <c:pt idx="42">
                  <c:v>R1H</c:v>
                </c:pt>
                <c:pt idx="43">
                  <c:v>RM1</c:v>
                </c:pt>
                <c:pt idx="44">
                  <c:v>7A6</c:v>
                </c:pt>
                <c:pt idx="45">
                  <c:v>RHM</c:v>
                </c:pt>
                <c:pt idx="46">
                  <c:v>RRK</c:v>
                </c:pt>
                <c:pt idx="47">
                  <c:v>RJE</c:v>
                </c:pt>
                <c:pt idx="48">
                  <c:v>SG999</c:v>
                </c:pt>
                <c:pt idx="49">
                  <c:v>RWE</c:v>
                </c:pt>
                <c:pt idx="50">
                  <c:v>RP5</c:v>
                </c:pt>
                <c:pt idx="51">
                  <c:v>RJZ</c:v>
                </c:pt>
                <c:pt idx="52">
                  <c:v>RAL</c:v>
                </c:pt>
                <c:pt idx="53">
                  <c:v>RK9</c:v>
                </c:pt>
                <c:pt idx="54">
                  <c:v>ST999</c:v>
                </c:pt>
                <c:pt idx="55">
                  <c:v>RAJ</c:v>
                </c:pt>
                <c:pt idx="56">
                  <c:v>RGT</c:v>
                </c:pt>
                <c:pt idx="57">
                  <c:v>RJ7</c:v>
                </c:pt>
                <c:pt idx="58">
                  <c:v>RTG</c:v>
                </c:pt>
                <c:pt idx="59">
                  <c:v>RQ6</c:v>
                </c:pt>
                <c:pt idx="60">
                  <c:v>RR8</c:v>
                </c:pt>
                <c:pt idx="61">
                  <c:v>R0A</c:v>
                </c:pt>
                <c:pt idx="62">
                  <c:v>RLN</c:v>
                </c:pt>
                <c:pt idx="63">
                  <c:v>RXP</c:v>
                </c:pt>
                <c:pt idx="64">
                  <c:v>7A5</c:v>
                </c:pt>
                <c:pt idx="65">
                  <c:v>RXH</c:v>
                </c:pt>
                <c:pt idx="66">
                  <c:v>7A3</c:v>
                </c:pt>
                <c:pt idx="67">
                  <c:v>RWA</c:v>
                </c:pt>
                <c:pt idx="68">
                  <c:v>RWD</c:v>
                </c:pt>
                <c:pt idx="69">
                  <c:v>RTD</c:v>
                </c:pt>
                <c:pt idx="70">
                  <c:v>RAE</c:v>
                </c:pt>
                <c:pt idx="71">
                  <c:v>RYJ</c:v>
                </c:pt>
                <c:pt idx="72">
                  <c:v>RWG</c:v>
                </c:pt>
                <c:pt idx="73">
                  <c:v>SA999</c:v>
                </c:pt>
                <c:pt idx="74">
                  <c:v>RF4</c:v>
                </c:pt>
              </c:strCache>
            </c:strRef>
          </c:cat>
          <c:val>
            <c:numRef>
              <c:f>'Bypass Summary'!$AG$2:$AG$76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9</c:v>
                </c:pt>
                <c:pt idx="73">
                  <c:v>11</c:v>
                </c:pt>
                <c:pt idx="7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2-448E-A020-AB6DEF4FA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186136"/>
        <c:axId val="606183840"/>
      </c:lineChart>
      <c:scatterChart>
        <c:scatterStyle val="lineMarker"/>
        <c:varyColors val="0"/>
        <c:ser>
          <c:idx val="1"/>
          <c:order val="1"/>
          <c:tx>
            <c:strRef>
              <c:f>'Bypass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'Bypass Summary'!$AC$2</c:f>
                <c:numCache>
                  <c:formatCode>General</c:formatCode>
                  <c:ptCount val="1"/>
                  <c:pt idx="0">
                    <c:v>3</c:v>
                  </c:pt>
                </c:numCache>
              </c:numRef>
            </c:plus>
            <c:minus>
              <c:numRef>
                <c:f>'Bypass Summary'!$AB$2</c:f>
                <c:numCache>
                  <c:formatCode>General</c:formatCode>
                  <c:ptCount val="1"/>
                  <c:pt idx="0">
                    <c:v>3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'Bypass Summary'!$AD$2</c:f>
              <c:numCache>
                <c:formatCode>General</c:formatCode>
                <c:ptCount val="1"/>
                <c:pt idx="0">
                  <c:v>45</c:v>
                </c:pt>
              </c:numCache>
            </c:numRef>
          </c:xVal>
          <c:yVal>
            <c:numRef>
              <c:f>'Bypass Summary'!$AA$2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E2-448E-A020-AB6DEF4FA64F}"/>
            </c:ext>
          </c:extLst>
        </c:ser>
        <c:ser>
          <c:idx val="2"/>
          <c:order val="2"/>
          <c:tx>
            <c:v>VSGBI</c:v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'Bypass Summary'!$AL$2:$AL$76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'Bypass Summary'!$AM$2:$AM$76</c:f>
              <c:numCache>
                <c:formatCode>General</c:formatCode>
                <c:ptCount val="7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6E2-448E-A020-AB6DEF4FA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catAx>
        <c:axId val="60618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auto val="1"/>
        <c:lblAlgn val="ctr"/>
        <c:lblOffset val="100"/>
        <c:noMultiLvlLbl val="0"/>
      </c:catAx>
      <c:valAx>
        <c:axId val="606183840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'Lower Limb Bypass'!$E$1</c:f>
              <c:strCache>
                <c:ptCount val="1"/>
                <c:pt idx="0">
                  <c:v>% Adjusted in-hospital mortality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'Lower Limb Bypass'!$C$2:$C$83</c:f>
              <c:numCache>
                <c:formatCode>General</c:formatCode>
                <c:ptCount val="82"/>
                <c:pt idx="0">
                  <c:v>218</c:v>
                </c:pt>
                <c:pt idx="1">
                  <c:v>189</c:v>
                </c:pt>
                <c:pt idx="2">
                  <c:v>101</c:v>
                </c:pt>
                <c:pt idx="3">
                  <c:v>226</c:v>
                </c:pt>
                <c:pt idx="4">
                  <c:v>25</c:v>
                </c:pt>
                <c:pt idx="5">
                  <c:v>135</c:v>
                </c:pt>
                <c:pt idx="6">
                  <c:v>563</c:v>
                </c:pt>
                <c:pt idx="7">
                  <c:v>50</c:v>
                </c:pt>
                <c:pt idx="8">
                  <c:v>240</c:v>
                </c:pt>
                <c:pt idx="9">
                  <c:v>157</c:v>
                </c:pt>
                <c:pt idx="10">
                  <c:v>126</c:v>
                </c:pt>
                <c:pt idx="11">
                  <c:v>336</c:v>
                </c:pt>
                <c:pt idx="12">
                  <c:v>19</c:v>
                </c:pt>
                <c:pt idx="13">
                  <c:v>69</c:v>
                </c:pt>
                <c:pt idx="14">
                  <c:v>340</c:v>
                </c:pt>
                <c:pt idx="15">
                  <c:v>96</c:v>
                </c:pt>
                <c:pt idx="16">
                  <c:v>57</c:v>
                </c:pt>
                <c:pt idx="17">
                  <c:v>177</c:v>
                </c:pt>
                <c:pt idx="18">
                  <c:v>15</c:v>
                </c:pt>
                <c:pt idx="19">
                  <c:v>93</c:v>
                </c:pt>
                <c:pt idx="20">
                  <c:v>89</c:v>
                </c:pt>
                <c:pt idx="21">
                  <c:v>249</c:v>
                </c:pt>
                <c:pt idx="22">
                  <c:v>311</c:v>
                </c:pt>
                <c:pt idx="23">
                  <c:v>539</c:v>
                </c:pt>
                <c:pt idx="24">
                  <c:v>199</c:v>
                </c:pt>
                <c:pt idx="25">
                  <c:v>460</c:v>
                </c:pt>
                <c:pt idx="26">
                  <c:v>328</c:v>
                </c:pt>
                <c:pt idx="27">
                  <c:v>86</c:v>
                </c:pt>
                <c:pt idx="28">
                  <c:v>319</c:v>
                </c:pt>
                <c:pt idx="29">
                  <c:v>203</c:v>
                </c:pt>
                <c:pt idx="30">
                  <c:v>341</c:v>
                </c:pt>
                <c:pt idx="31">
                  <c:v>142</c:v>
                </c:pt>
                <c:pt idx="32">
                  <c:v>222</c:v>
                </c:pt>
                <c:pt idx="33">
                  <c:v>129</c:v>
                </c:pt>
                <c:pt idx="34">
                  <c:v>158</c:v>
                </c:pt>
                <c:pt idx="35">
                  <c:v>132</c:v>
                </c:pt>
                <c:pt idx="36">
                  <c:v>19</c:v>
                </c:pt>
                <c:pt idx="37">
                  <c:v>21</c:v>
                </c:pt>
                <c:pt idx="38">
                  <c:v>30</c:v>
                </c:pt>
                <c:pt idx="39">
                  <c:v>258</c:v>
                </c:pt>
                <c:pt idx="40">
                  <c:v>152</c:v>
                </c:pt>
                <c:pt idx="41">
                  <c:v>118</c:v>
                </c:pt>
                <c:pt idx="42">
                  <c:v>163</c:v>
                </c:pt>
                <c:pt idx="43">
                  <c:v>30</c:v>
                </c:pt>
                <c:pt idx="44">
                  <c:v>54</c:v>
                </c:pt>
                <c:pt idx="45">
                  <c:v>161</c:v>
                </c:pt>
                <c:pt idx="46">
                  <c:v>112</c:v>
                </c:pt>
                <c:pt idx="47">
                  <c:v>654</c:v>
                </c:pt>
                <c:pt idx="48">
                  <c:v>209</c:v>
                </c:pt>
                <c:pt idx="49">
                  <c:v>169</c:v>
                </c:pt>
                <c:pt idx="50">
                  <c:v>32</c:v>
                </c:pt>
                <c:pt idx="51">
                  <c:v>314</c:v>
                </c:pt>
                <c:pt idx="52">
                  <c:v>123</c:v>
                </c:pt>
                <c:pt idx="53">
                  <c:v>603</c:v>
                </c:pt>
                <c:pt idx="54">
                  <c:v>77</c:v>
                </c:pt>
                <c:pt idx="55">
                  <c:v>206</c:v>
                </c:pt>
                <c:pt idx="56">
                  <c:v>9</c:v>
                </c:pt>
                <c:pt idx="57">
                  <c:v>197</c:v>
                </c:pt>
                <c:pt idx="58">
                  <c:v>190</c:v>
                </c:pt>
                <c:pt idx="59">
                  <c:v>149</c:v>
                </c:pt>
                <c:pt idx="60">
                  <c:v>459</c:v>
                </c:pt>
                <c:pt idx="61">
                  <c:v>165</c:v>
                </c:pt>
                <c:pt idx="62">
                  <c:v>236</c:v>
                </c:pt>
                <c:pt idx="63">
                  <c:v>176</c:v>
                </c:pt>
                <c:pt idx="64">
                  <c:v>179</c:v>
                </c:pt>
                <c:pt idx="65">
                  <c:v>193</c:v>
                </c:pt>
                <c:pt idx="66">
                  <c:v>349</c:v>
                </c:pt>
                <c:pt idx="67">
                  <c:v>449</c:v>
                </c:pt>
                <c:pt idx="68">
                  <c:v>584</c:v>
                </c:pt>
                <c:pt idx="69">
                  <c:v>77</c:v>
                </c:pt>
                <c:pt idx="70">
                  <c:v>174</c:v>
                </c:pt>
                <c:pt idx="71">
                  <c:v>9</c:v>
                </c:pt>
                <c:pt idx="72">
                  <c:v>367</c:v>
                </c:pt>
                <c:pt idx="73">
                  <c:v>341</c:v>
                </c:pt>
                <c:pt idx="74">
                  <c:v>625</c:v>
                </c:pt>
                <c:pt idx="75">
                  <c:v>198</c:v>
                </c:pt>
                <c:pt idx="76">
                  <c:v>276</c:v>
                </c:pt>
                <c:pt idx="77">
                  <c:v>262</c:v>
                </c:pt>
                <c:pt idx="78">
                  <c:v>169</c:v>
                </c:pt>
                <c:pt idx="79">
                  <c:v>56</c:v>
                </c:pt>
                <c:pt idx="80">
                  <c:v>330</c:v>
                </c:pt>
                <c:pt idx="81">
                  <c:v>409</c:v>
                </c:pt>
              </c:numCache>
            </c:numRef>
          </c:xVal>
          <c:yVal>
            <c:numRef>
              <c:f>'Lower Limb Bypass'!$E$2:$E$83</c:f>
              <c:numCache>
                <c:formatCode>0.0%</c:formatCode>
                <c:ptCount val="82"/>
                <c:pt idx="0">
                  <c:v>2.6464089999999999E-2</c:v>
                </c:pt>
                <c:pt idx="1">
                  <c:v>3.7426179999999996E-2</c:v>
                </c:pt>
                <c:pt idx="2">
                  <c:v>6.8149860000000007E-2</c:v>
                </c:pt>
                <c:pt idx="3">
                  <c:v>2.4128360000000001E-2</c:v>
                </c:pt>
                <c:pt idx="4">
                  <c:v>4.4326999999999998E-2</c:v>
                </c:pt>
                <c:pt idx="5">
                  <c:v>3.5953529999999997E-2</c:v>
                </c:pt>
                <c:pt idx="6">
                  <c:v>2.64911E-2</c:v>
                </c:pt>
                <c:pt idx="7">
                  <c:v>4.3438629999999999E-2</c:v>
                </c:pt>
                <c:pt idx="8">
                  <c:v>2.600127E-2</c:v>
                </c:pt>
                <c:pt idx="9">
                  <c:v>8.740185000000001E-3</c:v>
                </c:pt>
                <c:pt idx="10">
                  <c:v>3.6778430000000001E-2</c:v>
                </c:pt>
                <c:pt idx="11">
                  <c:v>4.073541E-3</c:v>
                </c:pt>
                <c:pt idx="12">
                  <c:v>0</c:v>
                </c:pt>
                <c:pt idx="13">
                  <c:v>3.3487339999999997E-2</c:v>
                </c:pt>
                <c:pt idx="14">
                  <c:v>3.3447270000000001E-2</c:v>
                </c:pt>
                <c:pt idx="15">
                  <c:v>1.2827129999999999E-2</c:v>
                </c:pt>
                <c:pt idx="16">
                  <c:v>0</c:v>
                </c:pt>
                <c:pt idx="17">
                  <c:v>2.4385089999999998E-2</c:v>
                </c:pt>
                <c:pt idx="18">
                  <c:v>0</c:v>
                </c:pt>
                <c:pt idx="19">
                  <c:v>2.1880460000000001E-2</c:v>
                </c:pt>
                <c:pt idx="20">
                  <c:v>3.8243800000000001E-2</c:v>
                </c:pt>
                <c:pt idx="21">
                  <c:v>4.3728680000000006E-2</c:v>
                </c:pt>
                <c:pt idx="22">
                  <c:v>2.9557400000000001E-2</c:v>
                </c:pt>
                <c:pt idx="23">
                  <c:v>1.6569750000000001E-2</c:v>
                </c:pt>
                <c:pt idx="24">
                  <c:v>1.685445E-2</c:v>
                </c:pt>
                <c:pt idx="25">
                  <c:v>2.7228889999999999E-2</c:v>
                </c:pt>
                <c:pt idx="26">
                  <c:v>5.4415480000000002E-2</c:v>
                </c:pt>
                <c:pt idx="27">
                  <c:v>1.391596E-2</c:v>
                </c:pt>
                <c:pt idx="28">
                  <c:v>2.9952599999999999E-2</c:v>
                </c:pt>
                <c:pt idx="29">
                  <c:v>1.4606310000000001E-2</c:v>
                </c:pt>
                <c:pt idx="30">
                  <c:v>3.1147670000000002E-2</c:v>
                </c:pt>
                <c:pt idx="31">
                  <c:v>1.9175919999999999E-2</c:v>
                </c:pt>
                <c:pt idx="32">
                  <c:v>2.3583099999999999E-2</c:v>
                </c:pt>
                <c:pt idx="33">
                  <c:v>6.1780419999999996E-2</c:v>
                </c:pt>
                <c:pt idx="34">
                  <c:v>1.670452E-2</c:v>
                </c:pt>
                <c:pt idx="35">
                  <c:v>3.496055E-2</c:v>
                </c:pt>
                <c:pt idx="36">
                  <c:v>5.5366410000000005E-2</c:v>
                </c:pt>
                <c:pt idx="37">
                  <c:v>0.10864699999999999</c:v>
                </c:pt>
                <c:pt idx="38">
                  <c:v>0</c:v>
                </c:pt>
                <c:pt idx="39">
                  <c:v>1.9301159999999998E-2</c:v>
                </c:pt>
                <c:pt idx="40">
                  <c:v>2.567351E-2</c:v>
                </c:pt>
                <c:pt idx="41">
                  <c:v>1.7371959999999999E-2</c:v>
                </c:pt>
                <c:pt idx="42">
                  <c:v>2.0743399999999999E-2</c:v>
                </c:pt>
                <c:pt idx="43">
                  <c:v>0.11588369999999999</c:v>
                </c:pt>
                <c:pt idx="44">
                  <c:v>3.2631679999999996E-2</c:v>
                </c:pt>
                <c:pt idx="45">
                  <c:v>9.4070079999999997E-3</c:v>
                </c:pt>
                <c:pt idx="46">
                  <c:v>1.023579E-2</c:v>
                </c:pt>
                <c:pt idx="47">
                  <c:v>1.7949239999999998E-2</c:v>
                </c:pt>
                <c:pt idx="48">
                  <c:v>4.6184929999999999E-2</c:v>
                </c:pt>
                <c:pt idx="49">
                  <c:v>4.6878859999999994E-2</c:v>
                </c:pt>
                <c:pt idx="50">
                  <c:v>8.804453000000001E-2</c:v>
                </c:pt>
                <c:pt idx="51">
                  <c:v>3.8210069999999999E-2</c:v>
                </c:pt>
                <c:pt idx="52">
                  <c:v>3.7578230000000004E-2</c:v>
                </c:pt>
                <c:pt idx="53">
                  <c:v>1.481679E-2</c:v>
                </c:pt>
                <c:pt idx="54">
                  <c:v>9.6085770000000001E-2</c:v>
                </c:pt>
                <c:pt idx="55">
                  <c:v>2.3511199999999999E-2</c:v>
                </c:pt>
                <c:pt idx="56">
                  <c:v>0</c:v>
                </c:pt>
                <c:pt idx="57">
                  <c:v>2.5935640000000003E-2</c:v>
                </c:pt>
                <c:pt idx="58">
                  <c:v>1.2619409999999999E-2</c:v>
                </c:pt>
                <c:pt idx="59">
                  <c:v>3.2831680000000002E-2</c:v>
                </c:pt>
                <c:pt idx="60">
                  <c:v>2.9245630000000002E-2</c:v>
                </c:pt>
                <c:pt idx="61">
                  <c:v>2.487549E-2</c:v>
                </c:pt>
                <c:pt idx="62">
                  <c:v>3.3677079999999998E-2</c:v>
                </c:pt>
                <c:pt idx="63">
                  <c:v>1.8531889999999999E-2</c:v>
                </c:pt>
                <c:pt idx="64">
                  <c:v>2.1235669999999998E-2</c:v>
                </c:pt>
                <c:pt idx="65">
                  <c:v>2.2380029999999999E-2</c:v>
                </c:pt>
                <c:pt idx="66">
                  <c:v>2.762935E-2</c:v>
                </c:pt>
                <c:pt idx="67">
                  <c:v>1.1543190000000002E-2</c:v>
                </c:pt>
                <c:pt idx="68">
                  <c:v>2.2116920000000002E-2</c:v>
                </c:pt>
                <c:pt idx="69">
                  <c:v>0</c:v>
                </c:pt>
                <c:pt idx="70">
                  <c:v>2.0801310000000003E-2</c:v>
                </c:pt>
                <c:pt idx="71">
                  <c:v>0</c:v>
                </c:pt>
                <c:pt idx="72">
                  <c:v>5.0015560000000001E-2</c:v>
                </c:pt>
                <c:pt idx="73">
                  <c:v>2.0833539999999998E-2</c:v>
                </c:pt>
                <c:pt idx="74">
                  <c:v>2.7068289999999998E-2</c:v>
                </c:pt>
                <c:pt idx="75">
                  <c:v>8.2922399999999993E-3</c:v>
                </c:pt>
                <c:pt idx="76">
                  <c:v>3.8606420000000002E-2</c:v>
                </c:pt>
                <c:pt idx="77">
                  <c:v>7.1074119999999996E-3</c:v>
                </c:pt>
                <c:pt idx="78">
                  <c:v>6.5144340000000004E-3</c:v>
                </c:pt>
                <c:pt idx="79">
                  <c:v>1.8321110000000002E-2</c:v>
                </c:pt>
                <c:pt idx="80">
                  <c:v>3.5672559999999999E-2</c:v>
                </c:pt>
                <c:pt idx="81">
                  <c:v>3.5901509999999998E-2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3F-4104-BBA1-A6FFBC42C836}"/>
            </c:ext>
          </c:extLst>
        </c:ser>
        <c:ser>
          <c:idx val="1"/>
          <c:order val="1"/>
          <c:tx>
            <c:v>National Rate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'Bypass Funnel'!$B$3:$B$79</c:f>
              <c:numCache>
                <c:formatCode>General</c:formatCode>
                <c:ptCount val="77"/>
                <c:pt idx="0">
                  <c:v>9</c:v>
                </c:pt>
                <c:pt idx="1">
                  <c:v>15</c:v>
                </c:pt>
                <c:pt idx="2">
                  <c:v>19</c:v>
                </c:pt>
                <c:pt idx="3">
                  <c:v>21</c:v>
                </c:pt>
                <c:pt idx="4">
                  <c:v>25</c:v>
                </c:pt>
                <c:pt idx="5">
                  <c:v>30</c:v>
                </c:pt>
                <c:pt idx="6">
                  <c:v>32</c:v>
                </c:pt>
                <c:pt idx="7">
                  <c:v>50</c:v>
                </c:pt>
                <c:pt idx="8">
                  <c:v>54</c:v>
                </c:pt>
                <c:pt idx="9">
                  <c:v>56</c:v>
                </c:pt>
                <c:pt idx="10">
                  <c:v>57</c:v>
                </c:pt>
                <c:pt idx="11">
                  <c:v>69</c:v>
                </c:pt>
                <c:pt idx="12">
                  <c:v>77</c:v>
                </c:pt>
                <c:pt idx="13">
                  <c:v>86</c:v>
                </c:pt>
                <c:pt idx="14">
                  <c:v>89</c:v>
                </c:pt>
                <c:pt idx="15">
                  <c:v>93</c:v>
                </c:pt>
                <c:pt idx="16">
                  <c:v>96</c:v>
                </c:pt>
                <c:pt idx="17">
                  <c:v>101</c:v>
                </c:pt>
                <c:pt idx="18">
                  <c:v>112</c:v>
                </c:pt>
                <c:pt idx="19">
                  <c:v>118</c:v>
                </c:pt>
                <c:pt idx="20">
                  <c:v>123</c:v>
                </c:pt>
                <c:pt idx="21">
                  <c:v>126</c:v>
                </c:pt>
                <c:pt idx="22">
                  <c:v>129</c:v>
                </c:pt>
                <c:pt idx="23">
                  <c:v>132</c:v>
                </c:pt>
                <c:pt idx="24">
                  <c:v>135</c:v>
                </c:pt>
                <c:pt idx="25">
                  <c:v>142</c:v>
                </c:pt>
                <c:pt idx="26">
                  <c:v>149</c:v>
                </c:pt>
                <c:pt idx="27">
                  <c:v>152</c:v>
                </c:pt>
                <c:pt idx="28">
                  <c:v>157</c:v>
                </c:pt>
                <c:pt idx="29">
                  <c:v>158</c:v>
                </c:pt>
                <c:pt idx="30">
                  <c:v>161</c:v>
                </c:pt>
                <c:pt idx="31">
                  <c:v>163</c:v>
                </c:pt>
                <c:pt idx="32">
                  <c:v>165</c:v>
                </c:pt>
                <c:pt idx="33">
                  <c:v>169</c:v>
                </c:pt>
                <c:pt idx="34">
                  <c:v>174</c:v>
                </c:pt>
                <c:pt idx="35">
                  <c:v>176</c:v>
                </c:pt>
                <c:pt idx="36">
                  <c:v>177</c:v>
                </c:pt>
                <c:pt idx="37">
                  <c:v>179</c:v>
                </c:pt>
                <c:pt idx="38">
                  <c:v>189</c:v>
                </c:pt>
                <c:pt idx="39">
                  <c:v>190</c:v>
                </c:pt>
                <c:pt idx="40">
                  <c:v>193</c:v>
                </c:pt>
                <c:pt idx="41">
                  <c:v>197</c:v>
                </c:pt>
                <c:pt idx="42">
                  <c:v>198</c:v>
                </c:pt>
                <c:pt idx="43">
                  <c:v>199</c:v>
                </c:pt>
                <c:pt idx="44">
                  <c:v>203</c:v>
                </c:pt>
                <c:pt idx="45">
                  <c:v>206</c:v>
                </c:pt>
                <c:pt idx="46">
                  <c:v>209</c:v>
                </c:pt>
                <c:pt idx="47">
                  <c:v>218</c:v>
                </c:pt>
                <c:pt idx="48">
                  <c:v>222</c:v>
                </c:pt>
                <c:pt idx="49">
                  <c:v>226</c:v>
                </c:pt>
                <c:pt idx="50">
                  <c:v>236</c:v>
                </c:pt>
                <c:pt idx="51">
                  <c:v>240</c:v>
                </c:pt>
                <c:pt idx="52">
                  <c:v>249</c:v>
                </c:pt>
                <c:pt idx="53">
                  <c:v>258</c:v>
                </c:pt>
                <c:pt idx="54">
                  <c:v>262</c:v>
                </c:pt>
                <c:pt idx="55">
                  <c:v>276</c:v>
                </c:pt>
                <c:pt idx="56">
                  <c:v>311</c:v>
                </c:pt>
                <c:pt idx="57">
                  <c:v>314</c:v>
                </c:pt>
                <c:pt idx="58">
                  <c:v>319</c:v>
                </c:pt>
                <c:pt idx="59">
                  <c:v>328</c:v>
                </c:pt>
                <c:pt idx="60">
                  <c:v>330</c:v>
                </c:pt>
                <c:pt idx="61">
                  <c:v>336</c:v>
                </c:pt>
                <c:pt idx="62">
                  <c:v>340</c:v>
                </c:pt>
                <c:pt idx="63">
                  <c:v>341</c:v>
                </c:pt>
                <c:pt idx="64">
                  <c:v>349</c:v>
                </c:pt>
                <c:pt idx="65">
                  <c:v>367</c:v>
                </c:pt>
                <c:pt idx="66">
                  <c:v>409</c:v>
                </c:pt>
                <c:pt idx="67">
                  <c:v>449</c:v>
                </c:pt>
                <c:pt idx="68">
                  <c:v>459</c:v>
                </c:pt>
                <c:pt idx="69">
                  <c:v>460</c:v>
                </c:pt>
                <c:pt idx="70">
                  <c:v>539</c:v>
                </c:pt>
                <c:pt idx="71">
                  <c:v>563</c:v>
                </c:pt>
                <c:pt idx="72">
                  <c:v>584</c:v>
                </c:pt>
                <c:pt idx="73">
                  <c:v>603</c:v>
                </c:pt>
                <c:pt idx="74">
                  <c:v>625</c:v>
                </c:pt>
                <c:pt idx="75">
                  <c:v>654</c:v>
                </c:pt>
                <c:pt idx="76">
                  <c:v>700</c:v>
                </c:pt>
              </c:numCache>
            </c:numRef>
          </c:xVal>
          <c:yVal>
            <c:numRef>
              <c:f>'Bypass Funnel'!$D$3:$D$79</c:f>
              <c:numCache>
                <c:formatCode>0.0%</c:formatCode>
                <c:ptCount val="77"/>
                <c:pt idx="0">
                  <c:v>2.6000000000000002E-2</c:v>
                </c:pt>
                <c:pt idx="1">
                  <c:v>2.6000000000000002E-2</c:v>
                </c:pt>
                <c:pt idx="2">
                  <c:v>2.6000000000000002E-2</c:v>
                </c:pt>
                <c:pt idx="3">
                  <c:v>2.6000000000000002E-2</c:v>
                </c:pt>
                <c:pt idx="4">
                  <c:v>2.6000000000000002E-2</c:v>
                </c:pt>
                <c:pt idx="5">
                  <c:v>2.6000000000000002E-2</c:v>
                </c:pt>
                <c:pt idx="6">
                  <c:v>2.6000000000000002E-2</c:v>
                </c:pt>
                <c:pt idx="7">
                  <c:v>2.6000000000000002E-2</c:v>
                </c:pt>
                <c:pt idx="8">
                  <c:v>2.6000000000000002E-2</c:v>
                </c:pt>
                <c:pt idx="9">
                  <c:v>2.6000000000000002E-2</c:v>
                </c:pt>
                <c:pt idx="10">
                  <c:v>2.6000000000000002E-2</c:v>
                </c:pt>
                <c:pt idx="11">
                  <c:v>2.6000000000000002E-2</c:v>
                </c:pt>
                <c:pt idx="12">
                  <c:v>2.6000000000000002E-2</c:v>
                </c:pt>
                <c:pt idx="13">
                  <c:v>2.6000000000000002E-2</c:v>
                </c:pt>
                <c:pt idx="14">
                  <c:v>2.6000000000000002E-2</c:v>
                </c:pt>
                <c:pt idx="15">
                  <c:v>2.6000000000000002E-2</c:v>
                </c:pt>
                <c:pt idx="16">
                  <c:v>2.6000000000000002E-2</c:v>
                </c:pt>
                <c:pt idx="17">
                  <c:v>2.6000000000000002E-2</c:v>
                </c:pt>
                <c:pt idx="18">
                  <c:v>2.6000000000000002E-2</c:v>
                </c:pt>
                <c:pt idx="19">
                  <c:v>2.6000000000000002E-2</c:v>
                </c:pt>
                <c:pt idx="20">
                  <c:v>2.6000000000000002E-2</c:v>
                </c:pt>
                <c:pt idx="21">
                  <c:v>2.6000000000000002E-2</c:v>
                </c:pt>
                <c:pt idx="22">
                  <c:v>2.6000000000000002E-2</c:v>
                </c:pt>
                <c:pt idx="23">
                  <c:v>2.6000000000000002E-2</c:v>
                </c:pt>
                <c:pt idx="24">
                  <c:v>2.6000000000000002E-2</c:v>
                </c:pt>
                <c:pt idx="25">
                  <c:v>2.6000000000000002E-2</c:v>
                </c:pt>
                <c:pt idx="26">
                  <c:v>2.6000000000000002E-2</c:v>
                </c:pt>
                <c:pt idx="27">
                  <c:v>2.6000000000000002E-2</c:v>
                </c:pt>
                <c:pt idx="28">
                  <c:v>2.6000000000000002E-2</c:v>
                </c:pt>
                <c:pt idx="29">
                  <c:v>2.6000000000000002E-2</c:v>
                </c:pt>
                <c:pt idx="30">
                  <c:v>2.6000000000000002E-2</c:v>
                </c:pt>
                <c:pt idx="31">
                  <c:v>2.6000000000000002E-2</c:v>
                </c:pt>
                <c:pt idx="32">
                  <c:v>2.6000000000000002E-2</c:v>
                </c:pt>
                <c:pt idx="33">
                  <c:v>2.6000000000000002E-2</c:v>
                </c:pt>
                <c:pt idx="34">
                  <c:v>2.6000000000000002E-2</c:v>
                </c:pt>
                <c:pt idx="35">
                  <c:v>2.6000000000000002E-2</c:v>
                </c:pt>
                <c:pt idx="36">
                  <c:v>2.6000000000000002E-2</c:v>
                </c:pt>
                <c:pt idx="37">
                  <c:v>2.6000000000000002E-2</c:v>
                </c:pt>
                <c:pt idx="38">
                  <c:v>2.6000000000000002E-2</c:v>
                </c:pt>
                <c:pt idx="39">
                  <c:v>2.6000000000000002E-2</c:v>
                </c:pt>
                <c:pt idx="40">
                  <c:v>2.6000000000000002E-2</c:v>
                </c:pt>
                <c:pt idx="41">
                  <c:v>2.6000000000000002E-2</c:v>
                </c:pt>
                <c:pt idx="42">
                  <c:v>2.6000000000000002E-2</c:v>
                </c:pt>
                <c:pt idx="43">
                  <c:v>2.6000000000000002E-2</c:v>
                </c:pt>
                <c:pt idx="44">
                  <c:v>2.6000000000000002E-2</c:v>
                </c:pt>
                <c:pt idx="45">
                  <c:v>2.6000000000000002E-2</c:v>
                </c:pt>
                <c:pt idx="46">
                  <c:v>2.6000000000000002E-2</c:v>
                </c:pt>
                <c:pt idx="47">
                  <c:v>2.6000000000000002E-2</c:v>
                </c:pt>
                <c:pt idx="48">
                  <c:v>2.6000000000000002E-2</c:v>
                </c:pt>
                <c:pt idx="49">
                  <c:v>2.6000000000000002E-2</c:v>
                </c:pt>
                <c:pt idx="50">
                  <c:v>2.6000000000000002E-2</c:v>
                </c:pt>
                <c:pt idx="51">
                  <c:v>2.6000000000000002E-2</c:v>
                </c:pt>
                <c:pt idx="52">
                  <c:v>2.6000000000000002E-2</c:v>
                </c:pt>
                <c:pt idx="53">
                  <c:v>2.6000000000000002E-2</c:v>
                </c:pt>
                <c:pt idx="54">
                  <c:v>2.6000000000000002E-2</c:v>
                </c:pt>
                <c:pt idx="55">
                  <c:v>2.6000000000000002E-2</c:v>
                </c:pt>
                <c:pt idx="56">
                  <c:v>2.6000000000000002E-2</c:v>
                </c:pt>
                <c:pt idx="57">
                  <c:v>2.6000000000000002E-2</c:v>
                </c:pt>
                <c:pt idx="58">
                  <c:v>2.6000000000000002E-2</c:v>
                </c:pt>
                <c:pt idx="59">
                  <c:v>2.6000000000000002E-2</c:v>
                </c:pt>
                <c:pt idx="60">
                  <c:v>2.6000000000000002E-2</c:v>
                </c:pt>
                <c:pt idx="61">
                  <c:v>2.6000000000000002E-2</c:v>
                </c:pt>
                <c:pt idx="62">
                  <c:v>2.6000000000000002E-2</c:v>
                </c:pt>
                <c:pt idx="63">
                  <c:v>2.6000000000000002E-2</c:v>
                </c:pt>
                <c:pt idx="64">
                  <c:v>2.6000000000000002E-2</c:v>
                </c:pt>
                <c:pt idx="65">
                  <c:v>2.6000000000000002E-2</c:v>
                </c:pt>
                <c:pt idx="66">
                  <c:v>2.6000000000000002E-2</c:v>
                </c:pt>
                <c:pt idx="67">
                  <c:v>2.6000000000000002E-2</c:v>
                </c:pt>
                <c:pt idx="68">
                  <c:v>2.6000000000000002E-2</c:v>
                </c:pt>
                <c:pt idx="69">
                  <c:v>2.6000000000000002E-2</c:v>
                </c:pt>
                <c:pt idx="70">
                  <c:v>2.6000000000000002E-2</c:v>
                </c:pt>
                <c:pt idx="71">
                  <c:v>2.6000000000000002E-2</c:v>
                </c:pt>
                <c:pt idx="72">
                  <c:v>2.6000000000000002E-2</c:v>
                </c:pt>
                <c:pt idx="73">
                  <c:v>2.6000000000000002E-2</c:v>
                </c:pt>
                <c:pt idx="74">
                  <c:v>2.6000000000000002E-2</c:v>
                </c:pt>
                <c:pt idx="75">
                  <c:v>2.6000000000000002E-2</c:v>
                </c:pt>
                <c:pt idx="76">
                  <c:v>2.6000000000000002E-2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3F-4104-BBA1-A6FFBC42C836}"/>
            </c:ext>
          </c:extLst>
        </c:ser>
        <c:ser>
          <c:idx val="2"/>
          <c:order val="2"/>
          <c:tx>
            <c:v>Upper Funnel Limits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'Bypass Funnel'!$B$2:$B$79</c:f>
              <c:numCache>
                <c:formatCode>General</c:formatCode>
                <c:ptCount val="78"/>
                <c:pt idx="0">
                  <c:v>0</c:v>
                </c:pt>
                <c:pt idx="1">
                  <c:v>9</c:v>
                </c:pt>
                <c:pt idx="2">
                  <c:v>15</c:v>
                </c:pt>
                <c:pt idx="3">
                  <c:v>19</c:v>
                </c:pt>
                <c:pt idx="4">
                  <c:v>21</c:v>
                </c:pt>
                <c:pt idx="5">
                  <c:v>25</c:v>
                </c:pt>
                <c:pt idx="6">
                  <c:v>30</c:v>
                </c:pt>
                <c:pt idx="7">
                  <c:v>32</c:v>
                </c:pt>
                <c:pt idx="8">
                  <c:v>50</c:v>
                </c:pt>
                <c:pt idx="9">
                  <c:v>54</c:v>
                </c:pt>
                <c:pt idx="10">
                  <c:v>56</c:v>
                </c:pt>
                <c:pt idx="11">
                  <c:v>57</c:v>
                </c:pt>
                <c:pt idx="12">
                  <c:v>69</c:v>
                </c:pt>
                <c:pt idx="13">
                  <c:v>77</c:v>
                </c:pt>
                <c:pt idx="14">
                  <c:v>86</c:v>
                </c:pt>
                <c:pt idx="15">
                  <c:v>89</c:v>
                </c:pt>
                <c:pt idx="16">
                  <c:v>93</c:v>
                </c:pt>
                <c:pt idx="17">
                  <c:v>96</c:v>
                </c:pt>
                <c:pt idx="18">
                  <c:v>101</c:v>
                </c:pt>
                <c:pt idx="19">
                  <c:v>112</c:v>
                </c:pt>
                <c:pt idx="20">
                  <c:v>118</c:v>
                </c:pt>
                <c:pt idx="21">
                  <c:v>123</c:v>
                </c:pt>
                <c:pt idx="22">
                  <c:v>126</c:v>
                </c:pt>
                <c:pt idx="23">
                  <c:v>129</c:v>
                </c:pt>
                <c:pt idx="24">
                  <c:v>132</c:v>
                </c:pt>
                <c:pt idx="25">
                  <c:v>135</c:v>
                </c:pt>
                <c:pt idx="26">
                  <c:v>142</c:v>
                </c:pt>
                <c:pt idx="27">
                  <c:v>149</c:v>
                </c:pt>
                <c:pt idx="28">
                  <c:v>152</c:v>
                </c:pt>
                <c:pt idx="29">
                  <c:v>157</c:v>
                </c:pt>
                <c:pt idx="30">
                  <c:v>158</c:v>
                </c:pt>
                <c:pt idx="31">
                  <c:v>161</c:v>
                </c:pt>
                <c:pt idx="32">
                  <c:v>163</c:v>
                </c:pt>
                <c:pt idx="33">
                  <c:v>165</c:v>
                </c:pt>
                <c:pt idx="34">
                  <c:v>169</c:v>
                </c:pt>
                <c:pt idx="35">
                  <c:v>174</c:v>
                </c:pt>
                <c:pt idx="36">
                  <c:v>176</c:v>
                </c:pt>
                <c:pt idx="37">
                  <c:v>177</c:v>
                </c:pt>
                <c:pt idx="38">
                  <c:v>179</c:v>
                </c:pt>
                <c:pt idx="39">
                  <c:v>189</c:v>
                </c:pt>
                <c:pt idx="40">
                  <c:v>190</c:v>
                </c:pt>
                <c:pt idx="41">
                  <c:v>193</c:v>
                </c:pt>
                <c:pt idx="42">
                  <c:v>197</c:v>
                </c:pt>
                <c:pt idx="43">
                  <c:v>198</c:v>
                </c:pt>
                <c:pt idx="44">
                  <c:v>199</c:v>
                </c:pt>
                <c:pt idx="45">
                  <c:v>203</c:v>
                </c:pt>
                <c:pt idx="46">
                  <c:v>206</c:v>
                </c:pt>
                <c:pt idx="47">
                  <c:v>209</c:v>
                </c:pt>
                <c:pt idx="48">
                  <c:v>218</c:v>
                </c:pt>
                <c:pt idx="49">
                  <c:v>222</c:v>
                </c:pt>
                <c:pt idx="50">
                  <c:v>226</c:v>
                </c:pt>
                <c:pt idx="51">
                  <c:v>236</c:v>
                </c:pt>
                <c:pt idx="52">
                  <c:v>240</c:v>
                </c:pt>
                <c:pt idx="53">
                  <c:v>249</c:v>
                </c:pt>
                <c:pt idx="54">
                  <c:v>258</c:v>
                </c:pt>
                <c:pt idx="55">
                  <c:v>262</c:v>
                </c:pt>
                <c:pt idx="56">
                  <c:v>276</c:v>
                </c:pt>
                <c:pt idx="57">
                  <c:v>311</c:v>
                </c:pt>
                <c:pt idx="58">
                  <c:v>314</c:v>
                </c:pt>
                <c:pt idx="59">
                  <c:v>319</c:v>
                </c:pt>
                <c:pt idx="60">
                  <c:v>328</c:v>
                </c:pt>
                <c:pt idx="61">
                  <c:v>330</c:v>
                </c:pt>
                <c:pt idx="62">
                  <c:v>336</c:v>
                </c:pt>
                <c:pt idx="63">
                  <c:v>340</c:v>
                </c:pt>
                <c:pt idx="64">
                  <c:v>341</c:v>
                </c:pt>
                <c:pt idx="65">
                  <c:v>349</c:v>
                </c:pt>
                <c:pt idx="66">
                  <c:v>367</c:v>
                </c:pt>
                <c:pt idx="67">
                  <c:v>409</c:v>
                </c:pt>
                <c:pt idx="68">
                  <c:v>449</c:v>
                </c:pt>
                <c:pt idx="69">
                  <c:v>459</c:v>
                </c:pt>
                <c:pt idx="70">
                  <c:v>460</c:v>
                </c:pt>
                <c:pt idx="71">
                  <c:v>539</c:v>
                </c:pt>
                <c:pt idx="72">
                  <c:v>563</c:v>
                </c:pt>
                <c:pt idx="73">
                  <c:v>584</c:v>
                </c:pt>
                <c:pt idx="74">
                  <c:v>603</c:v>
                </c:pt>
                <c:pt idx="75">
                  <c:v>625</c:v>
                </c:pt>
                <c:pt idx="76">
                  <c:v>654</c:v>
                </c:pt>
                <c:pt idx="77">
                  <c:v>700</c:v>
                </c:pt>
              </c:numCache>
            </c:numRef>
          </c:xVal>
          <c:yVal>
            <c:numRef>
              <c:f>'Bypass Funnel'!$C$2:$C$79</c:f>
              <c:numCache>
                <c:formatCode>0.00%</c:formatCode>
                <c:ptCount val="78"/>
                <c:pt idx="0">
                  <c:v>0.5</c:v>
                </c:pt>
                <c:pt idx="1">
                  <c:v>0.3632803</c:v>
                </c:pt>
                <c:pt idx="2">
                  <c:v>0.2612468</c:v>
                </c:pt>
                <c:pt idx="3">
                  <c:v>0.22507629999999998</c:v>
                </c:pt>
                <c:pt idx="4">
                  <c:v>0.21645539999999999</c:v>
                </c:pt>
                <c:pt idx="5">
                  <c:v>0.19332540000000001</c:v>
                </c:pt>
                <c:pt idx="6">
                  <c:v>0.1676279</c:v>
                </c:pt>
                <c:pt idx="7">
                  <c:v>0.16617280000000001</c:v>
                </c:pt>
                <c:pt idx="8">
                  <c:v>0.13155020000000001</c:v>
                </c:pt>
                <c:pt idx="9">
                  <c:v>0.12582309999999999</c:v>
                </c:pt>
                <c:pt idx="10">
                  <c:v>0.1227437</c:v>
                </c:pt>
                <c:pt idx="11">
                  <c:v>0.1211933</c:v>
                </c:pt>
                <c:pt idx="12">
                  <c:v>0.11148999999999999</c:v>
                </c:pt>
                <c:pt idx="13">
                  <c:v>0.1036837</c:v>
                </c:pt>
                <c:pt idx="14">
                  <c:v>0.10031739999999999</c:v>
                </c:pt>
                <c:pt idx="15">
                  <c:v>9.8489050000000009E-2</c:v>
                </c:pt>
                <c:pt idx="16">
                  <c:v>9.5793230000000007E-2</c:v>
                </c:pt>
                <c:pt idx="17">
                  <c:v>9.3686469999999994E-2</c:v>
                </c:pt>
                <c:pt idx="18">
                  <c:v>9.2890479999999997E-2</c:v>
                </c:pt>
                <c:pt idx="19">
                  <c:v>8.8309460000000006E-2</c:v>
                </c:pt>
                <c:pt idx="20">
                  <c:v>8.6250060000000003E-2</c:v>
                </c:pt>
                <c:pt idx="21">
                  <c:v>8.5365699999999989E-2</c:v>
                </c:pt>
                <c:pt idx="22">
                  <c:v>8.4513549999999993E-2</c:v>
                </c:pt>
                <c:pt idx="23">
                  <c:v>8.3508540000000006E-2</c:v>
                </c:pt>
                <c:pt idx="24">
                  <c:v>8.2400550000000003E-2</c:v>
                </c:pt>
                <c:pt idx="25">
                  <c:v>8.1226220000000002E-2</c:v>
                </c:pt>
                <c:pt idx="26">
                  <c:v>8.0252149999999994E-2</c:v>
                </c:pt>
                <c:pt idx="27">
                  <c:v>7.8724479999999999E-2</c:v>
                </c:pt>
                <c:pt idx="28">
                  <c:v>7.7884010000000004E-2</c:v>
                </c:pt>
                <c:pt idx="29">
                  <c:v>7.6347670000000006E-2</c:v>
                </c:pt>
                <c:pt idx="30">
                  <c:v>7.6184360000000007E-2</c:v>
                </c:pt>
                <c:pt idx="31">
                  <c:v>7.6060749999999996E-2</c:v>
                </c:pt>
                <c:pt idx="32">
                  <c:v>7.5867680000000007E-2</c:v>
                </c:pt>
                <c:pt idx="33">
                  <c:v>7.5603230000000007E-2</c:v>
                </c:pt>
                <c:pt idx="34">
                  <c:v>7.4906829999999994E-2</c:v>
                </c:pt>
                <c:pt idx="35">
                  <c:v>7.3814149999999995E-2</c:v>
                </c:pt>
                <c:pt idx="36">
                  <c:v>7.3329800000000001E-2</c:v>
                </c:pt>
                <c:pt idx="37">
                  <c:v>7.3080140000000002E-2</c:v>
                </c:pt>
                <c:pt idx="38">
                  <c:v>7.2568510000000003E-2</c:v>
                </c:pt>
                <c:pt idx="39">
                  <c:v>7.1740760000000001E-2</c:v>
                </c:pt>
                <c:pt idx="40">
                  <c:v>7.1595880000000001E-2</c:v>
                </c:pt>
                <c:pt idx="41">
                  <c:v>7.1108919999999992E-2</c:v>
                </c:pt>
                <c:pt idx="42">
                  <c:v>7.0363110000000006E-2</c:v>
                </c:pt>
                <c:pt idx="43">
                  <c:v>7.0163260000000005E-2</c:v>
                </c:pt>
                <c:pt idx="44">
                  <c:v>6.9959010000000002E-2</c:v>
                </c:pt>
                <c:pt idx="45">
                  <c:v>6.9349900000000006E-2</c:v>
                </c:pt>
                <c:pt idx="46">
                  <c:v>6.9245299999999996E-2</c:v>
                </c:pt>
                <c:pt idx="47">
                  <c:v>6.9023979999999999E-2</c:v>
                </c:pt>
                <c:pt idx="48">
                  <c:v>6.7877450000000006E-2</c:v>
                </c:pt>
                <c:pt idx="49">
                  <c:v>6.7215930000000007E-2</c:v>
                </c:pt>
                <c:pt idx="50">
                  <c:v>6.6703200000000004E-2</c:v>
                </c:pt>
                <c:pt idx="51">
                  <c:v>6.6078499999999998E-2</c:v>
                </c:pt>
                <c:pt idx="52">
                  <c:v>6.5615510000000002E-2</c:v>
                </c:pt>
                <c:pt idx="53">
                  <c:v>6.4425039999999989E-2</c:v>
                </c:pt>
                <c:pt idx="54">
                  <c:v>6.4025070000000003E-2</c:v>
                </c:pt>
                <c:pt idx="55">
                  <c:v>6.3665059999999996E-2</c:v>
                </c:pt>
                <c:pt idx="56">
                  <c:v>6.2388649999999997E-2</c:v>
                </c:pt>
                <c:pt idx="57">
                  <c:v>6.0078950000000006E-2</c:v>
                </c:pt>
                <c:pt idx="58">
                  <c:v>5.9833689999999995E-2</c:v>
                </c:pt>
                <c:pt idx="59">
                  <c:v>5.9368290000000004E-2</c:v>
                </c:pt>
                <c:pt idx="60">
                  <c:v>5.9014629999999998E-2</c:v>
                </c:pt>
                <c:pt idx="61">
                  <c:v>5.8932169999999999E-2</c:v>
                </c:pt>
                <c:pt idx="62">
                  <c:v>5.8587350000000003E-2</c:v>
                </c:pt>
                <c:pt idx="63">
                  <c:v>5.8292469999999999E-2</c:v>
                </c:pt>
                <c:pt idx="64">
                  <c:v>5.8212200000000006E-2</c:v>
                </c:pt>
                <c:pt idx="65">
                  <c:v>5.7734090000000002E-2</c:v>
                </c:pt>
                <c:pt idx="66">
                  <c:v>5.686687E-2</c:v>
                </c:pt>
                <c:pt idx="67">
                  <c:v>5.5126109999999999E-2</c:v>
                </c:pt>
                <c:pt idx="68">
                  <c:v>5.3426790000000002E-2</c:v>
                </c:pt>
                <c:pt idx="69">
                  <c:v>5.3267910000000002E-2</c:v>
                </c:pt>
                <c:pt idx="70">
                  <c:v>5.323949E-2</c:v>
                </c:pt>
                <c:pt idx="71">
                  <c:v>5.0903700000000003E-2</c:v>
                </c:pt>
                <c:pt idx="72">
                  <c:v>5.027744E-2</c:v>
                </c:pt>
                <c:pt idx="73">
                  <c:v>4.968235E-2</c:v>
                </c:pt>
                <c:pt idx="74">
                  <c:v>4.9365949999999999E-2</c:v>
                </c:pt>
                <c:pt idx="75">
                  <c:v>4.8930639999999997E-2</c:v>
                </c:pt>
                <c:pt idx="76">
                  <c:v>4.8356519999999993E-2</c:v>
                </c:pt>
                <c:pt idx="77">
                  <c:v>4.7496379999999998E-2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13F-4104-BBA1-A6FFBC42C836}"/>
            </c:ext>
          </c:extLst>
        </c:ser>
        <c:ser>
          <c:idx val="3"/>
          <c:order val="3"/>
          <c:tx>
            <c:strRef>
              <c:f>'Bypass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numRef>
              <c:f>'Bypass Summary'!$D$30</c:f>
              <c:numCache>
                <c:formatCode>General</c:formatCode>
                <c:ptCount val="1"/>
                <c:pt idx="0">
                  <c:v>218</c:v>
                </c:pt>
              </c:numCache>
            </c:numRef>
          </c:xVal>
          <c:yVal>
            <c:numRef>
              <c:f>'Bypass Summary'!$F$30</c:f>
              <c:numCache>
                <c:formatCode>0.0%</c:formatCode>
                <c:ptCount val="1"/>
                <c:pt idx="0">
                  <c:v>2.6464089999999999E-2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13F-4104-BBA1-A6FFBC42C836}"/>
            </c:ext>
          </c:extLst>
        </c:ser>
        <c:ser>
          <c:idx val="4"/>
          <c:order val="4"/>
          <c:tx>
            <c:v>Lower Funnel Limits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'Bypass Funnel'!$B$2:$B$79</c:f>
              <c:numCache>
                <c:formatCode>General</c:formatCode>
                <c:ptCount val="78"/>
                <c:pt idx="0">
                  <c:v>0</c:v>
                </c:pt>
                <c:pt idx="1">
                  <c:v>9</c:v>
                </c:pt>
                <c:pt idx="2">
                  <c:v>15</c:v>
                </c:pt>
                <c:pt idx="3">
                  <c:v>19</c:v>
                </c:pt>
                <c:pt idx="4">
                  <c:v>21</c:v>
                </c:pt>
                <c:pt idx="5">
                  <c:v>25</c:v>
                </c:pt>
                <c:pt idx="6">
                  <c:v>30</c:v>
                </c:pt>
                <c:pt idx="7">
                  <c:v>32</c:v>
                </c:pt>
                <c:pt idx="8">
                  <c:v>50</c:v>
                </c:pt>
                <c:pt idx="9">
                  <c:v>54</c:v>
                </c:pt>
                <c:pt idx="10">
                  <c:v>56</c:v>
                </c:pt>
                <c:pt idx="11">
                  <c:v>57</c:v>
                </c:pt>
                <c:pt idx="12">
                  <c:v>69</c:v>
                </c:pt>
                <c:pt idx="13">
                  <c:v>77</c:v>
                </c:pt>
                <c:pt idx="14">
                  <c:v>86</c:v>
                </c:pt>
                <c:pt idx="15">
                  <c:v>89</c:v>
                </c:pt>
                <c:pt idx="16">
                  <c:v>93</c:v>
                </c:pt>
                <c:pt idx="17">
                  <c:v>96</c:v>
                </c:pt>
                <c:pt idx="18">
                  <c:v>101</c:v>
                </c:pt>
                <c:pt idx="19">
                  <c:v>112</c:v>
                </c:pt>
                <c:pt idx="20">
                  <c:v>118</c:v>
                </c:pt>
                <c:pt idx="21">
                  <c:v>123</c:v>
                </c:pt>
                <c:pt idx="22">
                  <c:v>126</c:v>
                </c:pt>
                <c:pt idx="23">
                  <c:v>129</c:v>
                </c:pt>
                <c:pt idx="24">
                  <c:v>132</c:v>
                </c:pt>
                <c:pt idx="25">
                  <c:v>135</c:v>
                </c:pt>
                <c:pt idx="26">
                  <c:v>142</c:v>
                </c:pt>
                <c:pt idx="27">
                  <c:v>149</c:v>
                </c:pt>
                <c:pt idx="28">
                  <c:v>152</c:v>
                </c:pt>
                <c:pt idx="29">
                  <c:v>157</c:v>
                </c:pt>
                <c:pt idx="30">
                  <c:v>158</c:v>
                </c:pt>
                <c:pt idx="31">
                  <c:v>161</c:v>
                </c:pt>
                <c:pt idx="32">
                  <c:v>163</c:v>
                </c:pt>
                <c:pt idx="33">
                  <c:v>165</c:v>
                </c:pt>
                <c:pt idx="34">
                  <c:v>169</c:v>
                </c:pt>
                <c:pt idx="35">
                  <c:v>174</c:v>
                </c:pt>
                <c:pt idx="36">
                  <c:v>176</c:v>
                </c:pt>
                <c:pt idx="37">
                  <c:v>177</c:v>
                </c:pt>
                <c:pt idx="38">
                  <c:v>179</c:v>
                </c:pt>
                <c:pt idx="39">
                  <c:v>189</c:v>
                </c:pt>
                <c:pt idx="40">
                  <c:v>190</c:v>
                </c:pt>
                <c:pt idx="41">
                  <c:v>193</c:v>
                </c:pt>
                <c:pt idx="42">
                  <c:v>197</c:v>
                </c:pt>
                <c:pt idx="43">
                  <c:v>198</c:v>
                </c:pt>
                <c:pt idx="44">
                  <c:v>199</c:v>
                </c:pt>
                <c:pt idx="45">
                  <c:v>203</c:v>
                </c:pt>
                <c:pt idx="46">
                  <c:v>206</c:v>
                </c:pt>
                <c:pt idx="47">
                  <c:v>209</c:v>
                </c:pt>
                <c:pt idx="48">
                  <c:v>218</c:v>
                </c:pt>
                <c:pt idx="49">
                  <c:v>222</c:v>
                </c:pt>
                <c:pt idx="50">
                  <c:v>226</c:v>
                </c:pt>
                <c:pt idx="51">
                  <c:v>236</c:v>
                </c:pt>
                <c:pt idx="52">
                  <c:v>240</c:v>
                </c:pt>
                <c:pt idx="53">
                  <c:v>249</c:v>
                </c:pt>
                <c:pt idx="54">
                  <c:v>258</c:v>
                </c:pt>
                <c:pt idx="55">
                  <c:v>262</c:v>
                </c:pt>
                <c:pt idx="56">
                  <c:v>276</c:v>
                </c:pt>
                <c:pt idx="57">
                  <c:v>311</c:v>
                </c:pt>
                <c:pt idx="58">
                  <c:v>314</c:v>
                </c:pt>
                <c:pt idx="59">
                  <c:v>319</c:v>
                </c:pt>
                <c:pt idx="60">
                  <c:v>328</c:v>
                </c:pt>
                <c:pt idx="61">
                  <c:v>330</c:v>
                </c:pt>
                <c:pt idx="62">
                  <c:v>336</c:v>
                </c:pt>
                <c:pt idx="63">
                  <c:v>340</c:v>
                </c:pt>
                <c:pt idx="64">
                  <c:v>341</c:v>
                </c:pt>
                <c:pt idx="65">
                  <c:v>349</c:v>
                </c:pt>
                <c:pt idx="66">
                  <c:v>367</c:v>
                </c:pt>
                <c:pt idx="67">
                  <c:v>409</c:v>
                </c:pt>
                <c:pt idx="68">
                  <c:v>449</c:v>
                </c:pt>
                <c:pt idx="69">
                  <c:v>459</c:v>
                </c:pt>
                <c:pt idx="70">
                  <c:v>460</c:v>
                </c:pt>
                <c:pt idx="71">
                  <c:v>539</c:v>
                </c:pt>
                <c:pt idx="72">
                  <c:v>563</c:v>
                </c:pt>
                <c:pt idx="73">
                  <c:v>584</c:v>
                </c:pt>
                <c:pt idx="74">
                  <c:v>603</c:v>
                </c:pt>
                <c:pt idx="75">
                  <c:v>625</c:v>
                </c:pt>
                <c:pt idx="76">
                  <c:v>654</c:v>
                </c:pt>
                <c:pt idx="77">
                  <c:v>700</c:v>
                </c:pt>
              </c:numCache>
            </c:numRef>
          </c:xVal>
          <c:yVal>
            <c:numRef>
              <c:f>'Bypass Funnel'!$E$2:$E$79</c:f>
              <c:numCache>
                <c:formatCode>0.00%</c:formatCode>
                <c:ptCount val="7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 formatCode="0.000%">
                  <c:v>3.4404000000023417E-5</c:v>
                </c:pt>
                <c:pt idx="56">
                  <c:v>2.6472499999997013E-4</c:v>
                </c:pt>
                <c:pt idx="57">
                  <c:v>1.1185050000000274E-3</c:v>
                </c:pt>
                <c:pt idx="58">
                  <c:v>1.2196400000000552E-3</c:v>
                </c:pt>
                <c:pt idx="59">
                  <c:v>1.4016680000000293E-3</c:v>
                </c:pt>
                <c:pt idx="60">
                  <c:v>1.7776979999999298E-3</c:v>
                </c:pt>
                <c:pt idx="61">
                  <c:v>1.8707919999999944E-3</c:v>
                </c:pt>
                <c:pt idx="62">
                  <c:v>2.1737140000000466E-3</c:v>
                </c:pt>
                <c:pt idx="63">
                  <c:v>2.3972329999999431E-3</c:v>
                </c:pt>
                <c:pt idx="64">
                  <c:v>2.4560390000000609E-3</c:v>
                </c:pt>
                <c:pt idx="65">
                  <c:v>2.8882839999999988E-3</c:v>
                </c:pt>
                <c:pt idx="66">
                  <c:v>3.0864350000000228E-3</c:v>
                </c:pt>
                <c:pt idx="67">
                  <c:v>4.100981999999931E-3</c:v>
                </c:pt>
                <c:pt idx="68">
                  <c:v>4.967723000000035E-3</c:v>
                </c:pt>
                <c:pt idx="69">
                  <c:v>5.1282220000000225E-3</c:v>
                </c:pt>
                <c:pt idx="70">
                  <c:v>5.1468359999999793E-3</c:v>
                </c:pt>
                <c:pt idx="71">
                  <c:v>6.6333290000000038E-3</c:v>
                </c:pt>
                <c:pt idx="72">
                  <c:v>7.1841569999999419E-3</c:v>
                </c:pt>
                <c:pt idx="73">
                  <c:v>7.3379429999999961E-3</c:v>
                </c:pt>
                <c:pt idx="74">
                  <c:v>7.6158399999999918E-3</c:v>
                </c:pt>
                <c:pt idx="75">
                  <c:v>8.0618300000000424E-3</c:v>
                </c:pt>
                <c:pt idx="76">
                  <c:v>8.2783840000000448E-3</c:v>
                </c:pt>
                <c:pt idx="77">
                  <c:v>8.8723160000000693E-3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9F-4DF7-B07A-EA317F3C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98000"/>
        <c:axId val="578493408"/>
      </c:scatterChart>
      <c:valAx>
        <c:axId val="578498000"/>
        <c:scaling>
          <c:orientation val="minMax"/>
          <c:max val="7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</a:t>
                </a:r>
                <a:r>
                  <a:rPr lang="en-GB" baseline="0"/>
                  <a:t> of operations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3408"/>
        <c:crosses val="autoZero"/>
        <c:crossBetween val="midCat"/>
        <c:majorUnit val="50"/>
      </c:valAx>
      <c:valAx>
        <c:axId val="578493408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  <a:r>
                  <a:rPr lang="en-GB" baseline="0"/>
                  <a:t> In hospital deaths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8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Median delay from admission to angioplasty (days)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Admission to angioplasty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'Angioplasty Summary'!$AK$2:$AK$55</c:f>
                <c:numCache>
                  <c:formatCode>General</c:formatCode>
                  <c:ptCount val="54"/>
                  <c:pt idx="0">
                    <c:v>0</c:v>
                  </c:pt>
                  <c:pt idx="1">
                    <c:v>1</c:v>
                  </c:pt>
                  <c:pt idx="2">
                    <c:v>3</c:v>
                  </c:pt>
                  <c:pt idx="3">
                    <c:v>5</c:v>
                  </c:pt>
                  <c:pt idx="4">
                    <c:v>4</c:v>
                  </c:pt>
                  <c:pt idx="5">
                    <c:v>5</c:v>
                  </c:pt>
                  <c:pt idx="6">
                    <c:v>2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4</c:v>
                  </c:pt>
                  <c:pt idx="11">
                    <c:v>4</c:v>
                  </c:pt>
                  <c:pt idx="12">
                    <c:v>5</c:v>
                  </c:pt>
                  <c:pt idx="13">
                    <c:v>3</c:v>
                  </c:pt>
                  <c:pt idx="14">
                    <c:v>4</c:v>
                  </c:pt>
                  <c:pt idx="15">
                    <c:v>3</c:v>
                  </c:pt>
                  <c:pt idx="16">
                    <c:v>3</c:v>
                  </c:pt>
                  <c:pt idx="17">
                    <c:v>5</c:v>
                  </c:pt>
                  <c:pt idx="18">
                    <c:v>3</c:v>
                  </c:pt>
                  <c:pt idx="19">
                    <c:v>4</c:v>
                  </c:pt>
                  <c:pt idx="20">
                    <c:v>5</c:v>
                  </c:pt>
                  <c:pt idx="21">
                    <c:v>7</c:v>
                  </c:pt>
                  <c:pt idx="22">
                    <c:v>3</c:v>
                  </c:pt>
                  <c:pt idx="23">
                    <c:v>3</c:v>
                  </c:pt>
                  <c:pt idx="24">
                    <c:v>3</c:v>
                  </c:pt>
                  <c:pt idx="25">
                    <c:v>4</c:v>
                  </c:pt>
                  <c:pt idx="26">
                    <c:v>2</c:v>
                  </c:pt>
                  <c:pt idx="27">
                    <c:v>4</c:v>
                  </c:pt>
                  <c:pt idx="28">
                    <c:v>4</c:v>
                  </c:pt>
                  <c:pt idx="29">
                    <c:v>5</c:v>
                  </c:pt>
                  <c:pt idx="30">
                    <c:v>6</c:v>
                  </c:pt>
                  <c:pt idx="31">
                    <c:v>8</c:v>
                  </c:pt>
                  <c:pt idx="32">
                    <c:v>6</c:v>
                  </c:pt>
                  <c:pt idx="33">
                    <c:v>2</c:v>
                  </c:pt>
                  <c:pt idx="34">
                    <c:v>3</c:v>
                  </c:pt>
                  <c:pt idx="35">
                    <c:v>5</c:v>
                  </c:pt>
                  <c:pt idx="36">
                    <c:v>5</c:v>
                  </c:pt>
                  <c:pt idx="37">
                    <c:v>6</c:v>
                  </c:pt>
                  <c:pt idx="38">
                    <c:v>8</c:v>
                  </c:pt>
                  <c:pt idx="39">
                    <c:v>3</c:v>
                  </c:pt>
                  <c:pt idx="40">
                    <c:v>8</c:v>
                  </c:pt>
                  <c:pt idx="41">
                    <c:v>4</c:v>
                  </c:pt>
                  <c:pt idx="42">
                    <c:v>6</c:v>
                  </c:pt>
                  <c:pt idx="43">
                    <c:v>7</c:v>
                  </c:pt>
                  <c:pt idx="44">
                    <c:v>4</c:v>
                  </c:pt>
                  <c:pt idx="45">
                    <c:v>6</c:v>
                  </c:pt>
                  <c:pt idx="46">
                    <c:v>10</c:v>
                  </c:pt>
                  <c:pt idx="47">
                    <c:v>6</c:v>
                  </c:pt>
                  <c:pt idx="48">
                    <c:v>7</c:v>
                  </c:pt>
                  <c:pt idx="49">
                    <c:v>9</c:v>
                  </c:pt>
                  <c:pt idx="50">
                    <c:v>4</c:v>
                  </c:pt>
                  <c:pt idx="51">
                    <c:v>6</c:v>
                  </c:pt>
                  <c:pt idx="52">
                    <c:v>5</c:v>
                  </c:pt>
                  <c:pt idx="53">
                    <c:v>4</c:v>
                  </c:pt>
                </c:numCache>
              </c:numRef>
            </c:plus>
            <c:minus>
              <c:numRef>
                <c:f>'Angioplasty Summary'!$AI$2:$AI$55</c:f>
                <c:numCache>
                  <c:formatCode>General</c:formatCode>
                  <c:ptCount val="54"/>
                  <c:pt idx="0">
                    <c:v>0</c:v>
                  </c:pt>
                  <c:pt idx="1">
                    <c:v>0</c:v>
                  </c:pt>
                  <c:pt idx="2">
                    <c:v>2</c:v>
                  </c:pt>
                  <c:pt idx="3">
                    <c:v>2</c:v>
                  </c:pt>
                  <c:pt idx="4">
                    <c:v>1</c:v>
                  </c:pt>
                  <c:pt idx="5">
                    <c:v>1</c:v>
                  </c:pt>
                  <c:pt idx="6">
                    <c:v>3</c:v>
                  </c:pt>
                  <c:pt idx="7">
                    <c:v>2</c:v>
                  </c:pt>
                  <c:pt idx="8">
                    <c:v>2</c:v>
                  </c:pt>
                  <c:pt idx="9">
                    <c:v>2</c:v>
                  </c:pt>
                  <c:pt idx="10">
                    <c:v>2</c:v>
                  </c:pt>
                  <c:pt idx="11">
                    <c:v>2</c:v>
                  </c:pt>
                  <c:pt idx="12">
                    <c:v>2</c:v>
                  </c:pt>
                  <c:pt idx="13">
                    <c:v>3</c:v>
                  </c:pt>
                  <c:pt idx="14">
                    <c:v>3</c:v>
                  </c:pt>
                  <c:pt idx="15">
                    <c:v>2</c:v>
                  </c:pt>
                  <c:pt idx="16">
                    <c:v>2</c:v>
                  </c:pt>
                  <c:pt idx="17">
                    <c:v>1</c:v>
                  </c:pt>
                  <c:pt idx="18">
                    <c:v>4</c:v>
                  </c:pt>
                  <c:pt idx="19">
                    <c:v>4</c:v>
                  </c:pt>
                  <c:pt idx="20">
                    <c:v>4</c:v>
                  </c:pt>
                  <c:pt idx="21">
                    <c:v>4</c:v>
                  </c:pt>
                  <c:pt idx="22">
                    <c:v>3</c:v>
                  </c:pt>
                  <c:pt idx="23">
                    <c:v>3</c:v>
                  </c:pt>
                  <c:pt idx="24">
                    <c:v>3</c:v>
                  </c:pt>
                  <c:pt idx="25">
                    <c:v>3</c:v>
                  </c:pt>
                  <c:pt idx="26">
                    <c:v>2</c:v>
                  </c:pt>
                  <c:pt idx="27">
                    <c:v>2</c:v>
                  </c:pt>
                  <c:pt idx="28">
                    <c:v>1</c:v>
                  </c:pt>
                  <c:pt idx="29">
                    <c:v>5</c:v>
                  </c:pt>
                  <c:pt idx="30">
                    <c:v>5</c:v>
                  </c:pt>
                  <c:pt idx="31">
                    <c:v>5</c:v>
                  </c:pt>
                  <c:pt idx="32">
                    <c:v>4</c:v>
                  </c:pt>
                  <c:pt idx="33">
                    <c:v>3</c:v>
                  </c:pt>
                  <c:pt idx="34">
                    <c:v>3</c:v>
                  </c:pt>
                  <c:pt idx="35">
                    <c:v>3</c:v>
                  </c:pt>
                  <c:pt idx="36">
                    <c:v>3</c:v>
                  </c:pt>
                  <c:pt idx="37">
                    <c:v>3</c:v>
                  </c:pt>
                  <c:pt idx="38">
                    <c:v>3</c:v>
                  </c:pt>
                  <c:pt idx="39">
                    <c:v>1</c:v>
                  </c:pt>
                  <c:pt idx="40">
                    <c:v>5</c:v>
                  </c:pt>
                  <c:pt idx="41">
                    <c:v>4</c:v>
                  </c:pt>
                  <c:pt idx="42">
                    <c:v>4</c:v>
                  </c:pt>
                  <c:pt idx="43">
                    <c:v>4</c:v>
                  </c:pt>
                  <c:pt idx="44">
                    <c:v>3</c:v>
                  </c:pt>
                  <c:pt idx="45">
                    <c:v>2</c:v>
                  </c:pt>
                  <c:pt idx="46">
                    <c:v>6</c:v>
                  </c:pt>
                  <c:pt idx="47">
                    <c:v>4</c:v>
                  </c:pt>
                  <c:pt idx="48">
                    <c:v>4</c:v>
                  </c:pt>
                  <c:pt idx="49">
                    <c:v>4</c:v>
                  </c:pt>
                  <c:pt idx="50">
                    <c:v>3</c:v>
                  </c:pt>
                  <c:pt idx="51">
                    <c:v>2</c:v>
                  </c:pt>
                  <c:pt idx="52">
                    <c:v>7</c:v>
                  </c:pt>
                  <c:pt idx="53">
                    <c:v>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'Angioplasty Summary'!$AE$2:$AE$55</c:f>
              <c:strCache>
                <c:ptCount val="54"/>
                <c:pt idx="0">
                  <c:v>RC1</c:v>
                </c:pt>
                <c:pt idx="1">
                  <c:v>RTK</c:v>
                </c:pt>
                <c:pt idx="2">
                  <c:v>RBA</c:v>
                </c:pt>
                <c:pt idx="3">
                  <c:v>RVV</c:v>
                </c:pt>
                <c:pt idx="4">
                  <c:v>RVJ</c:v>
                </c:pt>
                <c:pt idx="5">
                  <c:v>RTH</c:v>
                </c:pt>
                <c:pt idx="6">
                  <c:v>RXW</c:v>
                </c:pt>
                <c:pt idx="7">
                  <c:v>RP5</c:v>
                </c:pt>
                <c:pt idx="8">
                  <c:v>RWA</c:v>
                </c:pt>
                <c:pt idx="9">
                  <c:v>RJ7</c:v>
                </c:pt>
                <c:pt idx="10">
                  <c:v>RXR</c:v>
                </c:pt>
                <c:pt idx="11">
                  <c:v>SN999</c:v>
                </c:pt>
                <c:pt idx="12">
                  <c:v>RCB</c:v>
                </c:pt>
                <c:pt idx="13">
                  <c:v>RHQ</c:v>
                </c:pt>
                <c:pt idx="14">
                  <c:v>SH999</c:v>
                </c:pt>
                <c:pt idx="15">
                  <c:v>RH8</c:v>
                </c:pt>
                <c:pt idx="16">
                  <c:v>RNA</c:v>
                </c:pt>
                <c:pt idx="17">
                  <c:v>SG999</c:v>
                </c:pt>
                <c:pt idx="18">
                  <c:v>RYJ</c:v>
                </c:pt>
                <c:pt idx="19">
                  <c:v>RDU</c:v>
                </c:pt>
                <c:pt idx="20">
                  <c:v>R1K</c:v>
                </c:pt>
                <c:pt idx="21">
                  <c:v>ST999</c:v>
                </c:pt>
                <c:pt idx="22">
                  <c:v>7A6</c:v>
                </c:pt>
                <c:pt idx="23">
                  <c:v>RNL</c:v>
                </c:pt>
                <c:pt idx="24">
                  <c:v>ZT001</c:v>
                </c:pt>
                <c:pt idx="25">
                  <c:v>R0A</c:v>
                </c:pt>
                <c:pt idx="26">
                  <c:v>RW6</c:v>
                </c:pt>
                <c:pt idx="27">
                  <c:v>RXN</c:v>
                </c:pt>
                <c:pt idx="28">
                  <c:v>RKB</c:v>
                </c:pt>
                <c:pt idx="29">
                  <c:v>RK9</c:v>
                </c:pt>
                <c:pt idx="30">
                  <c:v>RAL</c:v>
                </c:pt>
                <c:pt idx="31">
                  <c:v>RR7</c:v>
                </c:pt>
                <c:pt idx="32">
                  <c:v>RR8</c:v>
                </c:pt>
                <c:pt idx="33">
                  <c:v>RJ1</c:v>
                </c:pt>
                <c:pt idx="34">
                  <c:v>RWP</c:v>
                </c:pt>
                <c:pt idx="35">
                  <c:v>RRK</c:v>
                </c:pt>
                <c:pt idx="36">
                  <c:v>RTD</c:v>
                </c:pt>
                <c:pt idx="37">
                  <c:v>RJE</c:v>
                </c:pt>
                <c:pt idx="38">
                  <c:v>RQ8</c:v>
                </c:pt>
                <c:pt idx="39">
                  <c:v>SV999</c:v>
                </c:pt>
                <c:pt idx="40">
                  <c:v>RAJ</c:v>
                </c:pt>
                <c:pt idx="41">
                  <c:v>RTG</c:v>
                </c:pt>
                <c:pt idx="42">
                  <c:v>RPA</c:v>
                </c:pt>
                <c:pt idx="43">
                  <c:v>RWG</c:v>
                </c:pt>
                <c:pt idx="44">
                  <c:v>RF4</c:v>
                </c:pt>
                <c:pt idx="45">
                  <c:v>SY999</c:v>
                </c:pt>
                <c:pt idx="46">
                  <c:v>RWH</c:v>
                </c:pt>
                <c:pt idx="47">
                  <c:v>R1H</c:v>
                </c:pt>
                <c:pt idx="48">
                  <c:v>RDE</c:v>
                </c:pt>
                <c:pt idx="49">
                  <c:v>RMC</c:v>
                </c:pt>
                <c:pt idx="50">
                  <c:v>7A3</c:v>
                </c:pt>
                <c:pt idx="51">
                  <c:v>7A5</c:v>
                </c:pt>
                <c:pt idx="52">
                  <c:v>RL4</c:v>
                </c:pt>
                <c:pt idx="53">
                  <c:v>7A4</c:v>
                </c:pt>
              </c:strCache>
            </c:strRef>
          </c:cat>
          <c:val>
            <c:numRef>
              <c:f>'Angioplasty Summary'!$AG$2:$AG$56</c:f>
              <c:numCache>
                <c:formatCode>General</c:formatCode>
                <c:ptCount val="5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9</c:v>
                </c:pt>
                <c:pt idx="51">
                  <c:v>9</c:v>
                </c:pt>
                <c:pt idx="52">
                  <c:v>10</c:v>
                </c:pt>
                <c:pt idx="5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0-4ADC-A464-4B01F4503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186136"/>
        <c:axId val="606183840"/>
      </c:lineChart>
      <c:scatterChart>
        <c:scatterStyle val="lineMarker"/>
        <c:varyColors val="0"/>
        <c:ser>
          <c:idx val="1"/>
          <c:order val="1"/>
          <c:tx>
            <c:strRef>
              <c:f>'Angioplasty Summary'!$B$1</c:f>
              <c:strCache>
                <c:ptCount val="1"/>
                <c:pt idx="0">
                  <c:v>Aintree University Hospital NHS Foundation Trust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'Angioplasty Summary'!$AC$2</c:f>
                <c:numCache>
                  <c:formatCode>General</c:formatCode>
                  <c:ptCount val="1"/>
                  <c:pt idx="0">
                    <c:v>#N/A</c:v>
                  </c:pt>
                </c:numCache>
              </c:numRef>
            </c:plus>
            <c:minus>
              <c:numRef>
                <c:f>'Angioplasty Summary'!$AB$2</c:f>
                <c:numCache>
                  <c:formatCode>General</c:formatCode>
                  <c:ptCount val="1"/>
                  <c:pt idx="0">
                    <c:v>#N/A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'Angioplasty Summary'!$AD$2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'Angioplasty Summary'!$AA$2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10-4ADC-A464-4B01F45039C9}"/>
            </c:ext>
          </c:extLst>
        </c:ser>
        <c:ser>
          <c:idx val="2"/>
          <c:order val="2"/>
          <c:tx>
            <c:v>VSGBI</c:v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'Angioplasty Summary'!$AL$2:$AL$55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</c:numCache>
            </c:numRef>
          </c:xVal>
          <c:yVal>
            <c:numRef>
              <c:f>'Angioplasty Summary'!$AM$2:$AM$55</c:f>
              <c:numCache>
                <c:formatCode>General</c:formatCode>
                <c:ptCount val="5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10-4ADC-A464-4B01F4503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catAx>
        <c:axId val="60618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auto val="1"/>
        <c:lblAlgn val="ctr"/>
        <c:lblOffset val="100"/>
        <c:noMultiLvlLbl val="0"/>
      </c:catAx>
      <c:valAx>
        <c:axId val="606183840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9525</xdr:rowOff>
    </xdr:from>
    <xdr:to>
      <xdr:col>10</xdr:col>
      <xdr:colOff>885823</xdr:colOff>
      <xdr:row>26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47</xdr:row>
      <xdr:rowOff>95250</xdr:rowOff>
    </xdr:from>
    <xdr:to>
      <xdr:col>6</xdr:col>
      <xdr:colOff>1095375</xdr:colOff>
      <xdr:row>67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47624</xdr:colOff>
      <xdr:row>30</xdr:row>
      <xdr:rowOff>95251</xdr:rowOff>
    </xdr:from>
    <xdr:to>
      <xdr:col>10</xdr:col>
      <xdr:colOff>1095374</xdr:colOff>
      <xdr:row>47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13</xdr:col>
      <xdr:colOff>571500</xdr:colOff>
      <xdr:row>26</xdr:row>
      <xdr:rowOff>133349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6</xdr:col>
      <xdr:colOff>819150</xdr:colOff>
      <xdr:row>51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71004</xdr:colOff>
      <xdr:row>26</xdr:row>
      <xdr:rowOff>173182</xdr:rowOff>
    </xdr:from>
    <xdr:to>
      <xdr:col>17</xdr:col>
      <xdr:colOff>210415</xdr:colOff>
      <xdr:row>46</xdr:row>
      <xdr:rowOff>73602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85725</xdr:rowOff>
    </xdr:from>
    <xdr:to>
      <xdr:col>14</xdr:col>
      <xdr:colOff>19048</xdr:colOff>
      <xdr:row>27</xdr:row>
      <xdr:rowOff>28574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400050</xdr:colOff>
      <xdr:row>31</xdr:row>
      <xdr:rowOff>152400</xdr:rowOff>
    </xdr:from>
    <xdr:to>
      <xdr:col>7</xdr:col>
      <xdr:colOff>9525</xdr:colOff>
      <xdr:row>52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123825</xdr:rowOff>
    </xdr:from>
    <xdr:to>
      <xdr:col>16</xdr:col>
      <xdr:colOff>314323</xdr:colOff>
      <xdr:row>27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31</xdr:row>
      <xdr:rowOff>47625</xdr:rowOff>
    </xdr:from>
    <xdr:to>
      <xdr:col>8</xdr:col>
      <xdr:colOff>19050</xdr:colOff>
      <xdr:row>51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55</xdr:row>
      <xdr:rowOff>57150</xdr:rowOff>
    </xdr:from>
    <xdr:to>
      <xdr:col>16</xdr:col>
      <xdr:colOff>285748</xdr:colOff>
      <xdr:row>81</xdr:row>
      <xdr:rowOff>19049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1</xdr:row>
      <xdr:rowOff>38100</xdr:rowOff>
    </xdr:from>
    <xdr:to>
      <xdr:col>15</xdr:col>
      <xdr:colOff>561975</xdr:colOff>
      <xdr:row>26</xdr:row>
      <xdr:rowOff>171449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30</xdr:row>
      <xdr:rowOff>47625</xdr:rowOff>
    </xdr:from>
    <xdr:to>
      <xdr:col>7</xdr:col>
      <xdr:colOff>361950</xdr:colOff>
      <xdr:row>50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457200</xdr:colOff>
      <xdr:row>30</xdr:row>
      <xdr:rowOff>47624</xdr:rowOff>
    </xdr:from>
    <xdr:to>
      <xdr:col>15</xdr:col>
      <xdr:colOff>533400</xdr:colOff>
      <xdr:row>48</xdr:row>
      <xdr:rowOff>76199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tlVasReg/2018%20Annual%20Report/Ideas%20for%20Appendices/Newcastle%20Demo%20Apr%202019/NVR%20NHS%20Organisation%20Data%20Vie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A Summary"/>
      <sheetName val="AAA Summary"/>
      <sheetName val="AAA 2018 Report"/>
      <sheetName val="AAA 2017 Report"/>
      <sheetName val="AAA 2016 Report"/>
      <sheetName val="Carotid Endarterectomy"/>
      <sheetName val="AAA Limts"/>
      <sheetName val="CEA Limits"/>
      <sheetName val="AAA Funnel"/>
      <sheetName val="CEA Funn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8"/>
  <sheetViews>
    <sheetView showGridLines="0" tabSelected="1" zoomScaleNormal="100" workbookViewId="0">
      <selection activeCell="B1" sqref="B1"/>
    </sheetView>
  </sheetViews>
  <sheetFormatPr defaultRowHeight="15" x14ac:dyDescent="0.25"/>
  <cols>
    <col min="1" max="1" width="12.42578125" bestFit="1" customWidth="1"/>
    <col min="2" max="2" width="55.140625" bestFit="1" customWidth="1"/>
    <col min="3" max="3" width="11.42578125" bestFit="1" customWidth="1"/>
    <col min="4" max="4" width="10.28515625" bestFit="1" customWidth="1"/>
    <col min="5" max="5" width="8.5703125" customWidth="1"/>
    <col min="6" max="6" width="11.7109375" bestFit="1" customWidth="1"/>
    <col min="7" max="7" width="16.85546875" customWidth="1"/>
    <col min="8" max="8" width="22" customWidth="1"/>
    <col min="9" max="9" width="11.7109375" bestFit="1" customWidth="1"/>
    <col min="10" max="10" width="50" bestFit="1" customWidth="1"/>
    <col min="11" max="11" width="16.140625" customWidth="1"/>
    <col min="12" max="12" width="3" bestFit="1" customWidth="1"/>
    <col min="13" max="13" width="16.85546875" bestFit="1" customWidth="1"/>
    <col min="27" max="27" width="13.28515625" style="45" bestFit="1" customWidth="1"/>
    <col min="28" max="28" width="11.28515625" style="45" customWidth="1"/>
    <col min="29" max="29" width="11.85546875" style="45" customWidth="1"/>
    <col min="30" max="30" width="7.28515625" style="45" bestFit="1" customWidth="1"/>
    <col min="31" max="31" width="10.140625" style="45" bestFit="1" customWidth="1"/>
    <col min="32" max="32" width="63.7109375" style="45" bestFit="1" customWidth="1"/>
    <col min="33" max="33" width="12.7109375" style="45" bestFit="1" customWidth="1"/>
    <col min="34" max="34" width="12.7109375" style="45" customWidth="1"/>
    <col min="35" max="35" width="11.28515625" style="45" bestFit="1" customWidth="1"/>
    <col min="36" max="36" width="10.85546875" style="45" customWidth="1"/>
    <col min="37" max="37" width="11.85546875" style="45" bestFit="1" customWidth="1"/>
    <col min="38" max="38" width="7.28515625" style="45" bestFit="1" customWidth="1"/>
    <col min="39" max="39" width="8.42578125" style="45" bestFit="1" customWidth="1"/>
    <col min="40" max="42" width="9.140625" style="46"/>
    <col min="43" max="43" width="9.140625" style="44"/>
  </cols>
  <sheetData>
    <row r="1" spans="1:42" ht="27" customHeight="1" x14ac:dyDescent="0.25">
      <c r="A1" s="35" t="s">
        <v>825</v>
      </c>
      <c r="B1" s="36" t="s">
        <v>10</v>
      </c>
      <c r="AA1" s="114" t="s">
        <v>849</v>
      </c>
      <c r="AB1" s="114" t="s">
        <v>850</v>
      </c>
      <c r="AC1" s="114" t="s">
        <v>836</v>
      </c>
      <c r="AD1" s="115" t="s">
        <v>832</v>
      </c>
      <c r="AE1" s="116" t="s">
        <v>189</v>
      </c>
      <c r="AF1" s="116" t="s">
        <v>183</v>
      </c>
      <c r="AG1" s="114" t="s">
        <v>849</v>
      </c>
      <c r="AH1" s="114" t="s">
        <v>867</v>
      </c>
      <c r="AI1" s="106" t="s">
        <v>839</v>
      </c>
      <c r="AJ1" s="114" t="s">
        <v>868</v>
      </c>
      <c r="AK1" s="106" t="s">
        <v>840</v>
      </c>
      <c r="AL1" s="117" t="s">
        <v>832</v>
      </c>
      <c r="AM1" s="117" t="s">
        <v>851</v>
      </c>
      <c r="AN1" s="110" t="s">
        <v>837</v>
      </c>
      <c r="AO1" s="110" t="s">
        <v>838</v>
      </c>
      <c r="AP1" s="46" t="s">
        <v>1151</v>
      </c>
    </row>
    <row r="2" spans="1:42" x14ac:dyDescent="0.25">
      <c r="AA2" s="45">
        <f>VLOOKUP($B$1,'AAA Summary'!$AF:$AM,2,FALSE)</f>
        <v>77</v>
      </c>
      <c r="AB2" s="45">
        <f>VLOOKUP($B$1,'AAA Summary'!$AF:$AM,4,FALSE)</f>
        <v>35</v>
      </c>
      <c r="AC2" s="45">
        <f>VLOOKUP($B$1,'AAA Summary'!$AF:$AM,6,FALSE)</f>
        <v>55</v>
      </c>
      <c r="AD2" s="45">
        <f>VLOOKUP($B$1,'AAA Summary'!$AF:$AM,7,FALSE)</f>
        <v>50</v>
      </c>
      <c r="AE2" s="67" t="s">
        <v>111</v>
      </c>
      <c r="AF2" s="111" t="s">
        <v>112</v>
      </c>
      <c r="AG2" s="46">
        <v>25</v>
      </c>
      <c r="AH2" s="46">
        <v>15</v>
      </c>
      <c r="AI2" s="46">
        <f>AG2-AH2</f>
        <v>10</v>
      </c>
      <c r="AJ2" s="46">
        <v>52</v>
      </c>
      <c r="AK2" s="46">
        <f>AJ2-AG2</f>
        <v>27</v>
      </c>
      <c r="AL2" s="46">
        <v>1</v>
      </c>
      <c r="AM2" s="46">
        <v>56</v>
      </c>
      <c r="AN2" s="46">
        <f>VLOOKUP($C29,'AAA Funnel'!$A:$C,2,FALSE)</f>
        <v>128</v>
      </c>
      <c r="AO2" s="46">
        <f>VLOOKUP($C29,'AAA Funnel'!$A:$C,3,FALSE)</f>
        <v>0.8</v>
      </c>
      <c r="AP2" s="46">
        <f>VLOOKUP(B1,'Elective Infra-Renal AAA Repair'!$B:$T,19,FALSE)</f>
        <v>3</v>
      </c>
    </row>
    <row r="3" spans="1:42" x14ac:dyDescent="0.25">
      <c r="AB3" s="45" t="s">
        <v>852</v>
      </c>
      <c r="AD3" s="45" t="s">
        <v>853</v>
      </c>
      <c r="AE3" s="67" t="s">
        <v>176</v>
      </c>
      <c r="AF3" s="111" t="s">
        <v>177</v>
      </c>
      <c r="AG3" s="46">
        <v>31</v>
      </c>
      <c r="AH3" s="46">
        <v>24</v>
      </c>
      <c r="AI3" s="46">
        <f t="shared" ref="AI3:AI66" si="0">AG3-AH3</f>
        <v>7</v>
      </c>
      <c r="AJ3" s="46">
        <v>76</v>
      </c>
      <c r="AK3" s="46">
        <f t="shared" ref="AK3:AK66" si="1">AJ3-AG3</f>
        <v>45</v>
      </c>
      <c r="AL3" s="46">
        <v>2</v>
      </c>
      <c r="AM3" s="46">
        <v>56</v>
      </c>
    </row>
    <row r="4" spans="1:42" x14ac:dyDescent="0.25">
      <c r="AB4" s="45">
        <f>VLOOKUP($B$1,'Elective Infra-Renal AAA Repair'!$B:$S,18,FALSE)</f>
        <v>0.85</v>
      </c>
      <c r="AD4" s="45">
        <f>VLOOKUP($B$1,'Elective Infra-Renal AAA Repair'!$B:$S,17,FALSE)</f>
        <v>15</v>
      </c>
      <c r="AE4" s="67" t="s">
        <v>115</v>
      </c>
      <c r="AF4" s="111" t="s">
        <v>116</v>
      </c>
      <c r="AG4" s="46">
        <v>40</v>
      </c>
      <c r="AH4" s="46">
        <v>24</v>
      </c>
      <c r="AI4" s="46">
        <f t="shared" si="0"/>
        <v>16</v>
      </c>
      <c r="AJ4" s="46">
        <v>88</v>
      </c>
      <c r="AK4" s="46">
        <f t="shared" si="1"/>
        <v>48</v>
      </c>
      <c r="AL4" s="46">
        <v>3</v>
      </c>
      <c r="AM4" s="46">
        <v>56</v>
      </c>
    </row>
    <row r="5" spans="1:42" x14ac:dyDescent="0.25">
      <c r="AE5" s="67" t="s">
        <v>124</v>
      </c>
      <c r="AF5" s="111" t="s">
        <v>125</v>
      </c>
      <c r="AG5" s="46">
        <v>41</v>
      </c>
      <c r="AH5" s="46">
        <v>27</v>
      </c>
      <c r="AI5" s="46">
        <f t="shared" si="0"/>
        <v>14</v>
      </c>
      <c r="AJ5" s="46">
        <v>74</v>
      </c>
      <c r="AK5" s="46">
        <f t="shared" si="1"/>
        <v>33</v>
      </c>
      <c r="AL5" s="46">
        <v>4</v>
      </c>
      <c r="AM5" s="46">
        <v>56</v>
      </c>
    </row>
    <row r="6" spans="1:42" x14ac:dyDescent="0.25">
      <c r="AE6" s="67" t="s">
        <v>154</v>
      </c>
      <c r="AF6" s="111" t="s">
        <v>155</v>
      </c>
      <c r="AG6" s="46">
        <v>45</v>
      </c>
      <c r="AH6" s="46">
        <v>31</v>
      </c>
      <c r="AI6" s="46">
        <f t="shared" si="0"/>
        <v>14</v>
      </c>
      <c r="AJ6" s="46">
        <v>62</v>
      </c>
      <c r="AK6" s="46">
        <f t="shared" si="1"/>
        <v>17</v>
      </c>
      <c r="AL6" s="46">
        <v>5</v>
      </c>
      <c r="AM6" s="46">
        <v>56</v>
      </c>
    </row>
    <row r="7" spans="1:42" x14ac:dyDescent="0.25">
      <c r="AE7" s="67" t="s">
        <v>174</v>
      </c>
      <c r="AF7" s="111" t="s">
        <v>175</v>
      </c>
      <c r="AG7" s="46">
        <v>47</v>
      </c>
      <c r="AH7" s="46">
        <v>47</v>
      </c>
      <c r="AI7" s="46">
        <f t="shared" si="0"/>
        <v>0</v>
      </c>
      <c r="AJ7" s="46">
        <v>72</v>
      </c>
      <c r="AK7" s="46">
        <f t="shared" si="1"/>
        <v>25</v>
      </c>
      <c r="AL7" s="46">
        <v>6</v>
      </c>
      <c r="AM7" s="46">
        <v>56</v>
      </c>
    </row>
    <row r="8" spans="1:42" x14ac:dyDescent="0.25">
      <c r="AE8" s="67" t="s">
        <v>83</v>
      </c>
      <c r="AF8" s="111" t="s">
        <v>84</v>
      </c>
      <c r="AG8" s="46">
        <v>48</v>
      </c>
      <c r="AH8" s="46">
        <v>24</v>
      </c>
      <c r="AI8" s="46">
        <f t="shared" si="0"/>
        <v>24</v>
      </c>
      <c r="AJ8" s="46">
        <v>94</v>
      </c>
      <c r="AK8" s="46">
        <f t="shared" si="1"/>
        <v>46</v>
      </c>
      <c r="AL8" s="46">
        <v>7</v>
      </c>
      <c r="AM8" s="46">
        <v>56</v>
      </c>
    </row>
    <row r="9" spans="1:42" x14ac:dyDescent="0.25">
      <c r="AE9" s="67" t="s">
        <v>142</v>
      </c>
      <c r="AF9" s="111" t="s">
        <v>143</v>
      </c>
      <c r="AG9" s="46">
        <v>50</v>
      </c>
      <c r="AH9" s="46">
        <v>30</v>
      </c>
      <c r="AI9" s="46">
        <f t="shared" si="0"/>
        <v>20</v>
      </c>
      <c r="AJ9" s="46">
        <v>63</v>
      </c>
      <c r="AK9" s="46">
        <f t="shared" si="1"/>
        <v>13</v>
      </c>
      <c r="AL9" s="46">
        <v>8</v>
      </c>
      <c r="AM9" s="46">
        <v>56</v>
      </c>
    </row>
    <row r="10" spans="1:42" x14ac:dyDescent="0.25">
      <c r="AE10" s="67" t="s">
        <v>89</v>
      </c>
      <c r="AF10" s="111" t="s">
        <v>90</v>
      </c>
      <c r="AG10" s="46">
        <v>50</v>
      </c>
      <c r="AH10" s="46">
        <v>34</v>
      </c>
      <c r="AI10" s="46">
        <f t="shared" si="0"/>
        <v>16</v>
      </c>
      <c r="AJ10" s="46">
        <v>88</v>
      </c>
      <c r="AK10" s="46">
        <f t="shared" si="1"/>
        <v>38</v>
      </c>
      <c r="AL10" s="46">
        <v>9</v>
      </c>
      <c r="AM10" s="46">
        <v>56</v>
      </c>
    </row>
    <row r="11" spans="1:42" x14ac:dyDescent="0.25">
      <c r="AE11" s="67" t="s">
        <v>81</v>
      </c>
      <c r="AF11" s="111" t="s">
        <v>82</v>
      </c>
      <c r="AG11" s="46">
        <v>51</v>
      </c>
      <c r="AH11" s="46">
        <v>31</v>
      </c>
      <c r="AI11" s="46">
        <f t="shared" si="0"/>
        <v>20</v>
      </c>
      <c r="AJ11" s="46">
        <v>83</v>
      </c>
      <c r="AK11" s="46">
        <f t="shared" si="1"/>
        <v>32</v>
      </c>
      <c r="AL11" s="46">
        <v>10</v>
      </c>
      <c r="AM11" s="46">
        <v>56</v>
      </c>
    </row>
    <row r="12" spans="1:42" x14ac:dyDescent="0.25">
      <c r="AE12" s="67" t="s">
        <v>164</v>
      </c>
      <c r="AF12" s="111" t="s">
        <v>165</v>
      </c>
      <c r="AG12" s="46">
        <v>52</v>
      </c>
      <c r="AH12" s="46">
        <v>27</v>
      </c>
      <c r="AI12" s="46">
        <f t="shared" si="0"/>
        <v>25</v>
      </c>
      <c r="AJ12" s="46">
        <v>96</v>
      </c>
      <c r="AK12" s="46">
        <f t="shared" si="1"/>
        <v>44</v>
      </c>
      <c r="AL12" s="46">
        <v>11</v>
      </c>
      <c r="AM12" s="46">
        <v>56</v>
      </c>
    </row>
    <row r="13" spans="1:42" x14ac:dyDescent="0.25">
      <c r="AE13" s="67" t="s">
        <v>19</v>
      </c>
      <c r="AF13" s="111" t="s">
        <v>20</v>
      </c>
      <c r="AG13" s="46">
        <v>53</v>
      </c>
      <c r="AH13" s="46">
        <v>21</v>
      </c>
      <c r="AI13" s="46">
        <f t="shared" si="0"/>
        <v>32</v>
      </c>
      <c r="AJ13" s="46">
        <v>83</v>
      </c>
      <c r="AK13" s="46">
        <f t="shared" si="1"/>
        <v>30</v>
      </c>
      <c r="AL13" s="46">
        <v>12</v>
      </c>
      <c r="AM13" s="46">
        <v>56</v>
      </c>
    </row>
    <row r="14" spans="1:42" x14ac:dyDescent="0.25">
      <c r="AE14" s="67" t="s">
        <v>40</v>
      </c>
      <c r="AF14" s="111" t="s">
        <v>41</v>
      </c>
      <c r="AG14" s="46">
        <v>54</v>
      </c>
      <c r="AH14" s="46">
        <v>31</v>
      </c>
      <c r="AI14" s="46">
        <f t="shared" si="0"/>
        <v>23</v>
      </c>
      <c r="AJ14" s="46">
        <v>91</v>
      </c>
      <c r="AK14" s="46">
        <f t="shared" si="1"/>
        <v>37</v>
      </c>
      <c r="AL14" s="46">
        <v>13</v>
      </c>
      <c r="AM14" s="46">
        <v>56</v>
      </c>
    </row>
    <row r="15" spans="1:42" x14ac:dyDescent="0.25">
      <c r="AE15" s="67" t="s">
        <v>117</v>
      </c>
      <c r="AF15" s="113" t="s">
        <v>773</v>
      </c>
      <c r="AG15" s="46">
        <v>54</v>
      </c>
      <c r="AH15" s="46">
        <v>34</v>
      </c>
      <c r="AI15" s="46">
        <f t="shared" si="0"/>
        <v>20</v>
      </c>
      <c r="AJ15" s="46">
        <v>89</v>
      </c>
      <c r="AK15" s="46">
        <f t="shared" si="1"/>
        <v>35</v>
      </c>
      <c r="AL15" s="46">
        <v>14</v>
      </c>
      <c r="AM15" s="46">
        <v>56</v>
      </c>
    </row>
    <row r="16" spans="1:42" x14ac:dyDescent="0.25">
      <c r="AE16" s="67" t="s">
        <v>17</v>
      </c>
      <c r="AF16" s="111" t="s">
        <v>18</v>
      </c>
      <c r="AG16" s="46">
        <v>54</v>
      </c>
      <c r="AH16" s="46">
        <v>35</v>
      </c>
      <c r="AI16" s="46">
        <f t="shared" si="0"/>
        <v>19</v>
      </c>
      <c r="AJ16" s="46">
        <v>88</v>
      </c>
      <c r="AK16" s="46">
        <f t="shared" si="1"/>
        <v>34</v>
      </c>
      <c r="AL16" s="46">
        <v>15</v>
      </c>
      <c r="AM16" s="46">
        <v>56</v>
      </c>
    </row>
    <row r="17" spans="2:39" x14ac:dyDescent="0.25">
      <c r="AE17" s="67" t="s">
        <v>126</v>
      </c>
      <c r="AF17" s="111" t="s">
        <v>127</v>
      </c>
      <c r="AG17" s="46">
        <v>55</v>
      </c>
      <c r="AH17" s="46">
        <v>36</v>
      </c>
      <c r="AI17" s="46">
        <f t="shared" si="0"/>
        <v>19</v>
      </c>
      <c r="AJ17" s="46">
        <v>84</v>
      </c>
      <c r="AK17" s="46">
        <f t="shared" si="1"/>
        <v>29</v>
      </c>
      <c r="AL17" s="46">
        <v>16</v>
      </c>
      <c r="AM17" s="46">
        <v>56</v>
      </c>
    </row>
    <row r="18" spans="2:39" x14ac:dyDescent="0.25">
      <c r="AE18" s="67" t="s">
        <v>128</v>
      </c>
      <c r="AF18" s="111" t="s">
        <v>129</v>
      </c>
      <c r="AG18" s="46">
        <v>55</v>
      </c>
      <c r="AH18" s="46">
        <v>36</v>
      </c>
      <c r="AI18" s="46">
        <f t="shared" si="0"/>
        <v>19</v>
      </c>
      <c r="AJ18" s="46">
        <v>96</v>
      </c>
      <c r="AK18" s="46">
        <f t="shared" si="1"/>
        <v>41</v>
      </c>
      <c r="AL18" s="46">
        <v>17</v>
      </c>
      <c r="AM18" s="46">
        <v>56</v>
      </c>
    </row>
    <row r="19" spans="2:39" x14ac:dyDescent="0.25">
      <c r="AE19" s="67" t="s">
        <v>113</v>
      </c>
      <c r="AF19" s="111" t="s">
        <v>114</v>
      </c>
      <c r="AG19" s="46">
        <v>56</v>
      </c>
      <c r="AH19" s="46">
        <v>34</v>
      </c>
      <c r="AI19" s="46">
        <f t="shared" si="0"/>
        <v>22</v>
      </c>
      <c r="AJ19" s="46">
        <v>122</v>
      </c>
      <c r="AK19" s="46">
        <f t="shared" si="1"/>
        <v>66</v>
      </c>
      <c r="AL19" s="46">
        <v>18</v>
      </c>
      <c r="AM19" s="46">
        <v>56</v>
      </c>
    </row>
    <row r="20" spans="2:39" x14ac:dyDescent="0.25">
      <c r="AE20" s="67" t="s">
        <v>166</v>
      </c>
      <c r="AF20" s="111" t="s">
        <v>167</v>
      </c>
      <c r="AG20" s="46">
        <v>57</v>
      </c>
      <c r="AH20" s="46">
        <v>37</v>
      </c>
      <c r="AI20" s="46">
        <f t="shared" si="0"/>
        <v>20</v>
      </c>
      <c r="AJ20" s="46">
        <v>72</v>
      </c>
      <c r="AK20" s="46">
        <f t="shared" si="1"/>
        <v>15</v>
      </c>
      <c r="AL20" s="46">
        <v>19</v>
      </c>
      <c r="AM20" s="46">
        <v>56</v>
      </c>
    </row>
    <row r="21" spans="2:39" x14ac:dyDescent="0.25">
      <c r="AE21" s="67" t="s">
        <v>7</v>
      </c>
      <c r="AF21" s="111" t="s">
        <v>8</v>
      </c>
      <c r="AG21" s="46">
        <v>57</v>
      </c>
      <c r="AH21" s="46">
        <v>38</v>
      </c>
      <c r="AI21" s="46">
        <f t="shared" si="0"/>
        <v>19</v>
      </c>
      <c r="AJ21" s="46">
        <v>71</v>
      </c>
      <c r="AK21" s="46">
        <f t="shared" si="1"/>
        <v>14</v>
      </c>
      <c r="AL21" s="46">
        <v>20</v>
      </c>
      <c r="AM21" s="46">
        <v>56</v>
      </c>
    </row>
    <row r="22" spans="2:39" x14ac:dyDescent="0.25">
      <c r="AE22" s="67" t="s">
        <v>68</v>
      </c>
      <c r="AF22" s="111" t="s">
        <v>69</v>
      </c>
      <c r="AG22" s="46">
        <v>58</v>
      </c>
      <c r="AH22" s="46">
        <v>25</v>
      </c>
      <c r="AI22" s="46">
        <f t="shared" si="0"/>
        <v>33</v>
      </c>
      <c r="AJ22" s="46">
        <v>100</v>
      </c>
      <c r="AK22" s="46">
        <f t="shared" si="1"/>
        <v>42</v>
      </c>
      <c r="AL22" s="46">
        <v>21</v>
      </c>
      <c r="AM22" s="46">
        <v>56</v>
      </c>
    </row>
    <row r="23" spans="2:39" x14ac:dyDescent="0.25">
      <c r="AE23" s="67" t="s">
        <v>95</v>
      </c>
      <c r="AF23" s="111" t="s">
        <v>96</v>
      </c>
      <c r="AG23" s="46">
        <v>58</v>
      </c>
      <c r="AH23" s="46">
        <v>34</v>
      </c>
      <c r="AI23" s="46">
        <f t="shared" si="0"/>
        <v>24</v>
      </c>
      <c r="AJ23" s="46">
        <v>82</v>
      </c>
      <c r="AK23" s="46">
        <f t="shared" si="1"/>
        <v>24</v>
      </c>
      <c r="AL23" s="46">
        <v>22</v>
      </c>
      <c r="AM23" s="46">
        <v>56</v>
      </c>
    </row>
    <row r="24" spans="2:39" x14ac:dyDescent="0.25">
      <c r="AE24" s="67" t="s">
        <v>91</v>
      </c>
      <c r="AF24" s="111" t="s">
        <v>92</v>
      </c>
      <c r="AG24" s="46">
        <v>59</v>
      </c>
      <c r="AH24" s="46">
        <v>40</v>
      </c>
      <c r="AI24" s="46">
        <f t="shared" si="0"/>
        <v>19</v>
      </c>
      <c r="AJ24" s="46">
        <v>83</v>
      </c>
      <c r="AK24" s="46">
        <f t="shared" si="1"/>
        <v>24</v>
      </c>
      <c r="AL24" s="46">
        <v>23</v>
      </c>
      <c r="AM24" s="46">
        <v>56</v>
      </c>
    </row>
    <row r="25" spans="2:39" x14ac:dyDescent="0.25">
      <c r="AE25" s="67" t="s">
        <v>35</v>
      </c>
      <c r="AF25" s="111" t="s">
        <v>36</v>
      </c>
      <c r="AG25" s="46">
        <v>59</v>
      </c>
      <c r="AH25" s="46">
        <v>41</v>
      </c>
      <c r="AI25" s="46">
        <f t="shared" si="0"/>
        <v>18</v>
      </c>
      <c r="AJ25" s="46">
        <v>101</v>
      </c>
      <c r="AK25" s="46">
        <f t="shared" si="1"/>
        <v>42</v>
      </c>
      <c r="AL25" s="46">
        <v>24</v>
      </c>
      <c r="AM25" s="46">
        <v>56</v>
      </c>
    </row>
    <row r="26" spans="2:39" x14ac:dyDescent="0.25">
      <c r="AE26" s="67" t="s">
        <v>105</v>
      </c>
      <c r="AF26" s="111" t="s">
        <v>106</v>
      </c>
      <c r="AG26" s="46">
        <v>59</v>
      </c>
      <c r="AH26" s="46">
        <v>42</v>
      </c>
      <c r="AI26" s="46">
        <f t="shared" si="0"/>
        <v>17</v>
      </c>
      <c r="AJ26" s="46">
        <v>99</v>
      </c>
      <c r="AK26" s="46">
        <f t="shared" si="1"/>
        <v>40</v>
      </c>
      <c r="AL26" s="46">
        <v>25</v>
      </c>
      <c r="AM26" s="46">
        <v>56</v>
      </c>
    </row>
    <row r="27" spans="2:39" ht="15.75" thickBot="1" x14ac:dyDescent="0.3">
      <c r="AE27" s="67" t="s">
        <v>136</v>
      </c>
      <c r="AF27" s="111" t="s">
        <v>137</v>
      </c>
      <c r="AG27" s="46">
        <v>60</v>
      </c>
      <c r="AH27" s="46">
        <v>22</v>
      </c>
      <c r="AI27" s="46">
        <f t="shared" si="0"/>
        <v>38</v>
      </c>
      <c r="AJ27" s="46">
        <v>134</v>
      </c>
      <c r="AK27" s="46">
        <f t="shared" si="1"/>
        <v>74</v>
      </c>
      <c r="AL27" s="46">
        <v>26</v>
      </c>
      <c r="AM27" s="46">
        <v>56</v>
      </c>
    </row>
    <row r="28" spans="2:39" ht="90.75" thickBot="1" x14ac:dyDescent="0.3">
      <c r="B28" s="37" t="s">
        <v>183</v>
      </c>
      <c r="C28" s="37" t="s">
        <v>189</v>
      </c>
      <c r="D28" s="38" t="s">
        <v>197</v>
      </c>
      <c r="E28" s="38" t="s">
        <v>198</v>
      </c>
      <c r="F28" s="37" t="s">
        <v>202</v>
      </c>
      <c r="G28" s="37" t="s">
        <v>203</v>
      </c>
      <c r="H28" s="37" t="s">
        <v>204</v>
      </c>
      <c r="I28" s="37" t="s">
        <v>588</v>
      </c>
      <c r="AE28" s="67" t="s">
        <v>158</v>
      </c>
      <c r="AF28" s="111" t="s">
        <v>159</v>
      </c>
      <c r="AG28" s="46">
        <v>60</v>
      </c>
      <c r="AH28" s="46">
        <v>47</v>
      </c>
      <c r="AI28" s="46">
        <f t="shared" si="0"/>
        <v>13</v>
      </c>
      <c r="AJ28" s="46">
        <v>119</v>
      </c>
      <c r="AK28" s="46">
        <f t="shared" si="1"/>
        <v>59</v>
      </c>
      <c r="AL28" s="46">
        <v>27</v>
      </c>
      <c r="AM28" s="46">
        <v>56</v>
      </c>
    </row>
    <row r="29" spans="2:39" ht="16.5" thickBot="1" x14ac:dyDescent="0.3">
      <c r="B29" s="39" t="str">
        <f>B1</f>
        <v>Aneurin Bevan University Health Board</v>
      </c>
      <c r="C29" s="41" t="str">
        <f>VLOOKUP($B29,'Elective Infra-Renal AAA Repair'!$B:$S,12,FALSE)</f>
        <v>7A6</v>
      </c>
      <c r="D29" s="41">
        <f>VLOOKUP($B29,'Elective Infra-Renal AAA Repair'!$B:$S,2,FALSE)</f>
        <v>40</v>
      </c>
      <c r="E29" s="41">
        <f>VLOOKUP($B29,'Elective Infra-Renal AAA Repair'!$B:$S,3,FALSE)</f>
        <v>25</v>
      </c>
      <c r="F29" s="40" t="str">
        <f>VLOOKUP($B29,'Elective Infra-Renal AAA Repair'!$B:$S,8,FALSE)</f>
        <v>77 (42 - 132)</v>
      </c>
      <c r="G29" s="40" t="str">
        <f>VLOOKUP($B29,'Elective Infra-Renal AAA Repair'!$B:$S,9,FALSE)</f>
        <v>6 (5 - 11)</v>
      </c>
      <c r="H29" s="40" t="str">
        <f>VLOOKUP($B29,'Elective Infra-Renal AAA Repair'!$B:$S,10,FALSE)</f>
        <v>1 (1 - 1)</v>
      </c>
      <c r="I29" s="43">
        <f>VLOOKUP($B29,'Elective Infra-Renal AAA Repair'!$B:$S,11,FALSE)</f>
        <v>8.0000000000000002E-3</v>
      </c>
      <c r="J29" s="47" t="s">
        <v>862</v>
      </c>
      <c r="AE29" s="67" t="s">
        <v>87</v>
      </c>
      <c r="AF29" s="111" t="s">
        <v>88</v>
      </c>
      <c r="AG29" s="46">
        <v>61</v>
      </c>
      <c r="AH29" s="46">
        <v>35</v>
      </c>
      <c r="AI29" s="46">
        <f t="shared" si="0"/>
        <v>26</v>
      </c>
      <c r="AJ29" s="46">
        <v>90</v>
      </c>
      <c r="AK29" s="46">
        <f t="shared" si="1"/>
        <v>29</v>
      </c>
      <c r="AL29" s="46">
        <v>28</v>
      </c>
      <c r="AM29" s="46">
        <v>56</v>
      </c>
    </row>
    <row r="30" spans="2:39" ht="16.5" thickBot="1" x14ac:dyDescent="0.3">
      <c r="B30" s="130" t="s">
        <v>827</v>
      </c>
      <c r="C30" s="130"/>
      <c r="D30" s="41">
        <v>3708</v>
      </c>
      <c r="E30" s="41">
        <v>2350</v>
      </c>
      <c r="F30" s="40" t="s">
        <v>866</v>
      </c>
      <c r="G30" s="40" t="s">
        <v>531</v>
      </c>
      <c r="H30" s="40" t="s">
        <v>279</v>
      </c>
      <c r="I30" s="43">
        <v>1.4E-2</v>
      </c>
      <c r="J30" s="36" t="s">
        <v>205</v>
      </c>
      <c r="AE30" s="67" t="s">
        <v>15</v>
      </c>
      <c r="AF30" s="111" t="s">
        <v>16</v>
      </c>
      <c r="AG30" s="46">
        <v>61</v>
      </c>
      <c r="AH30" s="46">
        <v>35</v>
      </c>
      <c r="AI30" s="46">
        <f t="shared" si="0"/>
        <v>26</v>
      </c>
      <c r="AJ30" s="46">
        <v>103</v>
      </c>
      <c r="AK30" s="46">
        <f t="shared" si="1"/>
        <v>42</v>
      </c>
      <c r="AL30" s="46">
        <v>29</v>
      </c>
      <c r="AM30" s="46">
        <v>56</v>
      </c>
    </row>
    <row r="31" spans="2:39" ht="15.75" thickBot="1" x14ac:dyDescent="0.3">
      <c r="AE31" s="67" t="s">
        <v>140</v>
      </c>
      <c r="AF31" s="111" t="s">
        <v>141</v>
      </c>
      <c r="AG31" s="46">
        <v>61</v>
      </c>
      <c r="AH31" s="46">
        <v>37</v>
      </c>
      <c r="AI31" s="46">
        <f t="shared" si="0"/>
        <v>24</v>
      </c>
      <c r="AJ31" s="46">
        <v>117</v>
      </c>
      <c r="AK31" s="46">
        <f t="shared" si="1"/>
        <v>56</v>
      </c>
      <c r="AL31" s="46">
        <v>30</v>
      </c>
      <c r="AM31" s="46">
        <v>56</v>
      </c>
    </row>
    <row r="32" spans="2:39" ht="15.75" thickBot="1" x14ac:dyDescent="0.3">
      <c r="B32" s="39" t="s">
        <v>858</v>
      </c>
      <c r="C32" s="39" t="s">
        <v>859</v>
      </c>
      <c r="D32" s="39" t="s">
        <v>860</v>
      </c>
      <c r="E32" s="39" t="s">
        <v>861</v>
      </c>
      <c r="F32" s="39" t="s">
        <v>845</v>
      </c>
      <c r="AE32" s="67" t="s">
        <v>132</v>
      </c>
      <c r="AF32" s="111" t="s">
        <v>133</v>
      </c>
      <c r="AG32" s="46">
        <v>61</v>
      </c>
      <c r="AH32" s="46">
        <v>38</v>
      </c>
      <c r="AI32" s="46">
        <f t="shared" si="0"/>
        <v>23</v>
      </c>
      <c r="AJ32" s="46">
        <v>72</v>
      </c>
      <c r="AK32" s="46">
        <f t="shared" si="1"/>
        <v>11</v>
      </c>
      <c r="AL32" s="46">
        <v>31</v>
      </c>
      <c r="AM32" s="46">
        <v>56</v>
      </c>
    </row>
    <row r="33" spans="2:39" ht="15.75" thickBot="1" x14ac:dyDescent="0.3">
      <c r="B33" s="39" t="s">
        <v>205</v>
      </c>
      <c r="C33" s="126">
        <v>2017</v>
      </c>
      <c r="D33" s="127">
        <f>VLOOKUP('AAA Summary'!$C$29,'AAA 2017 Report'!$A$8:$T$85,9,FALSE)</f>
        <v>0.94</v>
      </c>
      <c r="E33" s="128">
        <f>VLOOKUP('AAA Summary'!$C$29,'AAA 2017 Report'!$A$8:$T$85,17,FALSE)</f>
        <v>3</v>
      </c>
      <c r="F33" s="127">
        <v>0.85</v>
      </c>
      <c r="AE33" s="67" t="s">
        <v>33</v>
      </c>
      <c r="AF33" s="111" t="s">
        <v>34</v>
      </c>
      <c r="AG33" s="46">
        <v>62</v>
      </c>
      <c r="AH33" s="46">
        <v>23</v>
      </c>
      <c r="AI33" s="46">
        <f t="shared" si="0"/>
        <v>39</v>
      </c>
      <c r="AJ33" s="46">
        <v>95</v>
      </c>
      <c r="AK33" s="46">
        <f t="shared" si="1"/>
        <v>33</v>
      </c>
      <c r="AL33" s="46">
        <v>32</v>
      </c>
      <c r="AM33" s="46">
        <v>56</v>
      </c>
    </row>
    <row r="34" spans="2:39" ht="15.75" thickBot="1" x14ac:dyDescent="0.3">
      <c r="B34" s="39"/>
      <c r="C34" s="75">
        <v>2018</v>
      </c>
      <c r="D34" s="76">
        <f>VLOOKUP('AAA Summary'!$C$29,'AAA 2018 Report'!$A$8:$R$85,5,FALSE)</f>
        <v>0.94</v>
      </c>
      <c r="E34" s="77">
        <f>VLOOKUP('AAA Summary'!$C$29,'AAA 2018 Report'!$A$8:$R$85,13,FALSE)</f>
        <v>3</v>
      </c>
      <c r="F34" s="76">
        <v>0.9</v>
      </c>
      <c r="AE34" s="67" t="s">
        <v>76</v>
      </c>
      <c r="AF34" s="111" t="s">
        <v>215</v>
      </c>
      <c r="AG34" s="46">
        <v>63</v>
      </c>
      <c r="AH34" s="46">
        <v>30</v>
      </c>
      <c r="AI34" s="46">
        <f t="shared" si="0"/>
        <v>33</v>
      </c>
      <c r="AJ34" s="46">
        <v>125</v>
      </c>
      <c r="AK34" s="46">
        <f t="shared" si="1"/>
        <v>62</v>
      </c>
      <c r="AL34" s="46">
        <v>33</v>
      </c>
      <c r="AM34" s="46">
        <v>56</v>
      </c>
    </row>
    <row r="35" spans="2:39" ht="15.75" thickBot="1" x14ac:dyDescent="0.3">
      <c r="B35" s="39"/>
      <c r="C35" s="123">
        <v>2019</v>
      </c>
      <c r="D35" s="124">
        <f>VLOOKUP('AAA Summary'!$C$29,'Elective Infra-Renal AAA Repair'!$A$8:$R$85,5,FALSE)</f>
        <v>0.85</v>
      </c>
      <c r="E35" s="125">
        <f>VLOOKUP('AAA Summary'!$C$29,'Elective Infra-Renal AAA Repair'!$A$8:$R$85,14,FALSE)</f>
        <v>1</v>
      </c>
      <c r="F35" s="124">
        <v>0.9</v>
      </c>
      <c r="L35" s="46">
        <f>MATCH(J30,'Elective Infra-Renal AAA Repair'!$E$7:$H$7,0)</f>
        <v>1</v>
      </c>
      <c r="AE35" s="67" t="s">
        <v>122</v>
      </c>
      <c r="AF35" s="111" t="s">
        <v>123</v>
      </c>
      <c r="AG35" s="46">
        <v>63</v>
      </c>
      <c r="AH35" s="46">
        <v>34</v>
      </c>
      <c r="AI35" s="46">
        <f t="shared" si="0"/>
        <v>29</v>
      </c>
      <c r="AJ35" s="46">
        <v>125</v>
      </c>
      <c r="AK35" s="46">
        <f t="shared" si="1"/>
        <v>62</v>
      </c>
      <c r="AL35" s="46">
        <v>34</v>
      </c>
      <c r="AM35" s="46">
        <v>56</v>
      </c>
    </row>
    <row r="36" spans="2:39" ht="15.75" thickBot="1" x14ac:dyDescent="0.3">
      <c r="AE36" s="67" t="s">
        <v>107</v>
      </c>
      <c r="AF36" s="111" t="s">
        <v>108</v>
      </c>
      <c r="AG36" s="46">
        <v>64</v>
      </c>
      <c r="AH36" s="46">
        <v>30</v>
      </c>
      <c r="AI36" s="46">
        <f t="shared" si="0"/>
        <v>34</v>
      </c>
      <c r="AJ36" s="46">
        <v>107</v>
      </c>
      <c r="AK36" s="46">
        <f t="shared" si="1"/>
        <v>43</v>
      </c>
      <c r="AL36" s="46">
        <v>35</v>
      </c>
      <c r="AM36" s="46">
        <v>56</v>
      </c>
    </row>
    <row r="37" spans="2:39" ht="15.75" thickBot="1" x14ac:dyDescent="0.3">
      <c r="B37" s="39" t="s">
        <v>199</v>
      </c>
      <c r="C37" s="126">
        <v>2017</v>
      </c>
      <c r="D37" s="127">
        <f>VLOOKUP('AAA Summary'!$C$29,'AAA 2017 Report'!$A$8:$T$85,10,FALSE)</f>
        <v>0.94</v>
      </c>
      <c r="E37" s="128">
        <f>VLOOKUP('AAA Summary'!$C$29,'AAA 2017 Report'!$A$8:$T$85,18,FALSE)</f>
        <v>1</v>
      </c>
      <c r="F37" s="127">
        <v>0.97</v>
      </c>
      <c r="AE37" s="67" t="s">
        <v>11</v>
      </c>
      <c r="AF37" s="111" t="s">
        <v>12</v>
      </c>
      <c r="AG37" s="46">
        <v>64</v>
      </c>
      <c r="AH37" s="46">
        <v>32</v>
      </c>
      <c r="AI37" s="46">
        <f t="shared" si="0"/>
        <v>32</v>
      </c>
      <c r="AJ37" s="46">
        <v>128</v>
      </c>
      <c r="AK37" s="46">
        <f t="shared" si="1"/>
        <v>64</v>
      </c>
      <c r="AL37" s="46">
        <v>36</v>
      </c>
      <c r="AM37" s="46">
        <v>56</v>
      </c>
    </row>
    <row r="38" spans="2:39" ht="15.75" thickBot="1" x14ac:dyDescent="0.3">
      <c r="B38" s="39"/>
      <c r="C38" s="75">
        <v>2018</v>
      </c>
      <c r="D38" s="76">
        <f>VLOOKUP('AAA Summary'!$C$29,'AAA 2018 Report'!$A$8:$R$85,6,FALSE)</f>
        <v>1</v>
      </c>
      <c r="E38" s="77">
        <f>VLOOKUP('AAA Summary'!$C$29,'AAA 2018 Report'!$A$8:$R$85,14,FALSE)</f>
        <v>4</v>
      </c>
      <c r="F38" s="76">
        <v>0.96</v>
      </c>
      <c r="AE38" s="67" t="s">
        <v>70</v>
      </c>
      <c r="AF38" s="111" t="s">
        <v>71</v>
      </c>
      <c r="AG38" s="46">
        <v>65</v>
      </c>
      <c r="AH38" s="46">
        <v>27</v>
      </c>
      <c r="AI38" s="46">
        <f t="shared" si="0"/>
        <v>38</v>
      </c>
      <c r="AJ38" s="46">
        <v>111</v>
      </c>
      <c r="AK38" s="46">
        <f t="shared" si="1"/>
        <v>46</v>
      </c>
      <c r="AL38" s="46">
        <v>37</v>
      </c>
      <c r="AM38" s="46">
        <v>56</v>
      </c>
    </row>
    <row r="39" spans="2:39" ht="15.75" thickBot="1" x14ac:dyDescent="0.3">
      <c r="B39" s="39"/>
      <c r="C39" s="123">
        <v>2019</v>
      </c>
      <c r="D39" s="124">
        <f>VLOOKUP('AAA Summary'!$C$29,'Elective Infra-Renal AAA Repair'!$A$8:$R$85,6,FALSE)</f>
        <v>1</v>
      </c>
      <c r="E39" s="125">
        <f>VLOOKUP('AAA Summary'!$C$29,'Elective Infra-Renal AAA Repair'!$A$8:$R$85,15,FALSE)</f>
        <v>4</v>
      </c>
      <c r="F39" s="124">
        <v>0.95</v>
      </c>
      <c r="AE39" s="67" t="s">
        <v>56</v>
      </c>
      <c r="AF39" s="111" t="s">
        <v>57</v>
      </c>
      <c r="AG39" s="46">
        <v>66</v>
      </c>
      <c r="AH39" s="46">
        <v>38</v>
      </c>
      <c r="AI39" s="46">
        <f t="shared" si="0"/>
        <v>28</v>
      </c>
      <c r="AJ39" s="46">
        <v>106</v>
      </c>
      <c r="AK39" s="46">
        <f t="shared" si="1"/>
        <v>40</v>
      </c>
      <c r="AL39" s="46">
        <v>38</v>
      </c>
      <c r="AM39" s="46">
        <v>56</v>
      </c>
    </row>
    <row r="40" spans="2:39" ht="15.75" thickBot="1" x14ac:dyDescent="0.3">
      <c r="AE40" s="67" t="s">
        <v>39</v>
      </c>
      <c r="AF40" s="111" t="s">
        <v>216</v>
      </c>
      <c r="AG40" s="46">
        <v>67</v>
      </c>
      <c r="AH40" s="46">
        <v>29</v>
      </c>
      <c r="AI40" s="46">
        <f t="shared" si="0"/>
        <v>38</v>
      </c>
      <c r="AJ40" s="46">
        <v>109</v>
      </c>
      <c r="AK40" s="46">
        <f t="shared" si="1"/>
        <v>42</v>
      </c>
      <c r="AL40" s="46">
        <v>39</v>
      </c>
      <c r="AM40" s="46">
        <v>56</v>
      </c>
    </row>
    <row r="41" spans="2:39" ht="15.75" thickBot="1" x14ac:dyDescent="0.3">
      <c r="B41" s="39" t="s">
        <v>200</v>
      </c>
      <c r="C41" s="126">
        <v>2017</v>
      </c>
      <c r="D41" s="127">
        <f>VLOOKUP('AAA Summary'!$C$29,'AAA 2017 Report'!$A$8:$T$85,11,FALSE)</f>
        <v>0.94</v>
      </c>
      <c r="E41" s="128">
        <f>VLOOKUP('AAA Summary'!$C$29,'AAA 2017 Report'!$A$8:$T$85,19,FALSE)</f>
        <v>3</v>
      </c>
      <c r="F41" s="127">
        <v>0.85</v>
      </c>
      <c r="AE41" s="67" t="s">
        <v>156</v>
      </c>
      <c r="AF41" s="111" t="s">
        <v>157</v>
      </c>
      <c r="AG41" s="46">
        <v>69</v>
      </c>
      <c r="AH41" s="46">
        <v>29</v>
      </c>
      <c r="AI41" s="46">
        <f t="shared" si="0"/>
        <v>40</v>
      </c>
      <c r="AJ41" s="46">
        <v>114</v>
      </c>
      <c r="AK41" s="46">
        <f t="shared" si="1"/>
        <v>45</v>
      </c>
      <c r="AL41" s="46">
        <v>40</v>
      </c>
      <c r="AM41" s="46">
        <v>56</v>
      </c>
    </row>
    <row r="42" spans="2:39" ht="15.75" thickBot="1" x14ac:dyDescent="0.3">
      <c r="B42" s="41"/>
      <c r="C42" s="75">
        <v>2018</v>
      </c>
      <c r="D42" s="76">
        <f>VLOOKUP('AAA Summary'!$C$29,'AAA 2018 Report'!$A$8:$R$85,7,FALSE)</f>
        <v>0.93</v>
      </c>
      <c r="E42" s="77">
        <f>VLOOKUP('AAA Summary'!$C$29,'AAA 2018 Report'!$A$8:$R$85,15,FALSE)</f>
        <v>3</v>
      </c>
      <c r="F42" s="76">
        <v>0.89</v>
      </c>
      <c r="AE42" s="67" t="s">
        <v>168</v>
      </c>
      <c r="AF42" s="111" t="s">
        <v>169</v>
      </c>
      <c r="AG42" s="46">
        <v>69</v>
      </c>
      <c r="AH42" s="46">
        <v>36</v>
      </c>
      <c r="AI42" s="46">
        <f t="shared" si="0"/>
        <v>33</v>
      </c>
      <c r="AJ42" s="46">
        <v>133</v>
      </c>
      <c r="AK42" s="46">
        <f t="shared" si="1"/>
        <v>64</v>
      </c>
      <c r="AL42" s="46">
        <v>41</v>
      </c>
      <c r="AM42" s="46">
        <v>56</v>
      </c>
    </row>
    <row r="43" spans="2:39" ht="15.75" thickBot="1" x14ac:dyDescent="0.3">
      <c r="B43" s="41"/>
      <c r="C43" s="123">
        <v>2019</v>
      </c>
      <c r="D43" s="124">
        <f>VLOOKUP('AAA Summary'!$C$29,'Elective Infra-Renal AAA Repair'!$A$8:$R$85,7,FALSE)</f>
        <v>0.82</v>
      </c>
      <c r="E43" s="125">
        <f>VLOOKUP('AAA Summary'!$C$29,'Elective Infra-Renal AAA Repair'!$A$8:$R$85,16,FALSE)</f>
        <v>2</v>
      </c>
      <c r="F43" s="124">
        <v>0.89</v>
      </c>
      <c r="AE43" s="67" t="s">
        <v>134</v>
      </c>
      <c r="AF43" s="111" t="s">
        <v>135</v>
      </c>
      <c r="AG43" s="46">
        <v>69</v>
      </c>
      <c r="AH43" s="46">
        <v>41</v>
      </c>
      <c r="AI43" s="46">
        <f t="shared" si="0"/>
        <v>28</v>
      </c>
      <c r="AJ43" s="46">
        <v>138</v>
      </c>
      <c r="AK43" s="46">
        <f t="shared" si="1"/>
        <v>69</v>
      </c>
      <c r="AL43" s="46">
        <v>42</v>
      </c>
      <c r="AM43" s="46">
        <v>56</v>
      </c>
    </row>
    <row r="44" spans="2:39" ht="15.75" thickBot="1" x14ac:dyDescent="0.3">
      <c r="AE44" s="67" t="s">
        <v>54</v>
      </c>
      <c r="AF44" s="111" t="s">
        <v>55</v>
      </c>
      <c r="AG44" s="46">
        <v>69</v>
      </c>
      <c r="AH44" s="46">
        <v>41</v>
      </c>
      <c r="AI44" s="46">
        <f t="shared" si="0"/>
        <v>28</v>
      </c>
      <c r="AJ44" s="46">
        <v>153</v>
      </c>
      <c r="AK44" s="46">
        <f t="shared" si="1"/>
        <v>84</v>
      </c>
      <c r="AL44" s="46">
        <v>43</v>
      </c>
      <c r="AM44" s="46">
        <v>56</v>
      </c>
    </row>
    <row r="45" spans="2:39" ht="15.75" thickBot="1" x14ac:dyDescent="0.3">
      <c r="B45" s="81" t="s">
        <v>201</v>
      </c>
      <c r="C45" s="72">
        <v>2017</v>
      </c>
      <c r="D45" s="73">
        <f>VLOOKUP('AAA Summary'!$C$29,'AAA 2017 Report'!$A$8:$T$85,12,FALSE)</f>
        <v>0.94</v>
      </c>
      <c r="E45" s="74">
        <f>VLOOKUP('AAA Summary'!$C$29,'AAA 2017 Report'!$A$8:$T$85,20,FALSE)</f>
        <v>3</v>
      </c>
      <c r="F45" s="73">
        <v>0.85</v>
      </c>
      <c r="AE45" s="67" t="s">
        <v>25</v>
      </c>
      <c r="AF45" s="111" t="s">
        <v>26</v>
      </c>
      <c r="AG45" s="46">
        <v>70</v>
      </c>
      <c r="AH45" s="46">
        <v>48</v>
      </c>
      <c r="AI45" s="46">
        <f t="shared" si="0"/>
        <v>22</v>
      </c>
      <c r="AJ45" s="46">
        <v>126</v>
      </c>
      <c r="AK45" s="46">
        <f t="shared" si="1"/>
        <v>56</v>
      </c>
      <c r="AL45" s="46">
        <v>44</v>
      </c>
      <c r="AM45" s="46">
        <v>56</v>
      </c>
    </row>
    <row r="46" spans="2:39" ht="15.75" thickBot="1" x14ac:dyDescent="0.3">
      <c r="B46" s="41"/>
      <c r="C46" s="75">
        <v>2018</v>
      </c>
      <c r="D46" s="76">
        <f>VLOOKUP('AAA Summary'!$C$29,'AAA 2018 Report'!$A$8:$R$85,8,FALSE)</f>
        <v>0.92</v>
      </c>
      <c r="E46" s="77">
        <f>VLOOKUP('AAA Summary'!$C$29,'AAA 2018 Report'!$A$8:$R$85,16,FALSE)</f>
        <v>3</v>
      </c>
      <c r="F46" s="76">
        <v>0.83</v>
      </c>
      <c r="AE46" s="67" t="s">
        <v>138</v>
      </c>
      <c r="AF46" s="111" t="s">
        <v>139</v>
      </c>
      <c r="AG46" s="46">
        <v>71</v>
      </c>
      <c r="AH46" s="46">
        <v>40</v>
      </c>
      <c r="AI46" s="46">
        <f t="shared" si="0"/>
        <v>31</v>
      </c>
      <c r="AJ46" s="46">
        <v>97</v>
      </c>
      <c r="AK46" s="46">
        <f t="shared" si="1"/>
        <v>26</v>
      </c>
      <c r="AL46" s="46">
        <v>45</v>
      </c>
      <c r="AM46" s="46">
        <v>56</v>
      </c>
    </row>
    <row r="47" spans="2:39" ht="15.75" thickBot="1" x14ac:dyDescent="0.3">
      <c r="B47" s="41"/>
      <c r="C47" s="78">
        <v>2019</v>
      </c>
      <c r="D47" s="79">
        <f>VLOOKUP('AAA Summary'!$C$29,'Elective Infra-Renal AAA Repair'!$A$8:$R$85,8,FALSE)</f>
        <v>0.88</v>
      </c>
      <c r="E47" s="80">
        <f>VLOOKUP('AAA Summary'!$C$29,'Elective Infra-Renal AAA Repair'!$A$8:$R$85,17,FALSE)</f>
        <v>2</v>
      </c>
      <c r="F47" s="79">
        <v>0.82</v>
      </c>
      <c r="AE47" s="67" t="s">
        <v>74</v>
      </c>
      <c r="AF47" s="111" t="s">
        <v>75</v>
      </c>
      <c r="AG47" s="46">
        <v>74</v>
      </c>
      <c r="AH47" s="46">
        <v>9</v>
      </c>
      <c r="AI47" s="46">
        <f t="shared" si="0"/>
        <v>65</v>
      </c>
      <c r="AJ47" s="46">
        <v>222</v>
      </c>
      <c r="AK47" s="46">
        <f t="shared" si="1"/>
        <v>148</v>
      </c>
      <c r="AL47" s="46">
        <v>46</v>
      </c>
      <c r="AM47" s="46">
        <v>56</v>
      </c>
    </row>
    <row r="48" spans="2:39" x14ac:dyDescent="0.25">
      <c r="AE48" s="67" t="s">
        <v>172</v>
      </c>
      <c r="AF48" s="111" t="s">
        <v>173</v>
      </c>
      <c r="AG48" s="46">
        <v>75</v>
      </c>
      <c r="AH48" s="46">
        <v>41</v>
      </c>
      <c r="AI48" s="46">
        <f t="shared" si="0"/>
        <v>34</v>
      </c>
      <c r="AJ48" s="46">
        <v>99</v>
      </c>
      <c r="AK48" s="46">
        <f t="shared" si="1"/>
        <v>24</v>
      </c>
      <c r="AL48" s="46">
        <v>47</v>
      </c>
      <c r="AM48" s="46">
        <v>56</v>
      </c>
    </row>
    <row r="49" spans="31:39" x14ac:dyDescent="0.25">
      <c r="AE49" s="67" t="s">
        <v>13</v>
      </c>
      <c r="AF49" s="111" t="s">
        <v>14</v>
      </c>
      <c r="AG49" s="46">
        <v>75</v>
      </c>
      <c r="AH49" s="46">
        <v>54</v>
      </c>
      <c r="AI49" s="46">
        <f t="shared" si="0"/>
        <v>21</v>
      </c>
      <c r="AJ49" s="46">
        <v>144</v>
      </c>
      <c r="AK49" s="46">
        <f t="shared" si="1"/>
        <v>69</v>
      </c>
      <c r="AL49" s="46">
        <v>48</v>
      </c>
      <c r="AM49" s="46">
        <v>56</v>
      </c>
    </row>
    <row r="50" spans="31:39" x14ac:dyDescent="0.25">
      <c r="AE50" s="67" t="s">
        <v>58</v>
      </c>
      <c r="AF50" s="111" t="s">
        <v>59</v>
      </c>
      <c r="AG50" s="46">
        <v>77</v>
      </c>
      <c r="AH50" s="46">
        <v>42</v>
      </c>
      <c r="AI50" s="46">
        <f t="shared" si="0"/>
        <v>35</v>
      </c>
      <c r="AJ50" s="46">
        <v>111</v>
      </c>
      <c r="AK50" s="46">
        <f t="shared" si="1"/>
        <v>34</v>
      </c>
      <c r="AL50" s="46">
        <v>49</v>
      </c>
      <c r="AM50" s="46">
        <v>56</v>
      </c>
    </row>
    <row r="51" spans="31:39" x14ac:dyDescent="0.25">
      <c r="AE51" s="67" t="s">
        <v>9</v>
      </c>
      <c r="AF51" s="111" t="s">
        <v>10</v>
      </c>
      <c r="AG51" s="46">
        <v>77</v>
      </c>
      <c r="AH51" s="46">
        <v>42</v>
      </c>
      <c r="AI51" s="46">
        <f t="shared" si="0"/>
        <v>35</v>
      </c>
      <c r="AJ51" s="46">
        <v>132</v>
      </c>
      <c r="AK51" s="46">
        <f t="shared" si="1"/>
        <v>55</v>
      </c>
      <c r="AL51" s="46">
        <v>50</v>
      </c>
      <c r="AM51" s="46">
        <v>56</v>
      </c>
    </row>
    <row r="52" spans="31:39" x14ac:dyDescent="0.25">
      <c r="AE52" s="67" t="s">
        <v>118</v>
      </c>
      <c r="AF52" s="111" t="s">
        <v>119</v>
      </c>
      <c r="AG52" s="46">
        <v>78</v>
      </c>
      <c r="AH52" s="46">
        <v>35</v>
      </c>
      <c r="AI52" s="46">
        <f t="shared" si="0"/>
        <v>43</v>
      </c>
      <c r="AJ52" s="46">
        <v>123</v>
      </c>
      <c r="AK52" s="46">
        <f t="shared" si="1"/>
        <v>45</v>
      </c>
      <c r="AL52" s="46">
        <v>51</v>
      </c>
      <c r="AM52" s="46">
        <v>56</v>
      </c>
    </row>
    <row r="53" spans="31:39" x14ac:dyDescent="0.25">
      <c r="AE53" s="67" t="s">
        <v>130</v>
      </c>
      <c r="AF53" s="111" t="s">
        <v>131</v>
      </c>
      <c r="AG53" s="46">
        <v>78</v>
      </c>
      <c r="AH53" s="46">
        <v>45</v>
      </c>
      <c r="AI53" s="46">
        <f t="shared" si="0"/>
        <v>33</v>
      </c>
      <c r="AJ53" s="46">
        <v>129</v>
      </c>
      <c r="AK53" s="46">
        <f t="shared" si="1"/>
        <v>51</v>
      </c>
      <c r="AL53" s="46">
        <v>52</v>
      </c>
      <c r="AM53" s="46">
        <v>56</v>
      </c>
    </row>
    <row r="54" spans="31:39" x14ac:dyDescent="0.25">
      <c r="AE54" s="67" t="s">
        <v>48</v>
      </c>
      <c r="AF54" s="111" t="s">
        <v>49</v>
      </c>
      <c r="AG54" s="46">
        <v>80</v>
      </c>
      <c r="AH54" s="46">
        <v>41</v>
      </c>
      <c r="AI54" s="46">
        <f t="shared" si="0"/>
        <v>39</v>
      </c>
      <c r="AJ54" s="46">
        <v>103</v>
      </c>
      <c r="AK54" s="46">
        <f t="shared" si="1"/>
        <v>23</v>
      </c>
      <c r="AL54" s="46">
        <v>53</v>
      </c>
      <c r="AM54" s="46">
        <v>56</v>
      </c>
    </row>
    <row r="55" spans="31:39" x14ac:dyDescent="0.25">
      <c r="AE55" s="67" t="s">
        <v>170</v>
      </c>
      <c r="AF55" s="111" t="s">
        <v>171</v>
      </c>
      <c r="AG55" s="46">
        <v>82</v>
      </c>
      <c r="AH55" s="46">
        <v>49</v>
      </c>
      <c r="AI55" s="46">
        <f t="shared" si="0"/>
        <v>33</v>
      </c>
      <c r="AJ55" s="46">
        <v>128</v>
      </c>
      <c r="AK55" s="46">
        <f t="shared" si="1"/>
        <v>46</v>
      </c>
      <c r="AL55" s="46">
        <v>54</v>
      </c>
      <c r="AM55" s="46">
        <v>56</v>
      </c>
    </row>
    <row r="56" spans="31:39" x14ac:dyDescent="0.25">
      <c r="AE56" s="67" t="s">
        <v>23</v>
      </c>
      <c r="AF56" s="111" t="s">
        <v>24</v>
      </c>
      <c r="AG56" s="46">
        <v>84</v>
      </c>
      <c r="AH56" s="46">
        <v>31</v>
      </c>
      <c r="AI56" s="46">
        <f t="shared" si="0"/>
        <v>53</v>
      </c>
      <c r="AJ56" s="46">
        <v>121</v>
      </c>
      <c r="AK56" s="46">
        <f t="shared" si="1"/>
        <v>37</v>
      </c>
      <c r="AL56" s="46">
        <v>55</v>
      </c>
      <c r="AM56" s="46">
        <v>56</v>
      </c>
    </row>
    <row r="57" spans="31:39" x14ac:dyDescent="0.25">
      <c r="AE57" s="67" t="s">
        <v>72</v>
      </c>
      <c r="AF57" s="111" t="s">
        <v>73</v>
      </c>
      <c r="AG57" s="46">
        <v>84</v>
      </c>
      <c r="AH57" s="46">
        <v>36</v>
      </c>
      <c r="AI57" s="46">
        <f t="shared" si="0"/>
        <v>48</v>
      </c>
      <c r="AJ57" s="46">
        <v>128</v>
      </c>
      <c r="AK57" s="46">
        <f t="shared" si="1"/>
        <v>44</v>
      </c>
      <c r="AL57" s="46">
        <v>56</v>
      </c>
      <c r="AM57" s="46">
        <v>56</v>
      </c>
    </row>
    <row r="58" spans="31:39" x14ac:dyDescent="0.25">
      <c r="AE58" s="67" t="s">
        <v>93</v>
      </c>
      <c r="AF58" s="111" t="s">
        <v>94</v>
      </c>
      <c r="AG58" s="46">
        <v>85</v>
      </c>
      <c r="AH58" s="46">
        <v>39</v>
      </c>
      <c r="AI58" s="46">
        <f t="shared" si="0"/>
        <v>46</v>
      </c>
      <c r="AJ58" s="46">
        <v>120</v>
      </c>
      <c r="AK58" s="46">
        <f t="shared" si="1"/>
        <v>35</v>
      </c>
      <c r="AL58" s="46">
        <v>57</v>
      </c>
      <c r="AM58" s="46">
        <v>56</v>
      </c>
    </row>
    <row r="59" spans="31:39" x14ac:dyDescent="0.25">
      <c r="AE59" s="67" t="s">
        <v>150</v>
      </c>
      <c r="AF59" s="111" t="s">
        <v>151</v>
      </c>
      <c r="AG59" s="46">
        <v>86</v>
      </c>
      <c r="AH59" s="46">
        <v>59</v>
      </c>
      <c r="AI59" s="46">
        <f t="shared" si="0"/>
        <v>27</v>
      </c>
      <c r="AJ59" s="46">
        <v>134</v>
      </c>
      <c r="AK59" s="46">
        <f t="shared" si="1"/>
        <v>48</v>
      </c>
      <c r="AL59" s="46">
        <v>58</v>
      </c>
      <c r="AM59" s="46">
        <v>56</v>
      </c>
    </row>
    <row r="60" spans="31:39" x14ac:dyDescent="0.25">
      <c r="AE60" s="67" t="s">
        <v>77</v>
      </c>
      <c r="AF60" s="111" t="s">
        <v>78</v>
      </c>
      <c r="AG60" s="46">
        <v>86</v>
      </c>
      <c r="AH60" s="46">
        <v>60</v>
      </c>
      <c r="AI60" s="46">
        <f t="shared" si="0"/>
        <v>26</v>
      </c>
      <c r="AJ60" s="46">
        <v>123</v>
      </c>
      <c r="AK60" s="46">
        <f t="shared" si="1"/>
        <v>37</v>
      </c>
      <c r="AL60" s="46">
        <v>59</v>
      </c>
      <c r="AM60" s="46">
        <v>56</v>
      </c>
    </row>
    <row r="61" spans="31:39" x14ac:dyDescent="0.25">
      <c r="AE61" s="67" t="s">
        <v>0</v>
      </c>
      <c r="AF61" s="111" t="s">
        <v>1</v>
      </c>
      <c r="AG61" s="46">
        <v>87</v>
      </c>
      <c r="AH61" s="46">
        <v>43</v>
      </c>
      <c r="AI61" s="46">
        <f t="shared" si="0"/>
        <v>44</v>
      </c>
      <c r="AJ61" s="46">
        <v>135</v>
      </c>
      <c r="AK61" s="46">
        <f t="shared" si="1"/>
        <v>48</v>
      </c>
      <c r="AL61" s="46">
        <v>60</v>
      </c>
      <c r="AM61" s="46">
        <v>56</v>
      </c>
    </row>
    <row r="62" spans="31:39" x14ac:dyDescent="0.25">
      <c r="AE62" s="67" t="s">
        <v>37</v>
      </c>
      <c r="AF62" s="111" t="s">
        <v>38</v>
      </c>
      <c r="AG62" s="46">
        <v>88</v>
      </c>
      <c r="AH62" s="46">
        <v>64</v>
      </c>
      <c r="AI62" s="46">
        <f t="shared" si="0"/>
        <v>24</v>
      </c>
      <c r="AJ62" s="46">
        <v>151</v>
      </c>
      <c r="AK62" s="46">
        <f t="shared" si="1"/>
        <v>63</v>
      </c>
      <c r="AL62" s="46">
        <v>61</v>
      </c>
      <c r="AM62" s="46">
        <v>56</v>
      </c>
    </row>
    <row r="63" spans="31:39" x14ac:dyDescent="0.25">
      <c r="AE63" s="67" t="s">
        <v>66</v>
      </c>
      <c r="AF63" s="111" t="s">
        <v>67</v>
      </c>
      <c r="AG63" s="46">
        <v>90</v>
      </c>
      <c r="AH63" s="46">
        <v>50</v>
      </c>
      <c r="AI63" s="46">
        <f t="shared" si="0"/>
        <v>40</v>
      </c>
      <c r="AJ63" s="46">
        <v>174</v>
      </c>
      <c r="AK63" s="46">
        <f t="shared" si="1"/>
        <v>84</v>
      </c>
      <c r="AL63" s="46">
        <v>62</v>
      </c>
      <c r="AM63" s="46">
        <v>56</v>
      </c>
    </row>
    <row r="64" spans="31:39" x14ac:dyDescent="0.25">
      <c r="AE64" s="67" t="s">
        <v>21</v>
      </c>
      <c r="AF64" s="111" t="s">
        <v>22</v>
      </c>
      <c r="AG64" s="46">
        <v>90</v>
      </c>
      <c r="AH64" s="46">
        <v>66</v>
      </c>
      <c r="AI64" s="46">
        <f t="shared" si="0"/>
        <v>24</v>
      </c>
      <c r="AJ64" s="46">
        <v>145</v>
      </c>
      <c r="AK64" s="46">
        <f t="shared" si="1"/>
        <v>55</v>
      </c>
      <c r="AL64" s="46">
        <v>63</v>
      </c>
      <c r="AM64" s="46">
        <v>56</v>
      </c>
    </row>
    <row r="65" spans="31:39" x14ac:dyDescent="0.25">
      <c r="AE65" s="67" t="s">
        <v>4</v>
      </c>
      <c r="AF65" s="111" t="s">
        <v>214</v>
      </c>
      <c r="AG65" s="46">
        <v>92</v>
      </c>
      <c r="AH65" s="46">
        <v>53</v>
      </c>
      <c r="AI65" s="46">
        <f t="shared" si="0"/>
        <v>39</v>
      </c>
      <c r="AJ65" s="46">
        <v>151</v>
      </c>
      <c r="AK65" s="46">
        <f t="shared" si="1"/>
        <v>59</v>
      </c>
      <c r="AL65" s="46">
        <v>64</v>
      </c>
      <c r="AM65" s="46">
        <v>56</v>
      </c>
    </row>
    <row r="66" spans="31:39" x14ac:dyDescent="0.25">
      <c r="AE66" s="67" t="s">
        <v>148</v>
      </c>
      <c r="AF66" s="111" t="s">
        <v>149</v>
      </c>
      <c r="AG66" s="46">
        <v>95</v>
      </c>
      <c r="AH66" s="46">
        <v>44</v>
      </c>
      <c r="AI66" s="46">
        <f t="shared" si="0"/>
        <v>51</v>
      </c>
      <c r="AJ66" s="46">
        <v>160</v>
      </c>
      <c r="AK66" s="46">
        <f t="shared" si="1"/>
        <v>65</v>
      </c>
      <c r="AL66" s="46">
        <v>65</v>
      </c>
      <c r="AM66" s="46">
        <v>56</v>
      </c>
    </row>
    <row r="67" spans="31:39" x14ac:dyDescent="0.25">
      <c r="AE67" s="67" t="s">
        <v>144</v>
      </c>
      <c r="AF67" s="111" t="s">
        <v>145</v>
      </c>
      <c r="AG67" s="46">
        <v>95</v>
      </c>
      <c r="AH67" s="46">
        <v>60</v>
      </c>
      <c r="AI67" s="46">
        <f t="shared" ref="AI67:AI77" si="2">AG67-AH67</f>
        <v>35</v>
      </c>
      <c r="AJ67" s="46">
        <v>113</v>
      </c>
      <c r="AK67" s="46">
        <f t="shared" ref="AK67:AK77" si="3">AJ67-AG67</f>
        <v>18</v>
      </c>
      <c r="AL67" s="46">
        <v>66</v>
      </c>
      <c r="AM67" s="46">
        <v>56</v>
      </c>
    </row>
    <row r="68" spans="31:39" x14ac:dyDescent="0.25">
      <c r="AE68" s="67" t="s">
        <v>101</v>
      </c>
      <c r="AF68" s="111" t="s">
        <v>102</v>
      </c>
      <c r="AG68" s="112">
        <v>100</v>
      </c>
      <c r="AH68" s="46">
        <v>63</v>
      </c>
      <c r="AI68" s="46">
        <f t="shared" si="2"/>
        <v>37</v>
      </c>
      <c r="AJ68" s="46">
        <v>140</v>
      </c>
      <c r="AK68" s="46">
        <f t="shared" si="3"/>
        <v>40</v>
      </c>
      <c r="AL68" s="46">
        <v>67</v>
      </c>
      <c r="AM68" s="46">
        <v>56</v>
      </c>
    </row>
    <row r="69" spans="31:39" x14ac:dyDescent="0.25">
      <c r="AE69" s="67" t="s">
        <v>120</v>
      </c>
      <c r="AF69" s="111" t="s">
        <v>121</v>
      </c>
      <c r="AG69" s="112">
        <v>106</v>
      </c>
      <c r="AH69" s="46">
        <v>71</v>
      </c>
      <c r="AI69" s="46">
        <f t="shared" si="2"/>
        <v>35</v>
      </c>
      <c r="AJ69" s="46">
        <v>155</v>
      </c>
      <c r="AK69" s="46">
        <f t="shared" si="3"/>
        <v>49</v>
      </c>
      <c r="AL69" s="46">
        <v>68</v>
      </c>
      <c r="AM69" s="46">
        <v>56</v>
      </c>
    </row>
    <row r="70" spans="31:39" x14ac:dyDescent="0.25">
      <c r="AE70" s="67" t="s">
        <v>42</v>
      </c>
      <c r="AF70" s="111" t="s">
        <v>43</v>
      </c>
      <c r="AG70" s="112">
        <v>109</v>
      </c>
      <c r="AH70" s="46">
        <v>62</v>
      </c>
      <c r="AI70" s="46">
        <f t="shared" si="2"/>
        <v>47</v>
      </c>
      <c r="AJ70" s="46">
        <v>167</v>
      </c>
      <c r="AK70" s="46">
        <f t="shared" si="3"/>
        <v>58</v>
      </c>
      <c r="AL70" s="46">
        <v>69</v>
      </c>
      <c r="AM70" s="46">
        <v>56</v>
      </c>
    </row>
    <row r="71" spans="31:39" x14ac:dyDescent="0.25">
      <c r="AE71" s="67" t="s">
        <v>5</v>
      </c>
      <c r="AF71" s="111" t="s">
        <v>6</v>
      </c>
      <c r="AG71" s="112">
        <v>111</v>
      </c>
      <c r="AH71" s="46">
        <v>35</v>
      </c>
      <c r="AI71" s="46">
        <f t="shared" si="2"/>
        <v>76</v>
      </c>
      <c r="AJ71" s="46">
        <v>161</v>
      </c>
      <c r="AK71" s="46">
        <f t="shared" si="3"/>
        <v>50</v>
      </c>
      <c r="AL71" s="46">
        <v>70</v>
      </c>
      <c r="AM71" s="46">
        <v>56</v>
      </c>
    </row>
    <row r="72" spans="31:39" x14ac:dyDescent="0.25">
      <c r="AE72" s="67" t="s">
        <v>180</v>
      </c>
      <c r="AF72" s="111" t="s">
        <v>181</v>
      </c>
      <c r="AG72" s="112">
        <v>128</v>
      </c>
      <c r="AH72" s="46">
        <v>86</v>
      </c>
      <c r="AI72" s="46">
        <f t="shared" si="2"/>
        <v>42</v>
      </c>
      <c r="AJ72" s="46">
        <v>190</v>
      </c>
      <c r="AK72" s="46">
        <f t="shared" si="3"/>
        <v>62</v>
      </c>
      <c r="AL72" s="46">
        <v>71</v>
      </c>
      <c r="AM72" s="46">
        <v>56</v>
      </c>
    </row>
    <row r="73" spans="31:39" x14ac:dyDescent="0.25">
      <c r="AE73" s="67" t="s">
        <v>44</v>
      </c>
      <c r="AF73" s="111" t="s">
        <v>45</v>
      </c>
      <c r="AG73" s="112">
        <v>132</v>
      </c>
      <c r="AH73" s="46">
        <v>78</v>
      </c>
      <c r="AI73" s="46">
        <f t="shared" si="2"/>
        <v>54</v>
      </c>
      <c r="AJ73" s="46">
        <v>173</v>
      </c>
      <c r="AK73" s="46">
        <f t="shared" si="3"/>
        <v>41</v>
      </c>
      <c r="AL73" s="46">
        <v>72</v>
      </c>
      <c r="AM73" s="46">
        <v>56</v>
      </c>
    </row>
    <row r="74" spans="31:39" x14ac:dyDescent="0.25">
      <c r="AE74" s="67" t="s">
        <v>60</v>
      </c>
      <c r="AF74" s="111" t="s">
        <v>61</v>
      </c>
      <c r="AG74" s="112">
        <v>140</v>
      </c>
      <c r="AH74" s="46">
        <v>81</v>
      </c>
      <c r="AI74" s="46">
        <f t="shared" si="2"/>
        <v>59</v>
      </c>
      <c r="AJ74" s="46">
        <v>174</v>
      </c>
      <c r="AK74" s="46">
        <f t="shared" si="3"/>
        <v>34</v>
      </c>
      <c r="AL74" s="46">
        <v>73</v>
      </c>
      <c r="AM74" s="46">
        <v>56</v>
      </c>
    </row>
    <row r="75" spans="31:39" x14ac:dyDescent="0.25">
      <c r="AE75" s="67" t="s">
        <v>99</v>
      </c>
      <c r="AF75" s="111" t="s">
        <v>100</v>
      </c>
      <c r="AG75" s="112">
        <v>143</v>
      </c>
      <c r="AH75" s="46">
        <v>98</v>
      </c>
      <c r="AI75" s="46">
        <f t="shared" si="2"/>
        <v>45</v>
      </c>
      <c r="AJ75" s="46">
        <v>220</v>
      </c>
      <c r="AK75" s="46">
        <f t="shared" si="3"/>
        <v>77</v>
      </c>
      <c r="AL75" s="46">
        <v>74</v>
      </c>
      <c r="AM75" s="46">
        <v>56</v>
      </c>
    </row>
    <row r="76" spans="31:39" x14ac:dyDescent="0.25">
      <c r="AE76" s="67" t="s">
        <v>97</v>
      </c>
      <c r="AF76" s="111" t="s">
        <v>98</v>
      </c>
      <c r="AG76" s="112">
        <v>148</v>
      </c>
      <c r="AH76" s="46">
        <v>92</v>
      </c>
      <c r="AI76" s="46">
        <f t="shared" si="2"/>
        <v>56</v>
      </c>
      <c r="AJ76" s="46">
        <v>234</v>
      </c>
      <c r="AK76" s="46">
        <f t="shared" si="3"/>
        <v>86</v>
      </c>
      <c r="AL76" s="46">
        <v>75</v>
      </c>
      <c r="AM76" s="46">
        <v>56</v>
      </c>
    </row>
    <row r="77" spans="31:39" x14ac:dyDescent="0.25">
      <c r="AE77" s="67" t="s">
        <v>160</v>
      </c>
      <c r="AF77" s="111" t="s">
        <v>161</v>
      </c>
      <c r="AG77" s="46" t="s">
        <v>712</v>
      </c>
      <c r="AH77" s="46" t="s">
        <v>712</v>
      </c>
      <c r="AI77" s="46" t="e">
        <f t="shared" si="2"/>
        <v>#VALUE!</v>
      </c>
      <c r="AJ77" s="46" t="s">
        <v>712</v>
      </c>
      <c r="AK77" s="46" t="e">
        <f t="shared" si="3"/>
        <v>#VALUE!</v>
      </c>
      <c r="AL77" s="46">
        <v>76</v>
      </c>
      <c r="AM77" s="46">
        <v>56</v>
      </c>
    </row>
    <row r="78" spans="31:39" x14ac:dyDescent="0.25">
      <c r="AE78" s="67"/>
      <c r="AF78" s="111"/>
      <c r="AG78" s="118"/>
      <c r="AH78" s="118"/>
      <c r="AI78" s="118"/>
      <c r="AJ78" s="118"/>
      <c r="AK78" s="118"/>
    </row>
  </sheetData>
  <mergeCells count="1">
    <mergeCell ref="B30:C30"/>
  </mergeCells>
  <conditionalFormatting sqref="D29">
    <cfRule type="expression" dxfId="0" priority="1">
      <formula>"AP2=3"</formula>
    </cfRule>
  </conditionalFormatting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1" manualBreakCount="1">
    <brk id="47" max="11" man="1"/>
  </rowBreaks>
  <ignoredErrors>
    <ignoredError sqref="D45:D46 E45:E46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'Elective Infra-Renal AAA Repair'!$E$7:$H$7</xm:f>
          </x14:formula1>
          <xm:sqref>J30</xm:sqref>
        </x14:dataValidation>
        <x14:dataValidation type="list" allowBlank="1" showInputMessage="1" showErrorMessage="1">
          <x14:formula1>
            <xm:f>'S:\NatlVasReg\2018 Annual Report\Ideas for Appendices\Newcastle Demo Apr 2019\[NVR NHS Organisation Data Viewer.xlsx]AAA 2018 Report'!#REF!</xm:f>
          </x14:formula1>
          <xm:sqref>C1</xm:sqref>
        </x14:dataValidation>
        <x14:dataValidation type="list" allowBlank="1" showInputMessage="1" showErrorMessage="1">
          <x14:formula1>
            <xm:f>'Elective Infra-Renal AAA Repair'!$B$8:$B$83</xm:f>
          </x14:formula1>
          <xm:sqref>B1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opLeftCell="C1" workbookViewId="0">
      <selection activeCell="R7" sqref="R7"/>
    </sheetView>
  </sheetViews>
  <sheetFormatPr defaultRowHeight="15" x14ac:dyDescent="0.25"/>
  <cols>
    <col min="1" max="1" width="6.42578125" bestFit="1" customWidth="1"/>
    <col min="2" max="2" width="63.7109375" bestFit="1" customWidth="1"/>
    <col min="3" max="3" width="12.28515625" customWidth="1"/>
    <col min="4" max="5" width="14" customWidth="1"/>
    <col min="6" max="6" width="16.7109375" customWidth="1"/>
    <col min="7" max="7" width="23.5703125" customWidth="1"/>
    <col min="8" max="8" width="11.85546875" customWidth="1"/>
    <col min="9" max="9" width="20.42578125" customWidth="1"/>
    <col min="10" max="10" width="20" customWidth="1"/>
    <col min="11" max="11" width="16.28515625" customWidth="1"/>
    <col min="12" max="16" width="17" customWidth="1"/>
    <col min="17" max="17" width="6.42578125" style="46" bestFit="1" customWidth="1"/>
  </cols>
  <sheetData>
    <row r="1" spans="1:17" x14ac:dyDescent="0.25">
      <c r="A1">
        <v>0</v>
      </c>
      <c r="B1" t="s">
        <v>872</v>
      </c>
      <c r="E1">
        <f t="shared" ref="E1:H5" si="0">QUARTILE(E$8:E$85,$A1)</f>
        <v>0.25</v>
      </c>
      <c r="F1">
        <f t="shared" si="0"/>
        <v>0</v>
      </c>
      <c r="G1">
        <f t="shared" si="0"/>
        <v>0.24</v>
      </c>
      <c r="H1">
        <f t="shared" si="0"/>
        <v>0.21</v>
      </c>
    </row>
    <row r="2" spans="1:17" x14ac:dyDescent="0.25">
      <c r="A2">
        <v>1</v>
      </c>
      <c r="B2" t="s">
        <v>873</v>
      </c>
      <c r="E2">
        <f t="shared" si="0"/>
        <v>0.84</v>
      </c>
      <c r="F2">
        <f t="shared" si="0"/>
        <v>0.97</v>
      </c>
      <c r="G2">
        <f t="shared" si="0"/>
        <v>0.85</v>
      </c>
      <c r="H2">
        <f t="shared" si="0"/>
        <v>0.75</v>
      </c>
    </row>
    <row r="3" spans="1:17" x14ac:dyDescent="0.25">
      <c r="A3">
        <v>2</v>
      </c>
      <c r="B3" t="s">
        <v>874</v>
      </c>
      <c r="E3">
        <f t="shared" si="0"/>
        <v>0.93</v>
      </c>
      <c r="F3">
        <f t="shared" si="0"/>
        <v>1</v>
      </c>
      <c r="G3">
        <f t="shared" si="0"/>
        <v>0.93</v>
      </c>
      <c r="H3">
        <f t="shared" si="0"/>
        <v>0.87</v>
      </c>
    </row>
    <row r="4" spans="1:17" x14ac:dyDescent="0.25">
      <c r="A4">
        <v>3</v>
      </c>
      <c r="B4" t="s">
        <v>875</v>
      </c>
      <c r="E4">
        <f t="shared" si="0"/>
        <v>0.98</v>
      </c>
      <c r="F4">
        <f t="shared" si="0"/>
        <v>1</v>
      </c>
      <c r="G4">
        <f t="shared" si="0"/>
        <v>1</v>
      </c>
      <c r="H4">
        <f t="shared" si="0"/>
        <v>0.97</v>
      </c>
    </row>
    <row r="5" spans="1:17" x14ac:dyDescent="0.25">
      <c r="A5">
        <v>4</v>
      </c>
      <c r="B5" t="s">
        <v>876</v>
      </c>
      <c r="E5">
        <f t="shared" si="0"/>
        <v>1</v>
      </c>
      <c r="F5">
        <f t="shared" si="0"/>
        <v>1</v>
      </c>
      <c r="G5">
        <f t="shared" si="0"/>
        <v>1</v>
      </c>
      <c r="H5">
        <f t="shared" si="0"/>
        <v>1</v>
      </c>
    </row>
    <row r="7" spans="1:17" ht="45" x14ac:dyDescent="0.25">
      <c r="A7" s="12" t="s">
        <v>189</v>
      </c>
      <c r="B7" s="12" t="s">
        <v>183</v>
      </c>
      <c r="C7" s="11" t="s">
        <v>197</v>
      </c>
      <c r="D7" s="11" t="s">
        <v>198</v>
      </c>
      <c r="E7" s="12" t="s">
        <v>205</v>
      </c>
      <c r="F7" s="11" t="s">
        <v>199</v>
      </c>
      <c r="G7" s="11" t="s">
        <v>200</v>
      </c>
      <c r="H7" s="11" t="s">
        <v>201</v>
      </c>
      <c r="I7" s="12" t="s">
        <v>202</v>
      </c>
      <c r="J7" s="12" t="s">
        <v>203</v>
      </c>
      <c r="K7" s="12" t="s">
        <v>204</v>
      </c>
      <c r="L7" s="12" t="s">
        <v>855</v>
      </c>
      <c r="M7" s="34" t="s">
        <v>881</v>
      </c>
      <c r="N7" s="53" t="s">
        <v>882</v>
      </c>
      <c r="O7" s="53" t="s">
        <v>883</v>
      </c>
      <c r="P7" s="53" t="s">
        <v>884</v>
      </c>
      <c r="Q7" s="65" t="s">
        <v>189</v>
      </c>
    </row>
    <row r="8" spans="1:17" x14ac:dyDescent="0.25">
      <c r="A8" s="10" t="s">
        <v>4</v>
      </c>
      <c r="B8" s="4" t="s">
        <v>865</v>
      </c>
      <c r="C8" s="6">
        <v>47</v>
      </c>
      <c r="D8" s="6">
        <v>23</v>
      </c>
      <c r="E8" s="9">
        <v>1</v>
      </c>
      <c r="F8" s="9">
        <v>0.98</v>
      </c>
      <c r="G8" s="9">
        <v>1</v>
      </c>
      <c r="H8" s="9">
        <v>0.89</v>
      </c>
      <c r="I8" s="10" t="s">
        <v>1006</v>
      </c>
      <c r="J8" s="10" t="s">
        <v>720</v>
      </c>
      <c r="K8" s="10" t="s">
        <v>591</v>
      </c>
      <c r="L8" s="26">
        <v>1.6E-2</v>
      </c>
      <c r="M8">
        <f>+IF(E8&lt;E$2,1,IF(E8&lt;E$3,2,IF(E8&lt;E$4,3,4)))</f>
        <v>4</v>
      </c>
      <c r="N8">
        <f>+IF(F8&lt;F$2,1,IF(F8&lt;F$3,2,IF(F8&lt;F$4,3,4)))</f>
        <v>2</v>
      </c>
      <c r="O8">
        <f>+IF(G8&lt;G$2,1,IF(G8&lt;G$3,2,IF(G8&lt;G$4,3,4)))</f>
        <v>4</v>
      </c>
      <c r="P8">
        <f>+IF(H8&lt;H$2,1,IF(H8&lt;H$3,2,IF(H8&lt;H$4,3,4)))</f>
        <v>3</v>
      </c>
      <c r="Q8" s="67" t="s">
        <v>4</v>
      </c>
    </row>
    <row r="9" spans="1:17" x14ac:dyDescent="0.25">
      <c r="A9" s="10" t="s">
        <v>9</v>
      </c>
      <c r="B9" s="4" t="s">
        <v>10</v>
      </c>
      <c r="C9" s="6">
        <v>49</v>
      </c>
      <c r="D9" s="6">
        <v>37</v>
      </c>
      <c r="E9" s="9">
        <v>0.94</v>
      </c>
      <c r="F9" s="9">
        <v>1</v>
      </c>
      <c r="G9" s="9">
        <v>0.93</v>
      </c>
      <c r="H9" s="9">
        <v>0.92</v>
      </c>
      <c r="I9" s="10" t="s">
        <v>1007</v>
      </c>
      <c r="J9" s="10" t="s">
        <v>704</v>
      </c>
      <c r="K9" s="10" t="s">
        <v>298</v>
      </c>
      <c r="L9" s="26">
        <v>0</v>
      </c>
      <c r="M9">
        <f t="shared" ref="M9:P72" si="1">+IF(E9&lt;E$2,1,IF(E9&lt;E$3,2,IF(E9&lt;E$4,3,4)))</f>
        <v>3</v>
      </c>
      <c r="N9">
        <f t="shared" si="1"/>
        <v>4</v>
      </c>
      <c r="O9">
        <f t="shared" si="1"/>
        <v>3</v>
      </c>
      <c r="P9">
        <f t="shared" si="1"/>
        <v>3</v>
      </c>
      <c r="Q9" s="67" t="s">
        <v>9</v>
      </c>
    </row>
    <row r="10" spans="1:17" x14ac:dyDescent="0.25">
      <c r="A10" s="10" t="s">
        <v>120</v>
      </c>
      <c r="B10" s="4" t="s">
        <v>121</v>
      </c>
      <c r="C10" s="6">
        <v>47</v>
      </c>
      <c r="D10" s="6">
        <v>39</v>
      </c>
      <c r="E10" s="9">
        <v>0.96</v>
      </c>
      <c r="F10" s="9">
        <v>1</v>
      </c>
      <c r="G10" s="9">
        <v>0.95</v>
      </c>
      <c r="H10" s="9">
        <v>0.94</v>
      </c>
      <c r="I10" s="10" t="s">
        <v>1008</v>
      </c>
      <c r="J10" s="10" t="s">
        <v>1009</v>
      </c>
      <c r="K10" s="10" t="s">
        <v>279</v>
      </c>
      <c r="L10" s="26">
        <v>1.7999999999999999E-2</v>
      </c>
      <c r="M10">
        <f t="shared" si="1"/>
        <v>3</v>
      </c>
      <c r="N10">
        <f t="shared" si="1"/>
        <v>4</v>
      </c>
      <c r="O10">
        <f t="shared" si="1"/>
        <v>3</v>
      </c>
      <c r="P10">
        <f t="shared" si="1"/>
        <v>3</v>
      </c>
      <c r="Q10" s="67" t="s">
        <v>120</v>
      </c>
    </row>
    <row r="11" spans="1:17" x14ac:dyDescent="0.25">
      <c r="A11" s="10" t="s">
        <v>48</v>
      </c>
      <c r="B11" s="4" t="s">
        <v>49</v>
      </c>
      <c r="C11" s="6">
        <v>39</v>
      </c>
      <c r="D11" s="6">
        <v>35</v>
      </c>
      <c r="E11" s="9">
        <v>0.97</v>
      </c>
      <c r="F11" s="9">
        <v>1</v>
      </c>
      <c r="G11" s="9">
        <v>1</v>
      </c>
      <c r="H11" s="9">
        <v>1</v>
      </c>
      <c r="I11" s="10" t="s">
        <v>1010</v>
      </c>
      <c r="J11" s="10" t="s">
        <v>772</v>
      </c>
      <c r="K11" s="10" t="s">
        <v>278</v>
      </c>
      <c r="L11" s="26">
        <v>0</v>
      </c>
      <c r="M11">
        <f t="shared" si="1"/>
        <v>3</v>
      </c>
      <c r="N11">
        <f t="shared" si="1"/>
        <v>4</v>
      </c>
      <c r="O11">
        <f t="shared" si="1"/>
        <v>4</v>
      </c>
      <c r="P11">
        <f t="shared" si="1"/>
        <v>4</v>
      </c>
      <c r="Q11" s="67" t="s">
        <v>48</v>
      </c>
    </row>
    <row r="12" spans="1:17" x14ac:dyDescent="0.25">
      <c r="A12" s="10" t="s">
        <v>13</v>
      </c>
      <c r="B12" s="4" t="s">
        <v>14</v>
      </c>
      <c r="C12" s="6">
        <v>29</v>
      </c>
      <c r="D12" s="6">
        <v>20</v>
      </c>
      <c r="E12" s="9">
        <v>0.62</v>
      </c>
      <c r="F12" s="9">
        <v>1</v>
      </c>
      <c r="G12" s="9">
        <v>0.63</v>
      </c>
      <c r="H12" s="9">
        <v>0.52</v>
      </c>
      <c r="I12" s="10" t="s">
        <v>1011</v>
      </c>
      <c r="J12" s="10" t="s">
        <v>966</v>
      </c>
      <c r="K12" s="10" t="s">
        <v>268</v>
      </c>
      <c r="L12" s="26">
        <v>2.1999999999999999E-2</v>
      </c>
      <c r="M12">
        <f t="shared" si="1"/>
        <v>1</v>
      </c>
      <c r="N12">
        <f t="shared" si="1"/>
        <v>4</v>
      </c>
      <c r="O12">
        <f t="shared" si="1"/>
        <v>1</v>
      </c>
      <c r="P12">
        <f t="shared" si="1"/>
        <v>1</v>
      </c>
      <c r="Q12" s="67" t="s">
        <v>13</v>
      </c>
    </row>
    <row r="13" spans="1:17" x14ac:dyDescent="0.25">
      <c r="A13" s="10" t="s">
        <v>37</v>
      </c>
      <c r="B13" s="4" t="s">
        <v>38</v>
      </c>
      <c r="C13" s="6">
        <v>23</v>
      </c>
      <c r="D13" s="6">
        <v>21</v>
      </c>
      <c r="E13" s="9">
        <v>0.56999999999999995</v>
      </c>
      <c r="F13" s="9">
        <v>1</v>
      </c>
      <c r="G13" s="9">
        <v>0.6</v>
      </c>
      <c r="H13" s="9">
        <v>0.35</v>
      </c>
      <c r="I13" s="10" t="s">
        <v>1012</v>
      </c>
      <c r="J13" s="10" t="s">
        <v>772</v>
      </c>
      <c r="K13" s="10" t="s">
        <v>515</v>
      </c>
      <c r="L13" s="26">
        <v>0</v>
      </c>
      <c r="M13">
        <f t="shared" si="1"/>
        <v>1</v>
      </c>
      <c r="N13">
        <f t="shared" si="1"/>
        <v>4</v>
      </c>
      <c r="O13">
        <f t="shared" si="1"/>
        <v>1</v>
      </c>
      <c r="P13">
        <f t="shared" si="1"/>
        <v>1</v>
      </c>
      <c r="Q13" s="67" t="s">
        <v>37</v>
      </c>
    </row>
    <row r="14" spans="1:17" x14ac:dyDescent="0.25">
      <c r="A14" s="10" t="s">
        <v>33</v>
      </c>
      <c r="B14" s="4" t="s">
        <v>34</v>
      </c>
      <c r="C14" s="6">
        <v>65</v>
      </c>
      <c r="D14" s="6">
        <v>61</v>
      </c>
      <c r="E14" s="9">
        <v>0.89</v>
      </c>
      <c r="F14" s="9">
        <v>1</v>
      </c>
      <c r="G14" s="9">
        <v>0.92</v>
      </c>
      <c r="H14" s="9">
        <v>0.75</v>
      </c>
      <c r="I14" s="10" t="s">
        <v>1013</v>
      </c>
      <c r="J14" s="10" t="s">
        <v>1000</v>
      </c>
      <c r="K14" s="10" t="s">
        <v>527</v>
      </c>
      <c r="L14" s="26">
        <v>2.5000000000000001E-2</v>
      </c>
      <c r="M14">
        <f t="shared" si="1"/>
        <v>2</v>
      </c>
      <c r="N14">
        <f t="shared" si="1"/>
        <v>4</v>
      </c>
      <c r="O14">
        <f t="shared" si="1"/>
        <v>2</v>
      </c>
      <c r="P14">
        <f t="shared" si="1"/>
        <v>2</v>
      </c>
      <c r="Q14" s="67" t="s">
        <v>33</v>
      </c>
    </row>
    <row r="15" spans="1:17" x14ac:dyDescent="0.25">
      <c r="A15" s="10" t="s">
        <v>180</v>
      </c>
      <c r="B15" s="4" t="s">
        <v>181</v>
      </c>
      <c r="C15" s="6">
        <v>137</v>
      </c>
      <c r="D15" s="6">
        <v>86</v>
      </c>
      <c r="E15" s="9">
        <v>0.95</v>
      </c>
      <c r="F15" s="9">
        <v>0.99</v>
      </c>
      <c r="G15" s="9">
        <v>0.95</v>
      </c>
      <c r="H15" s="9">
        <v>0.93</v>
      </c>
      <c r="I15" s="10" t="s">
        <v>1014</v>
      </c>
      <c r="J15" s="10" t="s">
        <v>972</v>
      </c>
      <c r="K15" s="10" t="s">
        <v>582</v>
      </c>
      <c r="L15" s="26">
        <v>1.2E-2</v>
      </c>
      <c r="M15">
        <f t="shared" si="1"/>
        <v>3</v>
      </c>
      <c r="N15">
        <f t="shared" si="1"/>
        <v>2</v>
      </c>
      <c r="O15">
        <f t="shared" si="1"/>
        <v>3</v>
      </c>
      <c r="P15">
        <f t="shared" si="1"/>
        <v>3</v>
      </c>
      <c r="Q15" s="67" t="s">
        <v>180</v>
      </c>
    </row>
    <row r="16" spans="1:17" x14ac:dyDescent="0.25">
      <c r="A16" s="10" t="s">
        <v>0</v>
      </c>
      <c r="B16" s="4" t="s">
        <v>1</v>
      </c>
      <c r="C16" s="6">
        <v>42</v>
      </c>
      <c r="D16" s="6">
        <v>31</v>
      </c>
      <c r="E16" s="9">
        <v>1</v>
      </c>
      <c r="F16" s="9">
        <v>1</v>
      </c>
      <c r="G16" s="9">
        <v>1</v>
      </c>
      <c r="H16" s="9">
        <v>0.98</v>
      </c>
      <c r="I16" s="10" t="s">
        <v>1015</v>
      </c>
      <c r="J16" s="10" t="s">
        <v>1016</v>
      </c>
      <c r="K16" s="10" t="s">
        <v>683</v>
      </c>
      <c r="L16" s="26">
        <v>1.9E-2</v>
      </c>
      <c r="M16">
        <f t="shared" si="1"/>
        <v>4</v>
      </c>
      <c r="N16">
        <f t="shared" si="1"/>
        <v>4</v>
      </c>
      <c r="O16">
        <f t="shared" si="1"/>
        <v>4</v>
      </c>
      <c r="P16">
        <f t="shared" si="1"/>
        <v>4</v>
      </c>
      <c r="Q16" s="67" t="s">
        <v>0</v>
      </c>
    </row>
    <row r="17" spans="1:17" x14ac:dyDescent="0.25">
      <c r="A17" s="10" t="s">
        <v>19</v>
      </c>
      <c r="B17" s="4" t="s">
        <v>20</v>
      </c>
      <c r="C17" s="6">
        <v>37</v>
      </c>
      <c r="D17" s="6">
        <v>26</v>
      </c>
      <c r="E17" s="9">
        <v>0.97</v>
      </c>
      <c r="F17" s="9">
        <v>1</v>
      </c>
      <c r="G17" s="9">
        <v>0.97</v>
      </c>
      <c r="H17" s="9">
        <v>0.97</v>
      </c>
      <c r="I17" s="10" t="s">
        <v>1017</v>
      </c>
      <c r="J17" s="10" t="s">
        <v>991</v>
      </c>
      <c r="K17" s="10" t="s">
        <v>1000</v>
      </c>
      <c r="L17" s="26">
        <v>1.6E-2</v>
      </c>
      <c r="M17">
        <f t="shared" si="1"/>
        <v>3</v>
      </c>
      <c r="N17">
        <f t="shared" si="1"/>
        <v>4</v>
      </c>
      <c r="O17">
        <f t="shared" si="1"/>
        <v>3</v>
      </c>
      <c r="P17">
        <f t="shared" si="1"/>
        <v>4</v>
      </c>
      <c r="Q17" s="67" t="s">
        <v>19</v>
      </c>
    </row>
    <row r="18" spans="1:17" x14ac:dyDescent="0.25">
      <c r="A18" s="10" t="s">
        <v>148</v>
      </c>
      <c r="B18" s="4" t="s">
        <v>149</v>
      </c>
      <c r="C18" s="6">
        <v>73</v>
      </c>
      <c r="D18" s="6">
        <v>51</v>
      </c>
      <c r="E18" s="9">
        <v>0.97</v>
      </c>
      <c r="F18" s="9">
        <v>1</v>
      </c>
      <c r="G18" s="9">
        <v>0.97</v>
      </c>
      <c r="H18" s="9">
        <v>0.64</v>
      </c>
      <c r="I18" s="10" t="s">
        <v>1018</v>
      </c>
      <c r="J18" s="10" t="s">
        <v>609</v>
      </c>
      <c r="K18" s="10" t="s">
        <v>515</v>
      </c>
      <c r="L18" s="26">
        <v>0</v>
      </c>
      <c r="M18">
        <f t="shared" si="1"/>
        <v>3</v>
      </c>
      <c r="N18">
        <f t="shared" si="1"/>
        <v>4</v>
      </c>
      <c r="O18">
        <f t="shared" si="1"/>
        <v>3</v>
      </c>
      <c r="P18">
        <f t="shared" si="1"/>
        <v>1</v>
      </c>
      <c r="Q18" s="67" t="s">
        <v>148</v>
      </c>
    </row>
    <row r="19" spans="1:17" x14ac:dyDescent="0.25">
      <c r="A19" s="10" t="s">
        <v>142</v>
      </c>
      <c r="B19" s="4" t="s">
        <v>143</v>
      </c>
      <c r="C19" s="6">
        <v>30</v>
      </c>
      <c r="D19" s="6">
        <v>21</v>
      </c>
      <c r="E19" s="9">
        <v>0.83</v>
      </c>
      <c r="F19" s="9">
        <v>1</v>
      </c>
      <c r="G19" s="9">
        <v>0.92</v>
      </c>
      <c r="H19" s="9">
        <v>0.87</v>
      </c>
      <c r="I19" s="10" t="s">
        <v>1019</v>
      </c>
      <c r="J19" s="10" t="s">
        <v>666</v>
      </c>
      <c r="K19" s="10" t="s">
        <v>271</v>
      </c>
      <c r="L19" s="26">
        <v>0</v>
      </c>
      <c r="M19">
        <f t="shared" si="1"/>
        <v>1</v>
      </c>
      <c r="N19">
        <f t="shared" si="1"/>
        <v>4</v>
      </c>
      <c r="O19">
        <f t="shared" si="1"/>
        <v>2</v>
      </c>
      <c r="P19">
        <f t="shared" si="1"/>
        <v>3</v>
      </c>
      <c r="Q19" s="67" t="s">
        <v>142</v>
      </c>
    </row>
    <row r="20" spans="1:17" x14ac:dyDescent="0.25">
      <c r="A20" s="10" t="s">
        <v>54</v>
      </c>
      <c r="B20" s="4" t="s">
        <v>55</v>
      </c>
      <c r="C20" s="6">
        <v>125</v>
      </c>
      <c r="D20" s="6">
        <v>91</v>
      </c>
      <c r="E20" s="9">
        <v>0.7</v>
      </c>
      <c r="F20" s="9">
        <v>1</v>
      </c>
      <c r="G20" s="9">
        <v>0.71</v>
      </c>
      <c r="H20" s="9">
        <v>0.77</v>
      </c>
      <c r="I20" s="10" t="s">
        <v>1020</v>
      </c>
      <c r="J20" s="10" t="s">
        <v>1021</v>
      </c>
      <c r="K20" s="10" t="s">
        <v>515</v>
      </c>
      <c r="L20" s="26">
        <v>0</v>
      </c>
      <c r="M20">
        <f t="shared" si="1"/>
        <v>1</v>
      </c>
      <c r="N20">
        <f t="shared" si="1"/>
        <v>4</v>
      </c>
      <c r="O20">
        <f t="shared" si="1"/>
        <v>1</v>
      </c>
      <c r="P20">
        <f t="shared" si="1"/>
        <v>2</v>
      </c>
      <c r="Q20" s="67" t="s">
        <v>54</v>
      </c>
    </row>
    <row r="21" spans="1:17" x14ac:dyDescent="0.25">
      <c r="A21" s="10" t="s">
        <v>5</v>
      </c>
      <c r="B21" s="4" t="s">
        <v>6</v>
      </c>
      <c r="C21" s="6">
        <v>38</v>
      </c>
      <c r="D21" s="6">
        <v>25</v>
      </c>
      <c r="E21" s="9">
        <v>0.89</v>
      </c>
      <c r="F21" s="9">
        <v>1</v>
      </c>
      <c r="G21" s="9">
        <v>0.93</v>
      </c>
      <c r="H21" s="9">
        <v>0.87</v>
      </c>
      <c r="I21" s="10" t="s">
        <v>1022</v>
      </c>
      <c r="J21" s="10" t="s">
        <v>991</v>
      </c>
      <c r="K21" s="10" t="s">
        <v>260</v>
      </c>
      <c r="L21" s="26">
        <v>3.9E-2</v>
      </c>
      <c r="M21">
        <f t="shared" si="1"/>
        <v>2</v>
      </c>
      <c r="N21">
        <f t="shared" si="1"/>
        <v>4</v>
      </c>
      <c r="O21">
        <f t="shared" si="1"/>
        <v>3</v>
      </c>
      <c r="P21">
        <f t="shared" si="1"/>
        <v>3</v>
      </c>
      <c r="Q21" s="67" t="s">
        <v>5</v>
      </c>
    </row>
    <row r="22" spans="1:17" x14ac:dyDescent="0.25">
      <c r="A22" s="10" t="s">
        <v>81</v>
      </c>
      <c r="B22" s="4" t="s">
        <v>82</v>
      </c>
      <c r="C22" s="6">
        <v>24</v>
      </c>
      <c r="D22" s="6">
        <v>20</v>
      </c>
      <c r="E22" s="9">
        <v>0.75</v>
      </c>
      <c r="F22" s="9">
        <v>1</v>
      </c>
      <c r="G22" s="9">
        <v>0.75</v>
      </c>
      <c r="H22" s="9">
        <v>1</v>
      </c>
      <c r="I22" s="10" t="s">
        <v>1023</v>
      </c>
      <c r="J22" s="10" t="s">
        <v>772</v>
      </c>
      <c r="K22" s="10" t="s">
        <v>378</v>
      </c>
      <c r="L22" s="26">
        <v>1.0999999999999999E-2</v>
      </c>
      <c r="M22">
        <f t="shared" si="1"/>
        <v>1</v>
      </c>
      <c r="N22">
        <f t="shared" si="1"/>
        <v>4</v>
      </c>
      <c r="O22">
        <f t="shared" si="1"/>
        <v>1</v>
      </c>
      <c r="P22">
        <f t="shared" si="1"/>
        <v>4</v>
      </c>
      <c r="Q22" s="67" t="s">
        <v>81</v>
      </c>
    </row>
    <row r="23" spans="1:17" x14ac:dyDescent="0.25">
      <c r="A23" s="10" t="s">
        <v>39</v>
      </c>
      <c r="B23" s="4" t="s">
        <v>857</v>
      </c>
      <c r="C23" s="6">
        <v>56</v>
      </c>
      <c r="D23" s="6">
        <v>34</v>
      </c>
      <c r="E23" s="9">
        <v>0.84</v>
      </c>
      <c r="F23" s="9">
        <v>0.95</v>
      </c>
      <c r="G23" s="9">
        <v>0.85</v>
      </c>
      <c r="H23" s="9">
        <v>0.45</v>
      </c>
      <c r="I23" s="10" t="s">
        <v>1024</v>
      </c>
      <c r="J23" s="10" t="s">
        <v>977</v>
      </c>
      <c r="K23" s="10" t="s">
        <v>518</v>
      </c>
      <c r="L23" s="26">
        <v>0.01</v>
      </c>
      <c r="M23">
        <f t="shared" si="1"/>
        <v>2</v>
      </c>
      <c r="N23">
        <f t="shared" si="1"/>
        <v>1</v>
      </c>
      <c r="O23">
        <f t="shared" si="1"/>
        <v>2</v>
      </c>
      <c r="P23">
        <f t="shared" si="1"/>
        <v>1</v>
      </c>
      <c r="Q23" s="67" t="s">
        <v>39</v>
      </c>
    </row>
    <row r="24" spans="1:17" x14ac:dyDescent="0.25">
      <c r="A24" s="10" t="s">
        <v>72</v>
      </c>
      <c r="B24" s="4" t="s">
        <v>73</v>
      </c>
      <c r="C24" s="6">
        <v>76</v>
      </c>
      <c r="D24" s="6">
        <v>67</v>
      </c>
      <c r="E24" s="9">
        <v>0.86</v>
      </c>
      <c r="F24" s="9">
        <v>1</v>
      </c>
      <c r="G24" s="9">
        <v>0.86</v>
      </c>
      <c r="H24" s="9">
        <v>0.8</v>
      </c>
      <c r="I24" s="10" t="s">
        <v>1025</v>
      </c>
      <c r="J24" s="10" t="s">
        <v>977</v>
      </c>
      <c r="K24" s="10" t="s">
        <v>279</v>
      </c>
      <c r="L24" s="26">
        <v>1.2E-2</v>
      </c>
      <c r="M24">
        <f t="shared" si="1"/>
        <v>2</v>
      </c>
      <c r="N24">
        <f t="shared" si="1"/>
        <v>4</v>
      </c>
      <c r="O24">
        <f t="shared" si="1"/>
        <v>2</v>
      </c>
      <c r="P24">
        <f t="shared" si="1"/>
        <v>2</v>
      </c>
      <c r="Q24" s="67" t="s">
        <v>72</v>
      </c>
    </row>
    <row r="25" spans="1:17" x14ac:dyDescent="0.25">
      <c r="A25" s="10" t="s">
        <v>152</v>
      </c>
      <c r="B25" s="4" t="s">
        <v>153</v>
      </c>
      <c r="C25" s="6">
        <v>43</v>
      </c>
      <c r="D25" s="6">
        <v>24</v>
      </c>
      <c r="E25" s="9">
        <v>0.93</v>
      </c>
      <c r="F25" s="9">
        <v>0.98</v>
      </c>
      <c r="G25" s="9">
        <v>0.93</v>
      </c>
      <c r="H25" s="9">
        <v>0.86</v>
      </c>
      <c r="I25" s="10" t="s">
        <v>1026</v>
      </c>
      <c r="J25" s="10" t="s">
        <v>606</v>
      </c>
      <c r="K25" s="10" t="s">
        <v>290</v>
      </c>
      <c r="L25" s="26">
        <v>0.03</v>
      </c>
      <c r="M25">
        <f t="shared" si="1"/>
        <v>3</v>
      </c>
      <c r="N25">
        <f t="shared" si="1"/>
        <v>2</v>
      </c>
      <c r="O25">
        <f t="shared" si="1"/>
        <v>3</v>
      </c>
      <c r="P25">
        <f t="shared" si="1"/>
        <v>2</v>
      </c>
      <c r="Q25" s="67" t="s">
        <v>152</v>
      </c>
    </row>
    <row r="26" spans="1:17" x14ac:dyDescent="0.25">
      <c r="A26" s="10" t="s">
        <v>7</v>
      </c>
      <c r="B26" s="4" t="s">
        <v>8</v>
      </c>
      <c r="C26" s="6">
        <v>23</v>
      </c>
      <c r="D26" s="6">
        <v>18</v>
      </c>
      <c r="E26" s="9">
        <v>1</v>
      </c>
      <c r="F26" s="9">
        <v>0.96</v>
      </c>
      <c r="G26" s="9">
        <v>1</v>
      </c>
      <c r="H26" s="9">
        <v>1</v>
      </c>
      <c r="I26" s="10" t="s">
        <v>1027</v>
      </c>
      <c r="J26" s="10" t="s">
        <v>1028</v>
      </c>
      <c r="K26" s="10" t="s">
        <v>278</v>
      </c>
      <c r="L26" s="26">
        <v>2.8000000000000001E-2</v>
      </c>
      <c r="M26">
        <f t="shared" si="1"/>
        <v>4</v>
      </c>
      <c r="N26">
        <f t="shared" si="1"/>
        <v>1</v>
      </c>
      <c r="O26">
        <f t="shared" si="1"/>
        <v>4</v>
      </c>
      <c r="P26">
        <f t="shared" si="1"/>
        <v>4</v>
      </c>
      <c r="Q26" s="67" t="s">
        <v>7</v>
      </c>
    </row>
    <row r="27" spans="1:17" x14ac:dyDescent="0.25">
      <c r="A27" s="10" t="s">
        <v>117</v>
      </c>
      <c r="B27" s="4" t="s">
        <v>854</v>
      </c>
      <c r="C27" s="6">
        <v>83</v>
      </c>
      <c r="D27" s="6">
        <v>63</v>
      </c>
      <c r="E27" s="9">
        <v>1</v>
      </c>
      <c r="F27" s="9">
        <v>1</v>
      </c>
      <c r="G27" s="9">
        <v>1</v>
      </c>
      <c r="H27" s="9">
        <v>0.96</v>
      </c>
      <c r="I27" s="10" t="s">
        <v>1029</v>
      </c>
      <c r="J27" s="10" t="s">
        <v>1030</v>
      </c>
      <c r="K27" s="10" t="s">
        <v>266</v>
      </c>
      <c r="L27" s="26">
        <v>0.02</v>
      </c>
      <c r="M27">
        <f t="shared" si="1"/>
        <v>4</v>
      </c>
      <c r="N27">
        <f t="shared" si="1"/>
        <v>4</v>
      </c>
      <c r="O27">
        <f t="shared" si="1"/>
        <v>4</v>
      </c>
      <c r="P27">
        <f t="shared" si="1"/>
        <v>3</v>
      </c>
      <c r="Q27" s="67" t="s">
        <v>117</v>
      </c>
    </row>
    <row r="28" spans="1:17" x14ac:dyDescent="0.25">
      <c r="A28" s="10" t="s">
        <v>93</v>
      </c>
      <c r="B28" s="4" t="s">
        <v>94</v>
      </c>
      <c r="C28" s="6">
        <v>45</v>
      </c>
      <c r="D28" s="6">
        <v>31</v>
      </c>
      <c r="E28" s="9">
        <v>0.87</v>
      </c>
      <c r="F28" s="9">
        <v>0.96</v>
      </c>
      <c r="G28" s="9">
        <v>0.93</v>
      </c>
      <c r="H28" s="9">
        <v>0.84</v>
      </c>
      <c r="I28" s="10" t="s">
        <v>1031</v>
      </c>
      <c r="J28" s="10" t="s">
        <v>1032</v>
      </c>
      <c r="K28" s="10" t="s">
        <v>593</v>
      </c>
      <c r="L28" s="26">
        <v>1.4E-2</v>
      </c>
      <c r="M28">
        <f t="shared" si="1"/>
        <v>2</v>
      </c>
      <c r="N28">
        <f t="shared" si="1"/>
        <v>1</v>
      </c>
      <c r="O28">
        <f t="shared" si="1"/>
        <v>3</v>
      </c>
      <c r="P28">
        <f t="shared" si="1"/>
        <v>2</v>
      </c>
      <c r="Q28" s="67" t="s">
        <v>93</v>
      </c>
    </row>
    <row r="29" spans="1:17" x14ac:dyDescent="0.25">
      <c r="A29" s="10" t="s">
        <v>138</v>
      </c>
      <c r="B29" s="4" t="s">
        <v>139</v>
      </c>
      <c r="C29" s="6">
        <v>26</v>
      </c>
      <c r="D29" s="6">
        <v>23</v>
      </c>
      <c r="E29" s="9">
        <v>1</v>
      </c>
      <c r="F29" s="9">
        <v>1</v>
      </c>
      <c r="G29" s="9">
        <v>1</v>
      </c>
      <c r="H29" s="9">
        <v>1</v>
      </c>
      <c r="I29" s="10" t="s">
        <v>1033</v>
      </c>
      <c r="J29" s="10" t="s">
        <v>772</v>
      </c>
      <c r="K29" s="10" t="s">
        <v>271</v>
      </c>
      <c r="L29" s="26">
        <v>0</v>
      </c>
      <c r="M29">
        <f t="shared" si="1"/>
        <v>4</v>
      </c>
      <c r="N29">
        <f t="shared" si="1"/>
        <v>4</v>
      </c>
      <c r="O29">
        <f t="shared" si="1"/>
        <v>4</v>
      </c>
      <c r="P29">
        <f t="shared" si="1"/>
        <v>4</v>
      </c>
      <c r="Q29" s="67" t="s">
        <v>138</v>
      </c>
    </row>
    <row r="30" spans="1:17" x14ac:dyDescent="0.25">
      <c r="A30" s="10" t="s">
        <v>126</v>
      </c>
      <c r="B30" s="4" t="s">
        <v>127</v>
      </c>
      <c r="C30" s="6">
        <v>74</v>
      </c>
      <c r="D30" s="6">
        <v>62</v>
      </c>
      <c r="E30" s="9">
        <v>0.78</v>
      </c>
      <c r="F30" s="9">
        <v>1</v>
      </c>
      <c r="G30" s="9">
        <v>0.79</v>
      </c>
      <c r="H30" s="9">
        <v>0.73</v>
      </c>
      <c r="I30" s="10" t="s">
        <v>1034</v>
      </c>
      <c r="J30" s="10" t="s">
        <v>609</v>
      </c>
      <c r="K30" s="10" t="s">
        <v>527</v>
      </c>
      <c r="L30" s="26">
        <v>5.0000000000000001E-3</v>
      </c>
      <c r="M30">
        <f t="shared" si="1"/>
        <v>1</v>
      </c>
      <c r="N30">
        <f t="shared" si="1"/>
        <v>4</v>
      </c>
      <c r="O30">
        <f t="shared" si="1"/>
        <v>1</v>
      </c>
      <c r="P30">
        <f t="shared" si="1"/>
        <v>1</v>
      </c>
      <c r="Q30" s="67" t="s">
        <v>126</v>
      </c>
    </row>
    <row r="31" spans="1:17" x14ac:dyDescent="0.25">
      <c r="A31" s="10" t="s">
        <v>154</v>
      </c>
      <c r="B31" s="4" t="s">
        <v>155</v>
      </c>
      <c r="C31" s="6">
        <v>45</v>
      </c>
      <c r="D31" s="6">
        <v>34</v>
      </c>
      <c r="E31" s="9">
        <v>0.93</v>
      </c>
      <c r="F31" s="9">
        <v>1</v>
      </c>
      <c r="G31" s="9">
        <v>0.92</v>
      </c>
      <c r="H31" s="9">
        <v>0.98</v>
      </c>
      <c r="I31" s="10" t="s">
        <v>1035</v>
      </c>
      <c r="J31" s="10" t="s">
        <v>329</v>
      </c>
      <c r="K31" s="10" t="s">
        <v>279</v>
      </c>
      <c r="L31" s="26">
        <v>0.01</v>
      </c>
      <c r="M31">
        <f t="shared" si="1"/>
        <v>3</v>
      </c>
      <c r="N31">
        <f t="shared" si="1"/>
        <v>4</v>
      </c>
      <c r="O31">
        <f t="shared" si="1"/>
        <v>2</v>
      </c>
      <c r="P31">
        <f t="shared" si="1"/>
        <v>4</v>
      </c>
      <c r="Q31" s="67" t="s">
        <v>154</v>
      </c>
    </row>
    <row r="32" spans="1:17" x14ac:dyDescent="0.25">
      <c r="A32" s="10" t="s">
        <v>40</v>
      </c>
      <c r="B32" s="4" t="s">
        <v>41</v>
      </c>
      <c r="C32" s="6">
        <v>87</v>
      </c>
      <c r="D32" s="6">
        <v>63</v>
      </c>
      <c r="E32" s="9">
        <v>0.99</v>
      </c>
      <c r="F32" s="9">
        <v>1</v>
      </c>
      <c r="G32" s="9">
        <v>0.99</v>
      </c>
      <c r="H32" s="9">
        <v>0.99</v>
      </c>
      <c r="I32" s="10" t="s">
        <v>1036</v>
      </c>
      <c r="J32" s="10" t="s">
        <v>294</v>
      </c>
      <c r="K32" s="10" t="s">
        <v>591</v>
      </c>
      <c r="L32" s="26">
        <v>1.9E-2</v>
      </c>
      <c r="M32">
        <f t="shared" si="1"/>
        <v>4</v>
      </c>
      <c r="N32">
        <f t="shared" si="1"/>
        <v>4</v>
      </c>
      <c r="O32">
        <f t="shared" si="1"/>
        <v>3</v>
      </c>
      <c r="P32">
        <f t="shared" si="1"/>
        <v>4</v>
      </c>
      <c r="Q32" s="67" t="s">
        <v>40</v>
      </c>
    </row>
    <row r="33" spans="1:17" x14ac:dyDescent="0.25">
      <c r="A33" s="10" t="s">
        <v>115</v>
      </c>
      <c r="B33" s="4" t="s">
        <v>116</v>
      </c>
      <c r="C33" s="6">
        <v>65</v>
      </c>
      <c r="D33" s="6">
        <v>27</v>
      </c>
      <c r="E33" s="9">
        <v>0.88</v>
      </c>
      <c r="F33" s="9">
        <v>1</v>
      </c>
      <c r="G33" s="9">
        <v>0.89</v>
      </c>
      <c r="H33" s="9">
        <v>0.71</v>
      </c>
      <c r="I33" s="10" t="s">
        <v>1037</v>
      </c>
      <c r="J33" s="10" t="s">
        <v>920</v>
      </c>
      <c r="K33" s="10" t="s">
        <v>271</v>
      </c>
      <c r="L33" s="26">
        <v>1.0999999999999999E-2</v>
      </c>
      <c r="M33">
        <f t="shared" si="1"/>
        <v>2</v>
      </c>
      <c r="N33">
        <f t="shared" si="1"/>
        <v>4</v>
      </c>
      <c r="O33">
        <f t="shared" si="1"/>
        <v>2</v>
      </c>
      <c r="P33">
        <f t="shared" si="1"/>
        <v>1</v>
      </c>
      <c r="Q33" s="67" t="s">
        <v>115</v>
      </c>
    </row>
    <row r="34" spans="1:17" x14ac:dyDescent="0.25">
      <c r="A34" s="10" t="s">
        <v>66</v>
      </c>
      <c r="B34" s="4" t="s">
        <v>67</v>
      </c>
      <c r="C34" s="6">
        <v>112</v>
      </c>
      <c r="D34" s="6">
        <v>90</v>
      </c>
      <c r="E34" s="9">
        <v>0.71</v>
      </c>
      <c r="F34" s="9">
        <v>0.96</v>
      </c>
      <c r="G34" s="9">
        <v>0.72</v>
      </c>
      <c r="H34" s="9">
        <v>0.55000000000000004</v>
      </c>
      <c r="I34" s="10" t="s">
        <v>1038</v>
      </c>
      <c r="J34" s="10" t="s">
        <v>257</v>
      </c>
      <c r="K34" s="10" t="s">
        <v>271</v>
      </c>
      <c r="L34" s="26">
        <v>3.0000000000000001E-3</v>
      </c>
      <c r="M34">
        <f t="shared" si="1"/>
        <v>1</v>
      </c>
      <c r="N34">
        <f t="shared" si="1"/>
        <v>1</v>
      </c>
      <c r="O34">
        <f t="shared" si="1"/>
        <v>1</v>
      </c>
      <c r="P34">
        <f t="shared" si="1"/>
        <v>1</v>
      </c>
      <c r="Q34" s="67" t="s">
        <v>66</v>
      </c>
    </row>
    <row r="35" spans="1:17" x14ac:dyDescent="0.25">
      <c r="A35" s="10" t="s">
        <v>863</v>
      </c>
      <c r="B35" s="4" t="s">
        <v>864</v>
      </c>
      <c r="C35" s="6">
        <v>41</v>
      </c>
      <c r="D35" s="6">
        <v>35</v>
      </c>
      <c r="E35" s="9">
        <v>0.9</v>
      </c>
      <c r="F35" s="9">
        <v>1</v>
      </c>
      <c r="G35" s="9">
        <v>0.92</v>
      </c>
      <c r="H35" s="9">
        <v>0.83</v>
      </c>
      <c r="I35" s="10" t="s">
        <v>1039</v>
      </c>
      <c r="J35" s="10" t="s">
        <v>1000</v>
      </c>
      <c r="K35" s="10" t="s">
        <v>540</v>
      </c>
      <c r="L35" s="26">
        <v>0</v>
      </c>
      <c r="M35">
        <f t="shared" si="1"/>
        <v>2</v>
      </c>
      <c r="N35">
        <f t="shared" si="1"/>
        <v>4</v>
      </c>
      <c r="O35">
        <f t="shared" si="1"/>
        <v>2</v>
      </c>
      <c r="P35">
        <f t="shared" si="1"/>
        <v>2</v>
      </c>
      <c r="Q35" s="67" t="s">
        <v>863</v>
      </c>
    </row>
    <row r="36" spans="1:17" x14ac:dyDescent="0.25">
      <c r="A36" s="10" t="s">
        <v>130</v>
      </c>
      <c r="B36" s="4" t="s">
        <v>131</v>
      </c>
      <c r="C36" s="6">
        <v>70</v>
      </c>
      <c r="D36" s="6">
        <v>34</v>
      </c>
      <c r="E36" s="9">
        <v>1</v>
      </c>
      <c r="F36" s="9">
        <v>0</v>
      </c>
      <c r="G36" s="9">
        <v>1</v>
      </c>
      <c r="H36" s="9">
        <v>0.99</v>
      </c>
      <c r="I36" s="10" t="s">
        <v>1040</v>
      </c>
      <c r="J36" s="10" t="s">
        <v>568</v>
      </c>
      <c r="K36" s="10" t="s">
        <v>1041</v>
      </c>
      <c r="L36" s="26">
        <v>2.5000000000000001E-2</v>
      </c>
      <c r="M36">
        <f t="shared" si="1"/>
        <v>4</v>
      </c>
      <c r="N36">
        <f t="shared" si="1"/>
        <v>1</v>
      </c>
      <c r="O36">
        <f t="shared" si="1"/>
        <v>4</v>
      </c>
      <c r="P36">
        <f t="shared" si="1"/>
        <v>4</v>
      </c>
      <c r="Q36" s="67" t="s">
        <v>130</v>
      </c>
    </row>
    <row r="37" spans="1:17" x14ac:dyDescent="0.25">
      <c r="A37" s="10" t="s">
        <v>158</v>
      </c>
      <c r="B37" s="4" t="s">
        <v>159</v>
      </c>
      <c r="C37" s="6">
        <v>41</v>
      </c>
      <c r="D37" s="6">
        <v>27</v>
      </c>
      <c r="E37" s="9">
        <v>0.98</v>
      </c>
      <c r="F37" s="9">
        <v>1</v>
      </c>
      <c r="G37" s="9">
        <v>0.96</v>
      </c>
      <c r="H37" s="9">
        <v>0.98</v>
      </c>
      <c r="I37" s="10" t="s">
        <v>1042</v>
      </c>
      <c r="J37" s="10" t="s">
        <v>652</v>
      </c>
      <c r="K37" s="10" t="s">
        <v>278</v>
      </c>
      <c r="L37" s="26">
        <v>0</v>
      </c>
      <c r="M37">
        <f t="shared" si="1"/>
        <v>4</v>
      </c>
      <c r="N37">
        <f t="shared" si="1"/>
        <v>4</v>
      </c>
      <c r="O37">
        <f t="shared" si="1"/>
        <v>3</v>
      </c>
      <c r="P37">
        <f t="shared" si="1"/>
        <v>4</v>
      </c>
      <c r="Q37" s="67" t="s">
        <v>158</v>
      </c>
    </row>
    <row r="38" spans="1:17" x14ac:dyDescent="0.25">
      <c r="A38" s="10" t="s">
        <v>74</v>
      </c>
      <c r="B38" s="4" t="s">
        <v>75</v>
      </c>
      <c r="C38" s="6" t="s">
        <v>771</v>
      </c>
      <c r="D38" s="6" t="s">
        <v>771</v>
      </c>
      <c r="E38" s="6" t="s">
        <v>772</v>
      </c>
      <c r="F38" s="6" t="s">
        <v>772</v>
      </c>
      <c r="G38" s="6" t="s">
        <v>772</v>
      </c>
      <c r="H38" s="6" t="s">
        <v>772</v>
      </c>
      <c r="I38" s="10" t="s">
        <v>772</v>
      </c>
      <c r="J38" s="10" t="s">
        <v>772</v>
      </c>
      <c r="K38" s="10" t="s">
        <v>772</v>
      </c>
      <c r="L38" s="26" t="s">
        <v>772</v>
      </c>
      <c r="M38">
        <f t="shared" si="1"/>
        <v>4</v>
      </c>
      <c r="N38">
        <f t="shared" si="1"/>
        <v>4</v>
      </c>
      <c r="O38">
        <f t="shared" si="1"/>
        <v>4</v>
      </c>
      <c r="P38">
        <f t="shared" si="1"/>
        <v>4</v>
      </c>
      <c r="Q38" s="67" t="s">
        <v>74</v>
      </c>
    </row>
    <row r="39" spans="1:17" x14ac:dyDescent="0.25">
      <c r="A39" s="10" t="s">
        <v>150</v>
      </c>
      <c r="B39" s="4" t="s">
        <v>151</v>
      </c>
      <c r="C39" s="6">
        <v>67</v>
      </c>
      <c r="D39" s="6">
        <v>49</v>
      </c>
      <c r="E39" s="9">
        <v>0.91</v>
      </c>
      <c r="F39" s="9">
        <v>0.96</v>
      </c>
      <c r="G39" s="9">
        <v>0.92</v>
      </c>
      <c r="H39" s="9">
        <v>0.79</v>
      </c>
      <c r="I39" s="10" t="s">
        <v>1043</v>
      </c>
      <c r="J39" s="10" t="s">
        <v>718</v>
      </c>
      <c r="K39" s="10" t="s">
        <v>591</v>
      </c>
      <c r="L39" s="26">
        <v>2.4E-2</v>
      </c>
      <c r="M39">
        <f t="shared" si="1"/>
        <v>2</v>
      </c>
      <c r="N39">
        <f t="shared" si="1"/>
        <v>1</v>
      </c>
      <c r="O39">
        <f t="shared" si="1"/>
        <v>2</v>
      </c>
      <c r="P39">
        <f t="shared" si="1"/>
        <v>2</v>
      </c>
      <c r="Q39" s="67" t="s">
        <v>150</v>
      </c>
    </row>
    <row r="40" spans="1:17" x14ac:dyDescent="0.25">
      <c r="A40" s="10" t="s">
        <v>105</v>
      </c>
      <c r="B40" s="4" t="s">
        <v>106</v>
      </c>
      <c r="C40" s="6">
        <v>78</v>
      </c>
      <c r="D40" s="6">
        <v>67</v>
      </c>
      <c r="E40" s="9">
        <v>0.85</v>
      </c>
      <c r="F40" s="9">
        <v>0.99</v>
      </c>
      <c r="G40" s="9">
        <v>0.84</v>
      </c>
      <c r="H40" s="9">
        <v>0.97</v>
      </c>
      <c r="I40" s="10" t="s">
        <v>1044</v>
      </c>
      <c r="J40" s="10" t="s">
        <v>609</v>
      </c>
      <c r="K40" s="10" t="s">
        <v>527</v>
      </c>
      <c r="L40" s="26">
        <v>4.0000000000000001E-3</v>
      </c>
      <c r="M40">
        <f t="shared" si="1"/>
        <v>2</v>
      </c>
      <c r="N40">
        <f t="shared" si="1"/>
        <v>2</v>
      </c>
      <c r="O40">
        <f t="shared" si="1"/>
        <v>1</v>
      </c>
      <c r="P40">
        <f t="shared" si="1"/>
        <v>4</v>
      </c>
      <c r="Q40" s="67" t="s">
        <v>105</v>
      </c>
    </row>
    <row r="41" spans="1:17" x14ac:dyDescent="0.25">
      <c r="A41" s="10" t="s">
        <v>15</v>
      </c>
      <c r="B41" s="4" t="s">
        <v>16</v>
      </c>
      <c r="C41" s="6">
        <v>29</v>
      </c>
      <c r="D41" s="6">
        <v>27</v>
      </c>
      <c r="E41" s="9">
        <v>0.9</v>
      </c>
      <c r="F41" s="9">
        <v>0.97</v>
      </c>
      <c r="G41" s="9">
        <v>0.89</v>
      </c>
      <c r="H41" s="9">
        <v>0.83</v>
      </c>
      <c r="I41" s="10" t="s">
        <v>1045</v>
      </c>
      <c r="J41" s="10" t="s">
        <v>615</v>
      </c>
      <c r="K41" s="10" t="s">
        <v>268</v>
      </c>
      <c r="L41" s="26">
        <v>4.2999999999999997E-2</v>
      </c>
      <c r="M41">
        <f t="shared" si="1"/>
        <v>2</v>
      </c>
      <c r="N41">
        <f t="shared" si="1"/>
        <v>2</v>
      </c>
      <c r="O41">
        <f t="shared" si="1"/>
        <v>2</v>
      </c>
      <c r="P41">
        <f t="shared" si="1"/>
        <v>2</v>
      </c>
      <c r="Q41" s="67" t="s">
        <v>15</v>
      </c>
    </row>
    <row r="42" spans="1:17" x14ac:dyDescent="0.25">
      <c r="A42" s="10" t="s">
        <v>11</v>
      </c>
      <c r="B42" s="4" t="s">
        <v>12</v>
      </c>
      <c r="C42" s="6">
        <v>117</v>
      </c>
      <c r="D42" s="6">
        <v>69</v>
      </c>
      <c r="E42" s="9">
        <v>0.94</v>
      </c>
      <c r="F42" s="9">
        <v>0.97</v>
      </c>
      <c r="G42" s="9">
        <v>0.94</v>
      </c>
      <c r="H42" s="9">
        <v>0.97</v>
      </c>
      <c r="I42" s="10" t="s">
        <v>1046</v>
      </c>
      <c r="J42" s="10" t="s">
        <v>718</v>
      </c>
      <c r="K42" s="10" t="s">
        <v>515</v>
      </c>
      <c r="L42" s="26">
        <v>7.0000000000000001E-3</v>
      </c>
      <c r="M42">
        <f t="shared" si="1"/>
        <v>3</v>
      </c>
      <c r="N42">
        <f t="shared" si="1"/>
        <v>2</v>
      </c>
      <c r="O42">
        <f t="shared" si="1"/>
        <v>3</v>
      </c>
      <c r="P42">
        <f t="shared" si="1"/>
        <v>4</v>
      </c>
      <c r="Q42" s="67" t="s">
        <v>11</v>
      </c>
    </row>
    <row r="43" spans="1:17" x14ac:dyDescent="0.25">
      <c r="A43" s="10" t="s">
        <v>95</v>
      </c>
      <c r="B43" s="4" t="s">
        <v>96</v>
      </c>
      <c r="C43" s="6">
        <v>23</v>
      </c>
      <c r="D43" s="6">
        <v>21</v>
      </c>
      <c r="E43" s="9">
        <v>0.87</v>
      </c>
      <c r="F43" s="9">
        <v>0.96</v>
      </c>
      <c r="G43" s="9">
        <v>0.94</v>
      </c>
      <c r="H43" s="9">
        <v>0.7</v>
      </c>
      <c r="I43" s="10" t="s">
        <v>1047</v>
      </c>
      <c r="J43" s="10" t="s">
        <v>772</v>
      </c>
      <c r="K43" s="10" t="s">
        <v>527</v>
      </c>
      <c r="L43" s="26">
        <v>0</v>
      </c>
      <c r="M43">
        <f t="shared" si="1"/>
        <v>2</v>
      </c>
      <c r="N43">
        <f t="shared" si="1"/>
        <v>1</v>
      </c>
      <c r="O43">
        <f t="shared" si="1"/>
        <v>3</v>
      </c>
      <c r="P43">
        <f t="shared" si="1"/>
        <v>1</v>
      </c>
      <c r="Q43" s="67" t="s">
        <v>95</v>
      </c>
    </row>
    <row r="44" spans="1:17" x14ac:dyDescent="0.25">
      <c r="A44" s="10" t="s">
        <v>99</v>
      </c>
      <c r="B44" s="4" t="s">
        <v>100</v>
      </c>
      <c r="C44" s="6">
        <v>32</v>
      </c>
      <c r="D44" s="6">
        <v>22</v>
      </c>
      <c r="E44" s="9">
        <v>1</v>
      </c>
      <c r="F44" s="9">
        <v>0.97</v>
      </c>
      <c r="G44" s="9">
        <v>1</v>
      </c>
      <c r="H44" s="9">
        <v>0.94</v>
      </c>
      <c r="I44" s="10" t="s">
        <v>1048</v>
      </c>
      <c r="J44" s="10" t="s">
        <v>1049</v>
      </c>
      <c r="K44" s="10" t="s">
        <v>296</v>
      </c>
      <c r="L44" s="26">
        <v>0.01</v>
      </c>
      <c r="M44">
        <f t="shared" si="1"/>
        <v>4</v>
      </c>
      <c r="N44">
        <f t="shared" si="1"/>
        <v>2</v>
      </c>
      <c r="O44">
        <f t="shared" si="1"/>
        <v>4</v>
      </c>
      <c r="P44">
        <f t="shared" si="1"/>
        <v>3</v>
      </c>
      <c r="Q44" s="67" t="s">
        <v>99</v>
      </c>
    </row>
    <row r="45" spans="1:17" x14ac:dyDescent="0.25">
      <c r="A45" s="10" t="s">
        <v>113</v>
      </c>
      <c r="B45" s="4" t="s">
        <v>114</v>
      </c>
      <c r="C45" s="6">
        <v>62</v>
      </c>
      <c r="D45" s="6">
        <v>25</v>
      </c>
      <c r="E45" s="9">
        <v>0.92</v>
      </c>
      <c r="F45" s="9">
        <v>0.65</v>
      </c>
      <c r="G45" s="9">
        <v>0.92</v>
      </c>
      <c r="H45" s="9">
        <v>0.92</v>
      </c>
      <c r="I45" s="10" t="s">
        <v>1050</v>
      </c>
      <c r="J45" s="10" t="s">
        <v>1051</v>
      </c>
      <c r="K45" s="10" t="s">
        <v>591</v>
      </c>
      <c r="L45" s="26">
        <v>8.9999999999999993E-3</v>
      </c>
      <c r="M45">
        <f t="shared" si="1"/>
        <v>2</v>
      </c>
      <c r="N45">
        <f t="shared" si="1"/>
        <v>1</v>
      </c>
      <c r="O45">
        <f t="shared" si="1"/>
        <v>2</v>
      </c>
      <c r="P45">
        <f t="shared" si="1"/>
        <v>3</v>
      </c>
      <c r="Q45" s="67" t="s">
        <v>113</v>
      </c>
    </row>
    <row r="46" spans="1:17" x14ac:dyDescent="0.25">
      <c r="A46" s="10" t="s">
        <v>160</v>
      </c>
      <c r="B46" s="4" t="s">
        <v>161</v>
      </c>
      <c r="C46" s="6">
        <v>20</v>
      </c>
      <c r="D46" s="6">
        <v>15</v>
      </c>
      <c r="E46" s="9">
        <v>0.95</v>
      </c>
      <c r="F46" s="9">
        <v>0.95</v>
      </c>
      <c r="G46" s="9">
        <v>0.95</v>
      </c>
      <c r="H46" s="9">
        <v>1</v>
      </c>
      <c r="I46" s="10" t="s">
        <v>1052</v>
      </c>
      <c r="J46" s="10" t="s">
        <v>897</v>
      </c>
      <c r="K46" s="10" t="s">
        <v>527</v>
      </c>
      <c r="L46" s="26">
        <v>2.1999999999999999E-2</v>
      </c>
      <c r="M46">
        <f t="shared" si="1"/>
        <v>3</v>
      </c>
      <c r="N46">
        <f t="shared" si="1"/>
        <v>1</v>
      </c>
      <c r="O46">
        <f t="shared" si="1"/>
        <v>3</v>
      </c>
      <c r="P46">
        <f t="shared" si="1"/>
        <v>4</v>
      </c>
      <c r="Q46" s="67" t="s">
        <v>160</v>
      </c>
    </row>
    <row r="47" spans="1:17" x14ac:dyDescent="0.25">
      <c r="A47" s="10" t="s">
        <v>176</v>
      </c>
      <c r="B47" s="4" t="s">
        <v>177</v>
      </c>
      <c r="C47" s="6">
        <v>11</v>
      </c>
      <c r="D47" s="6">
        <v>5</v>
      </c>
      <c r="E47" s="9">
        <v>1</v>
      </c>
      <c r="F47" s="9">
        <v>0.91</v>
      </c>
      <c r="G47" s="9">
        <v>1</v>
      </c>
      <c r="H47" s="9">
        <v>1</v>
      </c>
      <c r="I47" s="10" t="s">
        <v>1053</v>
      </c>
      <c r="J47" s="10" t="s">
        <v>966</v>
      </c>
      <c r="K47" s="10" t="s">
        <v>271</v>
      </c>
      <c r="L47" s="26">
        <v>0</v>
      </c>
      <c r="M47">
        <f t="shared" si="1"/>
        <v>4</v>
      </c>
      <c r="N47">
        <f t="shared" si="1"/>
        <v>1</v>
      </c>
      <c r="O47">
        <f t="shared" si="1"/>
        <v>4</v>
      </c>
      <c r="P47">
        <f t="shared" si="1"/>
        <v>4</v>
      </c>
      <c r="Q47" s="67" t="s">
        <v>176</v>
      </c>
    </row>
    <row r="48" spans="1:17" x14ac:dyDescent="0.25">
      <c r="A48" s="10" t="s">
        <v>170</v>
      </c>
      <c r="B48" s="4" t="s">
        <v>171</v>
      </c>
      <c r="C48" s="6">
        <v>28</v>
      </c>
      <c r="D48" s="6">
        <v>25</v>
      </c>
      <c r="E48" s="9">
        <v>0.68</v>
      </c>
      <c r="F48" s="9">
        <v>1</v>
      </c>
      <c r="G48" s="9">
        <v>0.67</v>
      </c>
      <c r="H48" s="9">
        <v>0.64</v>
      </c>
      <c r="I48" s="10" t="s">
        <v>1054</v>
      </c>
      <c r="J48" s="10" t="s">
        <v>772</v>
      </c>
      <c r="K48" s="10" t="s">
        <v>584</v>
      </c>
      <c r="L48" s="26">
        <v>0</v>
      </c>
      <c r="M48">
        <f t="shared" si="1"/>
        <v>1</v>
      </c>
      <c r="N48">
        <f t="shared" si="1"/>
        <v>4</v>
      </c>
      <c r="O48">
        <f t="shared" si="1"/>
        <v>1</v>
      </c>
      <c r="P48">
        <f t="shared" si="1"/>
        <v>1</v>
      </c>
      <c r="Q48" s="67" t="s">
        <v>170</v>
      </c>
    </row>
    <row r="49" spans="1:17" x14ac:dyDescent="0.25">
      <c r="A49" s="10" t="s">
        <v>164</v>
      </c>
      <c r="B49" s="4" t="s">
        <v>165</v>
      </c>
      <c r="C49" s="6">
        <v>60</v>
      </c>
      <c r="D49" s="6">
        <v>38</v>
      </c>
      <c r="E49" s="9">
        <v>0.95</v>
      </c>
      <c r="F49" s="9">
        <v>0.85</v>
      </c>
      <c r="G49" s="9">
        <v>0.95</v>
      </c>
      <c r="H49" s="9">
        <v>0.93</v>
      </c>
      <c r="I49" s="10" t="s">
        <v>1055</v>
      </c>
      <c r="J49" s="10" t="s">
        <v>528</v>
      </c>
      <c r="K49" s="10" t="s">
        <v>278</v>
      </c>
      <c r="L49" s="26">
        <v>3.9E-2</v>
      </c>
      <c r="M49">
        <f t="shared" si="1"/>
        <v>3</v>
      </c>
      <c r="N49">
        <f t="shared" si="1"/>
        <v>1</v>
      </c>
      <c r="O49">
        <f t="shared" si="1"/>
        <v>3</v>
      </c>
      <c r="P49">
        <f t="shared" si="1"/>
        <v>3</v>
      </c>
      <c r="Q49" s="67" t="s">
        <v>164</v>
      </c>
    </row>
    <row r="50" spans="1:17" x14ac:dyDescent="0.25">
      <c r="A50" s="10" t="s">
        <v>166</v>
      </c>
      <c r="B50" s="4" t="s">
        <v>167</v>
      </c>
      <c r="C50" s="6">
        <v>24</v>
      </c>
      <c r="D50" s="6">
        <v>8</v>
      </c>
      <c r="E50" s="9">
        <v>1</v>
      </c>
      <c r="F50" s="9">
        <v>0.96</v>
      </c>
      <c r="G50" s="9">
        <v>1</v>
      </c>
      <c r="H50" s="9">
        <v>0.96</v>
      </c>
      <c r="I50" s="10" t="s">
        <v>1056</v>
      </c>
      <c r="J50" s="10" t="s">
        <v>756</v>
      </c>
      <c r="K50" s="10" t="s">
        <v>271</v>
      </c>
      <c r="L50" s="26">
        <v>0</v>
      </c>
      <c r="M50">
        <f t="shared" si="1"/>
        <v>4</v>
      </c>
      <c r="N50">
        <f t="shared" si="1"/>
        <v>1</v>
      </c>
      <c r="O50">
        <f t="shared" si="1"/>
        <v>4</v>
      </c>
      <c r="P50">
        <f t="shared" si="1"/>
        <v>3</v>
      </c>
      <c r="Q50" s="67" t="s">
        <v>166</v>
      </c>
    </row>
    <row r="51" spans="1:17" x14ac:dyDescent="0.25">
      <c r="A51" s="10" t="s">
        <v>168</v>
      </c>
      <c r="B51" s="4" t="s">
        <v>169</v>
      </c>
      <c r="C51" s="6">
        <v>41</v>
      </c>
      <c r="D51" s="6">
        <v>31</v>
      </c>
      <c r="E51" s="9">
        <v>0.98</v>
      </c>
      <c r="F51" s="9">
        <v>0.98</v>
      </c>
      <c r="G51" s="9">
        <v>0.97</v>
      </c>
      <c r="H51" s="9">
        <v>0.98</v>
      </c>
      <c r="I51" s="10" t="s">
        <v>1057</v>
      </c>
      <c r="J51" s="10" t="s">
        <v>532</v>
      </c>
      <c r="K51" s="10" t="s">
        <v>271</v>
      </c>
      <c r="L51" s="26">
        <v>0</v>
      </c>
      <c r="M51">
        <f t="shared" si="1"/>
        <v>4</v>
      </c>
      <c r="N51">
        <f t="shared" si="1"/>
        <v>2</v>
      </c>
      <c r="O51">
        <f t="shared" si="1"/>
        <v>3</v>
      </c>
      <c r="P51">
        <f t="shared" si="1"/>
        <v>4</v>
      </c>
      <c r="Q51" s="67" t="s">
        <v>168</v>
      </c>
    </row>
    <row r="52" spans="1:17" x14ac:dyDescent="0.25">
      <c r="A52" s="10" t="s">
        <v>172</v>
      </c>
      <c r="B52" s="4" t="s">
        <v>173</v>
      </c>
      <c r="C52" s="6">
        <v>42</v>
      </c>
      <c r="D52" s="6">
        <v>18</v>
      </c>
      <c r="E52" s="9">
        <v>0.9</v>
      </c>
      <c r="F52" s="9">
        <v>1</v>
      </c>
      <c r="G52" s="9">
        <v>0.89</v>
      </c>
      <c r="H52" s="9">
        <v>0.86</v>
      </c>
      <c r="I52" s="10" t="s">
        <v>1058</v>
      </c>
      <c r="J52" s="10" t="s">
        <v>953</v>
      </c>
      <c r="K52" s="10" t="s">
        <v>261</v>
      </c>
      <c r="L52" s="26">
        <v>8.0000000000000002E-3</v>
      </c>
      <c r="M52">
        <f t="shared" si="1"/>
        <v>2</v>
      </c>
      <c r="N52">
        <f t="shared" si="1"/>
        <v>4</v>
      </c>
      <c r="O52">
        <f t="shared" si="1"/>
        <v>2</v>
      </c>
      <c r="P52">
        <f t="shared" si="1"/>
        <v>2</v>
      </c>
      <c r="Q52" s="67" t="s">
        <v>172</v>
      </c>
    </row>
    <row r="53" spans="1:17" x14ac:dyDescent="0.25">
      <c r="A53" s="10" t="s">
        <v>174</v>
      </c>
      <c r="B53" s="4" t="s">
        <v>175</v>
      </c>
      <c r="C53" s="6">
        <v>24</v>
      </c>
      <c r="D53" s="6">
        <v>18</v>
      </c>
      <c r="E53" s="9">
        <v>0.25</v>
      </c>
      <c r="F53" s="9">
        <v>1</v>
      </c>
      <c r="G53" s="9">
        <v>0.24</v>
      </c>
      <c r="H53" s="9">
        <v>0.21</v>
      </c>
      <c r="I53" s="10" t="s">
        <v>1059</v>
      </c>
      <c r="J53" s="10" t="s">
        <v>1060</v>
      </c>
      <c r="K53" s="10" t="s">
        <v>584</v>
      </c>
      <c r="L53" s="26">
        <v>0</v>
      </c>
      <c r="M53">
        <f t="shared" si="1"/>
        <v>1</v>
      </c>
      <c r="N53">
        <f t="shared" si="1"/>
        <v>4</v>
      </c>
      <c r="O53">
        <f t="shared" si="1"/>
        <v>1</v>
      </c>
      <c r="P53">
        <f t="shared" si="1"/>
        <v>1</v>
      </c>
      <c r="Q53" s="67" t="s">
        <v>174</v>
      </c>
    </row>
    <row r="54" spans="1:17" x14ac:dyDescent="0.25">
      <c r="A54" s="10" t="s">
        <v>83</v>
      </c>
      <c r="B54" s="4" t="s">
        <v>84</v>
      </c>
      <c r="C54" s="6">
        <v>85</v>
      </c>
      <c r="D54" s="6">
        <v>38</v>
      </c>
      <c r="E54" s="9">
        <v>0.79</v>
      </c>
      <c r="F54" s="9">
        <v>0.99</v>
      </c>
      <c r="G54" s="9">
        <v>0.77</v>
      </c>
      <c r="H54" s="9">
        <v>0.76</v>
      </c>
      <c r="I54" s="10" t="s">
        <v>1061</v>
      </c>
      <c r="J54" s="10" t="s">
        <v>595</v>
      </c>
      <c r="K54" s="10" t="s">
        <v>515</v>
      </c>
      <c r="L54" s="26">
        <v>6.0000000000000001E-3</v>
      </c>
      <c r="M54">
        <f t="shared" si="1"/>
        <v>1</v>
      </c>
      <c r="N54">
        <f t="shared" si="1"/>
        <v>2</v>
      </c>
      <c r="O54">
        <f t="shared" si="1"/>
        <v>1</v>
      </c>
      <c r="P54">
        <f t="shared" si="1"/>
        <v>2</v>
      </c>
      <c r="Q54" s="67" t="s">
        <v>83</v>
      </c>
    </row>
    <row r="55" spans="1:17" x14ac:dyDescent="0.25">
      <c r="A55" s="10" t="s">
        <v>124</v>
      </c>
      <c r="B55" s="4" t="s">
        <v>125</v>
      </c>
      <c r="C55" s="6">
        <v>72</v>
      </c>
      <c r="D55" s="6">
        <v>47</v>
      </c>
      <c r="E55" s="9">
        <v>0.86</v>
      </c>
      <c r="F55" s="9">
        <v>1</v>
      </c>
      <c r="G55" s="9">
        <v>0.87</v>
      </c>
      <c r="H55" s="9">
        <v>0.83</v>
      </c>
      <c r="I55" s="10" t="s">
        <v>1062</v>
      </c>
      <c r="J55" s="10" t="s">
        <v>568</v>
      </c>
      <c r="K55" s="10" t="s">
        <v>378</v>
      </c>
      <c r="L55" s="26">
        <v>2.1999999999999999E-2</v>
      </c>
      <c r="M55">
        <f t="shared" si="1"/>
        <v>2</v>
      </c>
      <c r="N55">
        <f t="shared" si="1"/>
        <v>4</v>
      </c>
      <c r="O55">
        <f t="shared" si="1"/>
        <v>2</v>
      </c>
      <c r="P55">
        <f t="shared" si="1"/>
        <v>2</v>
      </c>
      <c r="Q55" s="67" t="s">
        <v>124</v>
      </c>
    </row>
    <row r="56" spans="1:17" x14ac:dyDescent="0.25">
      <c r="A56" s="10" t="s">
        <v>89</v>
      </c>
      <c r="B56" s="4" t="s">
        <v>90</v>
      </c>
      <c r="C56" s="6">
        <v>39</v>
      </c>
      <c r="D56" s="6">
        <v>25</v>
      </c>
      <c r="E56" s="9">
        <v>0.79</v>
      </c>
      <c r="F56" s="9">
        <v>0.97</v>
      </c>
      <c r="G56" s="9">
        <v>0.79</v>
      </c>
      <c r="H56" s="9">
        <v>0.72</v>
      </c>
      <c r="I56" s="10" t="s">
        <v>1063</v>
      </c>
      <c r="J56" s="10" t="s">
        <v>1064</v>
      </c>
      <c r="K56" s="10" t="s">
        <v>278</v>
      </c>
      <c r="L56" s="26">
        <v>5.3999999999999999E-2</v>
      </c>
      <c r="M56">
        <f t="shared" si="1"/>
        <v>1</v>
      </c>
      <c r="N56">
        <f t="shared" si="1"/>
        <v>2</v>
      </c>
      <c r="O56">
        <f t="shared" si="1"/>
        <v>1</v>
      </c>
      <c r="P56">
        <f t="shared" si="1"/>
        <v>1</v>
      </c>
      <c r="Q56" s="67" t="s">
        <v>89</v>
      </c>
    </row>
    <row r="57" spans="1:17" x14ac:dyDescent="0.25">
      <c r="A57" s="10" t="s">
        <v>91</v>
      </c>
      <c r="B57" s="4" t="s">
        <v>92</v>
      </c>
      <c r="C57" s="6">
        <v>46</v>
      </c>
      <c r="D57" s="6">
        <v>37</v>
      </c>
      <c r="E57" s="9">
        <v>0.93</v>
      </c>
      <c r="F57" s="9">
        <v>0.96</v>
      </c>
      <c r="G57" s="9">
        <v>0.95</v>
      </c>
      <c r="H57" s="9">
        <v>0.78</v>
      </c>
      <c r="I57" s="10" t="s">
        <v>1065</v>
      </c>
      <c r="J57" s="10" t="s">
        <v>1016</v>
      </c>
      <c r="K57" s="10" t="s">
        <v>279</v>
      </c>
      <c r="L57" s="26">
        <v>7.0000000000000001E-3</v>
      </c>
      <c r="M57">
        <f t="shared" si="1"/>
        <v>3</v>
      </c>
      <c r="N57">
        <f t="shared" si="1"/>
        <v>1</v>
      </c>
      <c r="O57">
        <f t="shared" si="1"/>
        <v>3</v>
      </c>
      <c r="P57">
        <f t="shared" si="1"/>
        <v>2</v>
      </c>
      <c r="Q57" s="67" t="s">
        <v>91</v>
      </c>
    </row>
    <row r="58" spans="1:17" x14ac:dyDescent="0.25">
      <c r="A58" s="10" t="s">
        <v>144</v>
      </c>
      <c r="B58" s="4" t="s">
        <v>145</v>
      </c>
      <c r="C58" s="6">
        <v>68</v>
      </c>
      <c r="D58" s="6">
        <v>62</v>
      </c>
      <c r="E58" s="9">
        <v>0.99</v>
      </c>
      <c r="F58" s="9">
        <v>1</v>
      </c>
      <c r="G58" s="9">
        <v>0.98</v>
      </c>
      <c r="H58" s="9">
        <v>0.97</v>
      </c>
      <c r="I58" s="10" t="s">
        <v>1066</v>
      </c>
      <c r="J58" s="10" t="s">
        <v>1067</v>
      </c>
      <c r="K58" s="10" t="s">
        <v>515</v>
      </c>
      <c r="L58" s="26">
        <v>4.0000000000000001E-3</v>
      </c>
      <c r="M58">
        <f t="shared" si="1"/>
        <v>4</v>
      </c>
      <c r="N58">
        <f t="shared" si="1"/>
        <v>4</v>
      </c>
      <c r="O58">
        <f t="shared" si="1"/>
        <v>3</v>
      </c>
      <c r="P58">
        <f t="shared" si="1"/>
        <v>4</v>
      </c>
      <c r="Q58" s="67" t="s">
        <v>144</v>
      </c>
    </row>
    <row r="59" spans="1:17" x14ac:dyDescent="0.25">
      <c r="A59" s="10" t="s">
        <v>118</v>
      </c>
      <c r="B59" s="4" t="s">
        <v>119</v>
      </c>
      <c r="C59" s="6">
        <v>87</v>
      </c>
      <c r="D59" s="6">
        <v>46</v>
      </c>
      <c r="E59" s="9">
        <v>0.93</v>
      </c>
      <c r="F59" s="9">
        <v>0.99</v>
      </c>
      <c r="G59" s="9">
        <v>0.93</v>
      </c>
      <c r="H59" s="9">
        <v>0.89</v>
      </c>
      <c r="I59" s="10" t="s">
        <v>1068</v>
      </c>
      <c r="J59" s="10" t="s">
        <v>613</v>
      </c>
      <c r="K59" s="10" t="s">
        <v>368</v>
      </c>
      <c r="L59" s="26">
        <v>1.2999999999999999E-2</v>
      </c>
      <c r="M59">
        <f t="shared" si="1"/>
        <v>3</v>
      </c>
      <c r="N59">
        <f t="shared" si="1"/>
        <v>2</v>
      </c>
      <c r="O59">
        <f t="shared" si="1"/>
        <v>3</v>
      </c>
      <c r="P59">
        <f t="shared" si="1"/>
        <v>3</v>
      </c>
      <c r="Q59" s="67" t="s">
        <v>118</v>
      </c>
    </row>
    <row r="60" spans="1:17" x14ac:dyDescent="0.25">
      <c r="A60" s="10" t="s">
        <v>128</v>
      </c>
      <c r="B60" s="4" t="s">
        <v>129</v>
      </c>
      <c r="C60" s="6">
        <v>51</v>
      </c>
      <c r="D60" s="6">
        <v>44</v>
      </c>
      <c r="E60" s="9">
        <v>0.98</v>
      </c>
      <c r="F60" s="9">
        <v>1</v>
      </c>
      <c r="G60" s="9">
        <v>1</v>
      </c>
      <c r="H60" s="9">
        <v>1</v>
      </c>
      <c r="I60" s="10" t="s">
        <v>1069</v>
      </c>
      <c r="J60" s="10" t="s">
        <v>966</v>
      </c>
      <c r="K60" s="10" t="s">
        <v>584</v>
      </c>
      <c r="L60" s="26">
        <v>0.01</v>
      </c>
      <c r="M60">
        <f t="shared" si="1"/>
        <v>4</v>
      </c>
      <c r="N60">
        <f t="shared" si="1"/>
        <v>4</v>
      </c>
      <c r="O60">
        <f t="shared" si="1"/>
        <v>4</v>
      </c>
      <c r="P60">
        <f t="shared" si="1"/>
        <v>4</v>
      </c>
      <c r="Q60" s="67" t="s">
        <v>128</v>
      </c>
    </row>
    <row r="61" spans="1:17" x14ac:dyDescent="0.25">
      <c r="A61" s="10" t="s">
        <v>76</v>
      </c>
      <c r="B61" s="4" t="s">
        <v>856</v>
      </c>
      <c r="C61" s="6">
        <v>30</v>
      </c>
      <c r="D61" s="6">
        <v>20</v>
      </c>
      <c r="E61" s="9">
        <v>0.97</v>
      </c>
      <c r="F61" s="9">
        <v>0.97</v>
      </c>
      <c r="G61" s="9">
        <v>0.95</v>
      </c>
      <c r="H61" s="9">
        <v>1</v>
      </c>
      <c r="I61" s="10" t="s">
        <v>1070</v>
      </c>
      <c r="J61" s="10" t="s">
        <v>1071</v>
      </c>
      <c r="K61" s="10" t="s">
        <v>540</v>
      </c>
      <c r="L61" s="26">
        <v>4.3999999999999997E-2</v>
      </c>
      <c r="M61">
        <f t="shared" si="1"/>
        <v>3</v>
      </c>
      <c r="N61">
        <f t="shared" si="1"/>
        <v>2</v>
      </c>
      <c r="O61">
        <f t="shared" si="1"/>
        <v>3</v>
      </c>
      <c r="P61">
        <f t="shared" si="1"/>
        <v>4</v>
      </c>
      <c r="Q61" s="67" t="s">
        <v>76</v>
      </c>
    </row>
    <row r="62" spans="1:17" x14ac:dyDescent="0.25">
      <c r="A62" s="10" t="s">
        <v>62</v>
      </c>
      <c r="B62" s="4" t="s">
        <v>63</v>
      </c>
      <c r="C62" s="6">
        <v>15</v>
      </c>
      <c r="D62" s="6">
        <v>10</v>
      </c>
      <c r="E62" s="9">
        <v>0.93</v>
      </c>
      <c r="F62" s="9">
        <v>1</v>
      </c>
      <c r="G62" s="9">
        <v>0.92</v>
      </c>
      <c r="H62" s="9">
        <v>0.33</v>
      </c>
      <c r="I62" s="10" t="s">
        <v>1072</v>
      </c>
      <c r="J62" s="10" t="s">
        <v>583</v>
      </c>
      <c r="K62" s="10" t="s">
        <v>298</v>
      </c>
      <c r="L62" s="26">
        <v>0</v>
      </c>
      <c r="M62">
        <f t="shared" si="1"/>
        <v>3</v>
      </c>
      <c r="N62">
        <f t="shared" si="1"/>
        <v>4</v>
      </c>
      <c r="O62">
        <f t="shared" si="1"/>
        <v>2</v>
      </c>
      <c r="P62">
        <f t="shared" si="1"/>
        <v>1</v>
      </c>
      <c r="Q62" s="67" t="s">
        <v>62</v>
      </c>
    </row>
    <row r="63" spans="1:17" x14ac:dyDescent="0.25">
      <c r="A63" s="10" t="s">
        <v>101</v>
      </c>
      <c r="B63" s="4" t="s">
        <v>102</v>
      </c>
      <c r="C63" s="6">
        <v>29</v>
      </c>
      <c r="D63" s="6">
        <v>24</v>
      </c>
      <c r="E63" s="9">
        <v>1</v>
      </c>
      <c r="F63" s="9">
        <v>0.97</v>
      </c>
      <c r="G63" s="9">
        <v>1</v>
      </c>
      <c r="H63" s="9">
        <v>0.83</v>
      </c>
      <c r="I63" s="10" t="s">
        <v>1073</v>
      </c>
      <c r="J63" s="10" t="s">
        <v>646</v>
      </c>
      <c r="K63" s="10" t="s">
        <v>281</v>
      </c>
      <c r="L63" s="26">
        <v>5.0999999999999997E-2</v>
      </c>
      <c r="M63">
        <f t="shared" si="1"/>
        <v>4</v>
      </c>
      <c r="N63">
        <f t="shared" si="1"/>
        <v>2</v>
      </c>
      <c r="O63">
        <f t="shared" si="1"/>
        <v>4</v>
      </c>
      <c r="P63">
        <f t="shared" si="1"/>
        <v>2</v>
      </c>
      <c r="Q63" s="67" t="s">
        <v>101</v>
      </c>
    </row>
    <row r="64" spans="1:17" x14ac:dyDescent="0.25">
      <c r="A64" s="10" t="s">
        <v>42</v>
      </c>
      <c r="B64" s="4" t="s">
        <v>43</v>
      </c>
      <c r="C64" s="6">
        <v>78</v>
      </c>
      <c r="D64" s="6">
        <v>47</v>
      </c>
      <c r="E64" s="9">
        <v>0.81</v>
      </c>
      <c r="F64" s="9">
        <v>1</v>
      </c>
      <c r="G64" s="9">
        <v>0.82</v>
      </c>
      <c r="H64" s="9">
        <v>0.77</v>
      </c>
      <c r="I64" s="10" t="s">
        <v>1074</v>
      </c>
      <c r="J64" s="10" t="s">
        <v>602</v>
      </c>
      <c r="K64" s="10" t="s">
        <v>515</v>
      </c>
      <c r="L64" s="26">
        <v>3.7999999999999999E-2</v>
      </c>
      <c r="M64">
        <f t="shared" si="1"/>
        <v>1</v>
      </c>
      <c r="N64">
        <f t="shared" si="1"/>
        <v>4</v>
      </c>
      <c r="O64">
        <f t="shared" si="1"/>
        <v>1</v>
      </c>
      <c r="P64">
        <f t="shared" si="1"/>
        <v>2</v>
      </c>
      <c r="Q64" s="67" t="s">
        <v>42</v>
      </c>
    </row>
    <row r="65" spans="1:17" x14ac:dyDescent="0.25">
      <c r="A65" s="10" t="s">
        <v>44</v>
      </c>
      <c r="B65" s="4" t="s">
        <v>45</v>
      </c>
      <c r="C65" s="6">
        <v>41</v>
      </c>
      <c r="D65" s="6">
        <v>28</v>
      </c>
      <c r="E65" s="9">
        <v>0.88</v>
      </c>
      <c r="F65" s="9">
        <v>0.93</v>
      </c>
      <c r="G65" s="9">
        <v>0.86</v>
      </c>
      <c r="H65" s="9">
        <v>0.54</v>
      </c>
      <c r="I65" s="10" t="s">
        <v>1075</v>
      </c>
      <c r="J65" s="10" t="s">
        <v>1076</v>
      </c>
      <c r="K65" s="10" t="s">
        <v>368</v>
      </c>
      <c r="L65" s="26">
        <v>0.02</v>
      </c>
      <c r="M65">
        <f t="shared" si="1"/>
        <v>2</v>
      </c>
      <c r="N65">
        <f t="shared" si="1"/>
        <v>1</v>
      </c>
      <c r="O65">
        <f t="shared" si="1"/>
        <v>2</v>
      </c>
      <c r="P65">
        <f t="shared" si="1"/>
        <v>1</v>
      </c>
      <c r="Q65" s="67" t="s">
        <v>44</v>
      </c>
    </row>
    <row r="66" spans="1:17" x14ac:dyDescent="0.25">
      <c r="A66" s="10" t="s">
        <v>56</v>
      </c>
      <c r="B66" s="4" t="s">
        <v>57</v>
      </c>
      <c r="C66" s="6">
        <v>19</v>
      </c>
      <c r="D66" s="6">
        <v>10</v>
      </c>
      <c r="E66" s="9">
        <v>1</v>
      </c>
      <c r="F66" s="9">
        <v>1</v>
      </c>
      <c r="G66" s="9">
        <v>1</v>
      </c>
      <c r="H66" s="9">
        <v>0.89</v>
      </c>
      <c r="I66" s="10" t="s">
        <v>1077</v>
      </c>
      <c r="J66" s="10" t="s">
        <v>611</v>
      </c>
      <c r="K66" s="10" t="s">
        <v>378</v>
      </c>
      <c r="L66" s="26">
        <v>0</v>
      </c>
      <c r="M66">
        <f t="shared" si="1"/>
        <v>4</v>
      </c>
      <c r="N66">
        <f t="shared" si="1"/>
        <v>4</v>
      </c>
      <c r="O66">
        <f t="shared" si="1"/>
        <v>4</v>
      </c>
      <c r="P66">
        <f t="shared" si="1"/>
        <v>3</v>
      </c>
      <c r="Q66" s="67" t="s">
        <v>56</v>
      </c>
    </row>
    <row r="67" spans="1:17" x14ac:dyDescent="0.25">
      <c r="A67" s="10" t="s">
        <v>23</v>
      </c>
      <c r="B67" s="4" t="s">
        <v>24</v>
      </c>
      <c r="C67" s="6">
        <v>58</v>
      </c>
      <c r="D67" s="6">
        <v>43</v>
      </c>
      <c r="E67" s="9">
        <v>0.59</v>
      </c>
      <c r="F67" s="9">
        <v>1</v>
      </c>
      <c r="G67" s="9">
        <v>0.57999999999999996</v>
      </c>
      <c r="H67" s="9">
        <v>0.83</v>
      </c>
      <c r="I67" s="10" t="s">
        <v>1078</v>
      </c>
      <c r="J67" s="10" t="s">
        <v>907</v>
      </c>
      <c r="K67" s="10" t="s">
        <v>278</v>
      </c>
      <c r="L67" s="26">
        <v>6.0000000000000001E-3</v>
      </c>
      <c r="M67">
        <f t="shared" si="1"/>
        <v>1</v>
      </c>
      <c r="N67">
        <f t="shared" si="1"/>
        <v>4</v>
      </c>
      <c r="O67">
        <f t="shared" si="1"/>
        <v>1</v>
      </c>
      <c r="P67">
        <f t="shared" si="1"/>
        <v>2</v>
      </c>
      <c r="Q67" s="67" t="s">
        <v>23</v>
      </c>
    </row>
    <row r="68" spans="1:17" x14ac:dyDescent="0.25">
      <c r="A68" s="10" t="s">
        <v>97</v>
      </c>
      <c r="B68" s="4" t="s">
        <v>98</v>
      </c>
      <c r="C68" s="6">
        <v>102</v>
      </c>
      <c r="D68" s="6">
        <v>54</v>
      </c>
      <c r="E68" s="9">
        <v>0.82</v>
      </c>
      <c r="F68" s="9">
        <v>0.98</v>
      </c>
      <c r="G68" s="9">
        <v>0.82</v>
      </c>
      <c r="H68" s="9">
        <v>0.59</v>
      </c>
      <c r="I68" s="10" t="s">
        <v>1079</v>
      </c>
      <c r="J68" s="10" t="s">
        <v>1080</v>
      </c>
      <c r="K68" s="10" t="s">
        <v>515</v>
      </c>
      <c r="L68" s="26">
        <v>0.02</v>
      </c>
      <c r="M68">
        <f t="shared" si="1"/>
        <v>1</v>
      </c>
      <c r="N68">
        <f t="shared" si="1"/>
        <v>2</v>
      </c>
      <c r="O68">
        <f t="shared" si="1"/>
        <v>1</v>
      </c>
      <c r="P68">
        <f t="shared" si="1"/>
        <v>1</v>
      </c>
      <c r="Q68" s="67" t="s">
        <v>97</v>
      </c>
    </row>
    <row r="69" spans="1:17" x14ac:dyDescent="0.25">
      <c r="A69" s="10" t="s">
        <v>60</v>
      </c>
      <c r="B69" s="4" t="s">
        <v>61</v>
      </c>
      <c r="C69" s="6">
        <v>50</v>
      </c>
      <c r="D69" s="6">
        <v>20</v>
      </c>
      <c r="E69" s="9">
        <v>0.8</v>
      </c>
      <c r="F69" s="9">
        <v>0.94</v>
      </c>
      <c r="G69" s="9">
        <v>0.8</v>
      </c>
      <c r="H69" s="9">
        <v>0.74</v>
      </c>
      <c r="I69" s="10" t="s">
        <v>1081</v>
      </c>
      <c r="J69" s="10" t="s">
        <v>943</v>
      </c>
      <c r="K69" s="10" t="s">
        <v>387</v>
      </c>
      <c r="L69" s="26">
        <v>1.2E-2</v>
      </c>
      <c r="M69">
        <f t="shared" si="1"/>
        <v>1</v>
      </c>
      <c r="N69">
        <f t="shared" si="1"/>
        <v>1</v>
      </c>
      <c r="O69">
        <f t="shared" si="1"/>
        <v>1</v>
      </c>
      <c r="P69">
        <f t="shared" si="1"/>
        <v>1</v>
      </c>
      <c r="Q69" s="67" t="s">
        <v>60</v>
      </c>
    </row>
    <row r="70" spans="1:17" x14ac:dyDescent="0.25">
      <c r="A70" s="10" t="s">
        <v>156</v>
      </c>
      <c r="B70" s="4" t="s">
        <v>157</v>
      </c>
      <c r="C70" s="6">
        <v>42</v>
      </c>
      <c r="D70" s="6">
        <v>30</v>
      </c>
      <c r="E70" s="9">
        <v>0.93</v>
      </c>
      <c r="F70" s="9">
        <v>1</v>
      </c>
      <c r="G70" s="9">
        <v>1</v>
      </c>
      <c r="H70" s="9">
        <v>0.86</v>
      </c>
      <c r="I70" s="10" t="s">
        <v>1082</v>
      </c>
      <c r="J70" s="10" t="s">
        <v>547</v>
      </c>
      <c r="K70" s="10" t="s">
        <v>540</v>
      </c>
      <c r="L70" s="26">
        <v>0</v>
      </c>
      <c r="M70">
        <f t="shared" si="1"/>
        <v>3</v>
      </c>
      <c r="N70">
        <f t="shared" si="1"/>
        <v>4</v>
      </c>
      <c r="O70">
        <f t="shared" si="1"/>
        <v>4</v>
      </c>
      <c r="P70">
        <f t="shared" si="1"/>
        <v>2</v>
      </c>
      <c r="Q70" s="67" t="s">
        <v>156</v>
      </c>
    </row>
    <row r="71" spans="1:17" x14ac:dyDescent="0.25">
      <c r="A71" s="10" t="s">
        <v>122</v>
      </c>
      <c r="B71" s="4" t="s">
        <v>123</v>
      </c>
      <c r="C71" s="6">
        <v>45</v>
      </c>
      <c r="D71" s="6">
        <v>30</v>
      </c>
      <c r="E71" s="9">
        <v>0.98</v>
      </c>
      <c r="F71" s="9">
        <v>0.98</v>
      </c>
      <c r="G71" s="9">
        <v>1</v>
      </c>
      <c r="H71" s="9">
        <v>0.96</v>
      </c>
      <c r="I71" s="10" t="s">
        <v>1083</v>
      </c>
      <c r="J71" s="10" t="s">
        <v>615</v>
      </c>
      <c r="K71" s="10" t="s">
        <v>540</v>
      </c>
      <c r="L71" s="26">
        <v>0</v>
      </c>
      <c r="M71">
        <f t="shared" si="1"/>
        <v>4</v>
      </c>
      <c r="N71">
        <f t="shared" si="1"/>
        <v>2</v>
      </c>
      <c r="O71">
        <f t="shared" si="1"/>
        <v>4</v>
      </c>
      <c r="P71">
        <f t="shared" si="1"/>
        <v>3</v>
      </c>
      <c r="Q71" s="67" t="s">
        <v>122</v>
      </c>
    </row>
    <row r="72" spans="1:17" x14ac:dyDescent="0.25">
      <c r="A72" s="10" t="s">
        <v>21</v>
      </c>
      <c r="B72" s="4" t="s">
        <v>22</v>
      </c>
      <c r="C72" s="6">
        <v>34</v>
      </c>
      <c r="D72" s="6">
        <v>25</v>
      </c>
      <c r="E72" s="9">
        <v>0.97</v>
      </c>
      <c r="F72" s="9">
        <v>1</v>
      </c>
      <c r="G72" s="9">
        <v>0.97</v>
      </c>
      <c r="H72" s="9">
        <v>0.94</v>
      </c>
      <c r="I72" s="10" t="s">
        <v>1084</v>
      </c>
      <c r="J72" s="10" t="s">
        <v>1085</v>
      </c>
      <c r="K72" s="10" t="s">
        <v>279</v>
      </c>
      <c r="L72" s="26">
        <v>1.0999999999999999E-2</v>
      </c>
      <c r="M72">
        <f t="shared" si="1"/>
        <v>3</v>
      </c>
      <c r="N72">
        <f t="shared" si="1"/>
        <v>4</v>
      </c>
      <c r="O72">
        <f t="shared" si="1"/>
        <v>3</v>
      </c>
      <c r="P72">
        <f t="shared" ref="P72:P85" si="2">+IF(H72&lt;H$2,1,IF(H72&lt;H$3,2,IF(H72&lt;H$4,3,4)))</f>
        <v>3</v>
      </c>
      <c r="Q72" s="67" t="s">
        <v>21</v>
      </c>
    </row>
    <row r="73" spans="1:17" x14ac:dyDescent="0.25">
      <c r="A73" s="10" t="s">
        <v>68</v>
      </c>
      <c r="B73" s="4" t="s">
        <v>69</v>
      </c>
      <c r="C73" s="6">
        <v>83</v>
      </c>
      <c r="D73" s="6">
        <v>80</v>
      </c>
      <c r="E73" s="9">
        <v>0.69</v>
      </c>
      <c r="F73" s="9">
        <v>0.98</v>
      </c>
      <c r="G73" s="9">
        <v>0.7</v>
      </c>
      <c r="H73" s="9">
        <v>0.7</v>
      </c>
      <c r="I73" s="10" t="s">
        <v>1086</v>
      </c>
      <c r="J73" s="10" t="s">
        <v>772</v>
      </c>
      <c r="K73" s="10" t="s">
        <v>271</v>
      </c>
      <c r="L73" s="26">
        <v>0</v>
      </c>
      <c r="M73">
        <f t="shared" ref="M73:O85" si="3">+IF(E73&lt;E$2,1,IF(E73&lt;E$3,2,IF(E73&lt;E$4,3,4)))</f>
        <v>1</v>
      </c>
      <c r="N73">
        <f t="shared" si="3"/>
        <v>2</v>
      </c>
      <c r="O73">
        <f t="shared" si="3"/>
        <v>1</v>
      </c>
      <c r="P73">
        <f t="shared" si="2"/>
        <v>1</v>
      </c>
      <c r="Q73" s="67" t="s">
        <v>68</v>
      </c>
    </row>
    <row r="74" spans="1:17" x14ac:dyDescent="0.25">
      <c r="A74" s="10" t="s">
        <v>25</v>
      </c>
      <c r="B74" s="4" t="s">
        <v>26</v>
      </c>
      <c r="C74" s="6">
        <v>72</v>
      </c>
      <c r="D74" s="6">
        <v>50</v>
      </c>
      <c r="E74" s="9">
        <v>0.97</v>
      </c>
      <c r="F74" s="9">
        <v>0.96</v>
      </c>
      <c r="G74" s="9">
        <v>0.99</v>
      </c>
      <c r="H74" s="9">
        <v>0.97</v>
      </c>
      <c r="I74" s="10" t="s">
        <v>1087</v>
      </c>
      <c r="J74" s="10" t="s">
        <v>615</v>
      </c>
      <c r="K74" s="10" t="s">
        <v>515</v>
      </c>
      <c r="L74" s="26">
        <v>2.7E-2</v>
      </c>
      <c r="M74">
        <f t="shared" si="3"/>
        <v>3</v>
      </c>
      <c r="N74">
        <f t="shared" si="3"/>
        <v>1</v>
      </c>
      <c r="O74">
        <f t="shared" si="3"/>
        <v>3</v>
      </c>
      <c r="P74">
        <f t="shared" si="2"/>
        <v>4</v>
      </c>
      <c r="Q74" s="67" t="s">
        <v>25</v>
      </c>
    </row>
    <row r="75" spans="1:17" x14ac:dyDescent="0.25">
      <c r="A75" s="10" t="s">
        <v>87</v>
      </c>
      <c r="B75" s="4" t="s">
        <v>88</v>
      </c>
      <c r="C75" s="6">
        <v>76</v>
      </c>
      <c r="D75" s="6">
        <v>51</v>
      </c>
      <c r="E75" s="9">
        <v>0.84</v>
      </c>
      <c r="F75" s="9">
        <v>0.99</v>
      </c>
      <c r="G75" s="9">
        <v>0.85</v>
      </c>
      <c r="H75" s="9">
        <v>0.83</v>
      </c>
      <c r="I75" s="10" t="s">
        <v>1088</v>
      </c>
      <c r="J75" s="10" t="s">
        <v>613</v>
      </c>
      <c r="K75" s="10" t="s">
        <v>527</v>
      </c>
      <c r="L75" s="26">
        <v>0</v>
      </c>
      <c r="M75">
        <f t="shared" si="3"/>
        <v>2</v>
      </c>
      <c r="N75">
        <f t="shared" si="3"/>
        <v>2</v>
      </c>
      <c r="O75">
        <f t="shared" si="3"/>
        <v>2</v>
      </c>
      <c r="P75">
        <f t="shared" si="2"/>
        <v>2</v>
      </c>
      <c r="Q75" s="67" t="s">
        <v>87</v>
      </c>
    </row>
    <row r="76" spans="1:17" x14ac:dyDescent="0.25">
      <c r="A76" s="10" t="s">
        <v>17</v>
      </c>
      <c r="B76" s="4" t="s">
        <v>18</v>
      </c>
      <c r="C76" s="6">
        <v>28</v>
      </c>
      <c r="D76" s="6">
        <v>19</v>
      </c>
      <c r="E76" s="9">
        <v>1</v>
      </c>
      <c r="F76" s="9">
        <v>1</v>
      </c>
      <c r="G76" s="9">
        <v>1</v>
      </c>
      <c r="H76" s="9">
        <v>0.96</v>
      </c>
      <c r="I76" s="10" t="s">
        <v>1089</v>
      </c>
      <c r="J76" s="10" t="s">
        <v>301</v>
      </c>
      <c r="K76" s="10" t="s">
        <v>298</v>
      </c>
      <c r="L76" s="26">
        <v>1.2E-2</v>
      </c>
      <c r="M76">
        <f t="shared" si="3"/>
        <v>4</v>
      </c>
      <c r="N76">
        <f t="shared" si="3"/>
        <v>4</v>
      </c>
      <c r="O76">
        <f t="shared" si="3"/>
        <v>4</v>
      </c>
      <c r="P76">
        <f t="shared" si="2"/>
        <v>3</v>
      </c>
      <c r="Q76" s="67" t="s">
        <v>17</v>
      </c>
    </row>
    <row r="77" spans="1:17" x14ac:dyDescent="0.25">
      <c r="A77" s="10" t="s">
        <v>132</v>
      </c>
      <c r="B77" s="4" t="s">
        <v>133</v>
      </c>
      <c r="C77" s="6">
        <v>29</v>
      </c>
      <c r="D77" s="6">
        <v>14</v>
      </c>
      <c r="E77" s="9">
        <v>1</v>
      </c>
      <c r="F77" s="9">
        <v>1</v>
      </c>
      <c r="G77" s="9">
        <v>1</v>
      </c>
      <c r="H77" s="9">
        <v>0.97</v>
      </c>
      <c r="I77" s="10" t="s">
        <v>1090</v>
      </c>
      <c r="J77" s="10" t="s">
        <v>1071</v>
      </c>
      <c r="K77" s="10" t="s">
        <v>962</v>
      </c>
      <c r="L77" s="26">
        <v>5.3999999999999999E-2</v>
      </c>
      <c r="M77">
        <f t="shared" si="3"/>
        <v>4</v>
      </c>
      <c r="N77">
        <f t="shared" si="3"/>
        <v>4</v>
      </c>
      <c r="O77">
        <f t="shared" si="3"/>
        <v>4</v>
      </c>
      <c r="P77">
        <f t="shared" si="2"/>
        <v>4</v>
      </c>
      <c r="Q77" s="67" t="s">
        <v>132</v>
      </c>
    </row>
    <row r="78" spans="1:17" x14ac:dyDescent="0.25">
      <c r="A78" s="10" t="s">
        <v>70</v>
      </c>
      <c r="B78" s="4" t="s">
        <v>71</v>
      </c>
      <c r="C78" s="6">
        <v>131</v>
      </c>
      <c r="D78" s="6">
        <v>72</v>
      </c>
      <c r="E78" s="9">
        <v>1</v>
      </c>
      <c r="F78" s="9">
        <v>0.99</v>
      </c>
      <c r="G78" s="9">
        <v>1</v>
      </c>
      <c r="H78" s="9">
        <v>0.98</v>
      </c>
      <c r="I78" s="10" t="s">
        <v>1091</v>
      </c>
      <c r="J78" s="10" t="s">
        <v>618</v>
      </c>
      <c r="K78" s="10" t="s">
        <v>515</v>
      </c>
      <c r="L78" s="26">
        <v>2.1999999999999999E-2</v>
      </c>
      <c r="M78">
        <f t="shared" si="3"/>
        <v>4</v>
      </c>
      <c r="N78">
        <f t="shared" si="3"/>
        <v>2</v>
      </c>
      <c r="O78">
        <f t="shared" si="3"/>
        <v>4</v>
      </c>
      <c r="P78">
        <f t="shared" si="2"/>
        <v>4</v>
      </c>
      <c r="Q78" s="67" t="s">
        <v>70</v>
      </c>
    </row>
    <row r="79" spans="1:17" x14ac:dyDescent="0.25">
      <c r="A79" s="10" t="s">
        <v>58</v>
      </c>
      <c r="B79" s="4" t="s">
        <v>59</v>
      </c>
      <c r="C79" s="6">
        <v>95</v>
      </c>
      <c r="D79" s="6">
        <v>61</v>
      </c>
      <c r="E79" s="9">
        <v>0.96</v>
      </c>
      <c r="F79" s="9">
        <v>0.99</v>
      </c>
      <c r="G79" s="9">
        <v>0.98</v>
      </c>
      <c r="H79" s="9">
        <v>0.97</v>
      </c>
      <c r="I79" s="10" t="s">
        <v>1092</v>
      </c>
      <c r="J79" s="10" t="s">
        <v>1093</v>
      </c>
      <c r="K79" s="10" t="s">
        <v>298</v>
      </c>
      <c r="L79" s="26">
        <v>8.0000000000000002E-3</v>
      </c>
      <c r="M79">
        <f t="shared" si="3"/>
        <v>3</v>
      </c>
      <c r="N79">
        <f t="shared" si="3"/>
        <v>2</v>
      </c>
      <c r="O79">
        <f t="shared" si="3"/>
        <v>3</v>
      </c>
      <c r="P79">
        <f t="shared" si="2"/>
        <v>4</v>
      </c>
      <c r="Q79" s="67" t="s">
        <v>58</v>
      </c>
    </row>
    <row r="80" spans="1:17" x14ac:dyDescent="0.25">
      <c r="A80" s="10" t="s">
        <v>107</v>
      </c>
      <c r="B80" s="4" t="s">
        <v>108</v>
      </c>
      <c r="C80" s="6">
        <v>63</v>
      </c>
      <c r="D80" s="6">
        <v>54</v>
      </c>
      <c r="E80" s="9">
        <v>0.98</v>
      </c>
      <c r="F80" s="9">
        <v>1</v>
      </c>
      <c r="G80" s="9">
        <v>1</v>
      </c>
      <c r="H80" s="9">
        <v>0.97</v>
      </c>
      <c r="I80" s="10" t="s">
        <v>1094</v>
      </c>
      <c r="J80" s="10" t="s">
        <v>329</v>
      </c>
      <c r="K80" s="10" t="s">
        <v>518</v>
      </c>
      <c r="L80" s="26">
        <v>2.1999999999999999E-2</v>
      </c>
      <c r="M80">
        <f t="shared" si="3"/>
        <v>4</v>
      </c>
      <c r="N80">
        <f t="shared" si="3"/>
        <v>4</v>
      </c>
      <c r="O80">
        <f t="shared" si="3"/>
        <v>4</v>
      </c>
      <c r="P80">
        <f t="shared" si="2"/>
        <v>4</v>
      </c>
      <c r="Q80" s="67" t="s">
        <v>107</v>
      </c>
    </row>
    <row r="81" spans="1:17" x14ac:dyDescent="0.25">
      <c r="A81" s="10" t="s">
        <v>77</v>
      </c>
      <c r="B81" s="4" t="s">
        <v>78</v>
      </c>
      <c r="C81" s="6">
        <v>46</v>
      </c>
      <c r="D81" s="6">
        <v>30</v>
      </c>
      <c r="E81" s="9">
        <v>0.87</v>
      </c>
      <c r="F81" s="9">
        <v>1</v>
      </c>
      <c r="G81" s="9">
        <v>0.86</v>
      </c>
      <c r="H81" s="9">
        <v>0.83</v>
      </c>
      <c r="I81" s="10" t="s">
        <v>1095</v>
      </c>
      <c r="J81" s="10" t="s">
        <v>609</v>
      </c>
      <c r="K81" s="10" t="s">
        <v>515</v>
      </c>
      <c r="L81" s="26">
        <v>0.02</v>
      </c>
      <c r="M81">
        <f t="shared" si="3"/>
        <v>2</v>
      </c>
      <c r="N81">
        <f t="shared" si="3"/>
        <v>4</v>
      </c>
      <c r="O81">
        <f t="shared" si="3"/>
        <v>2</v>
      </c>
      <c r="P81">
        <f t="shared" si="2"/>
        <v>2</v>
      </c>
      <c r="Q81" s="67" t="s">
        <v>77</v>
      </c>
    </row>
    <row r="82" spans="1:17" x14ac:dyDescent="0.25">
      <c r="A82" s="10" t="s">
        <v>134</v>
      </c>
      <c r="B82" s="4" t="s">
        <v>135</v>
      </c>
      <c r="C82" s="6">
        <v>61</v>
      </c>
      <c r="D82" s="6">
        <v>38</v>
      </c>
      <c r="E82" s="9">
        <v>0.62</v>
      </c>
      <c r="F82" s="9">
        <v>1</v>
      </c>
      <c r="G82" s="9">
        <v>0.66</v>
      </c>
      <c r="H82" s="9">
        <v>0.34</v>
      </c>
      <c r="I82" s="10" t="s">
        <v>1096</v>
      </c>
      <c r="J82" s="10" t="s">
        <v>652</v>
      </c>
      <c r="K82" s="10" t="s">
        <v>584</v>
      </c>
      <c r="L82" s="26">
        <v>6.0000000000000001E-3</v>
      </c>
      <c r="M82">
        <f t="shared" si="3"/>
        <v>1</v>
      </c>
      <c r="N82">
        <f t="shared" si="3"/>
        <v>4</v>
      </c>
      <c r="O82">
        <f t="shared" si="3"/>
        <v>1</v>
      </c>
      <c r="P82">
        <f t="shared" si="2"/>
        <v>1</v>
      </c>
      <c r="Q82" s="67" t="s">
        <v>134</v>
      </c>
    </row>
    <row r="83" spans="1:17" x14ac:dyDescent="0.25">
      <c r="A83" s="10" t="s">
        <v>136</v>
      </c>
      <c r="B83" s="4" t="s">
        <v>137</v>
      </c>
      <c r="C83" s="6">
        <v>45</v>
      </c>
      <c r="D83" s="6">
        <v>33</v>
      </c>
      <c r="E83" s="9">
        <v>0.96</v>
      </c>
      <c r="F83" s="9">
        <v>1</v>
      </c>
      <c r="G83" s="9">
        <v>0.94</v>
      </c>
      <c r="H83" s="9">
        <v>0.87</v>
      </c>
      <c r="I83" s="10" t="s">
        <v>1097</v>
      </c>
      <c r="J83" s="10" t="s">
        <v>609</v>
      </c>
      <c r="K83" s="10" t="s">
        <v>278</v>
      </c>
      <c r="L83" s="26">
        <v>1.7000000000000001E-2</v>
      </c>
      <c r="M83">
        <f t="shared" si="3"/>
        <v>3</v>
      </c>
      <c r="N83">
        <f t="shared" si="3"/>
        <v>4</v>
      </c>
      <c r="O83">
        <f t="shared" si="3"/>
        <v>3</v>
      </c>
      <c r="P83">
        <f t="shared" si="2"/>
        <v>3</v>
      </c>
      <c r="Q83" s="67" t="s">
        <v>136</v>
      </c>
    </row>
    <row r="84" spans="1:17" x14ac:dyDescent="0.25">
      <c r="A84" s="10" t="s">
        <v>140</v>
      </c>
      <c r="B84" s="4" t="s">
        <v>141</v>
      </c>
      <c r="C84" s="6">
        <v>77</v>
      </c>
      <c r="D84" s="6">
        <v>49</v>
      </c>
      <c r="E84" s="9">
        <v>1</v>
      </c>
      <c r="F84" s="9">
        <v>1</v>
      </c>
      <c r="G84" s="9">
        <v>1</v>
      </c>
      <c r="H84" s="9">
        <v>0.66</v>
      </c>
      <c r="I84" s="10" t="s">
        <v>1098</v>
      </c>
      <c r="J84" s="10" t="s">
        <v>939</v>
      </c>
      <c r="K84" s="10" t="s">
        <v>278</v>
      </c>
      <c r="L84" s="26">
        <v>0.01</v>
      </c>
      <c r="M84">
        <f t="shared" si="3"/>
        <v>4</v>
      </c>
      <c r="N84">
        <f t="shared" si="3"/>
        <v>4</v>
      </c>
      <c r="O84">
        <f t="shared" si="3"/>
        <v>4</v>
      </c>
      <c r="P84">
        <f t="shared" si="2"/>
        <v>1</v>
      </c>
      <c r="Q84" s="67" t="s">
        <v>140</v>
      </c>
    </row>
    <row r="85" spans="1:17" x14ac:dyDescent="0.25">
      <c r="A85" s="10" t="s">
        <v>35</v>
      </c>
      <c r="B85" s="4" t="s">
        <v>36</v>
      </c>
      <c r="C85" s="6">
        <v>60</v>
      </c>
      <c r="D85" s="6">
        <v>21</v>
      </c>
      <c r="E85" s="9">
        <v>0.73</v>
      </c>
      <c r="F85" s="9">
        <v>0.98</v>
      </c>
      <c r="G85" s="9">
        <v>0.73</v>
      </c>
      <c r="H85" s="9">
        <v>0.73</v>
      </c>
      <c r="I85" s="10" t="s">
        <v>1099</v>
      </c>
      <c r="J85" s="10" t="s">
        <v>1080</v>
      </c>
      <c r="K85" s="10" t="s">
        <v>582</v>
      </c>
      <c r="L85" s="26">
        <v>1.0999999999999999E-2</v>
      </c>
      <c r="M85">
        <f t="shared" si="3"/>
        <v>1</v>
      </c>
      <c r="N85">
        <f t="shared" si="3"/>
        <v>2</v>
      </c>
      <c r="O85">
        <f t="shared" si="3"/>
        <v>1</v>
      </c>
      <c r="P85">
        <f t="shared" si="2"/>
        <v>1</v>
      </c>
      <c r="Q85" s="67" t="s">
        <v>35</v>
      </c>
    </row>
    <row r="87" spans="1:17" x14ac:dyDescent="0.25">
      <c r="A87" s="68"/>
      <c r="B87" s="29"/>
      <c r="I87" s="68"/>
      <c r="J87" s="68"/>
      <c r="K87" s="68"/>
      <c r="L87" s="68"/>
      <c r="M87" s="68"/>
      <c r="N87" s="68"/>
      <c r="O87" s="68"/>
      <c r="P87" s="68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workbookViewId="0">
      <selection activeCell="T8" sqref="T8"/>
    </sheetView>
  </sheetViews>
  <sheetFormatPr defaultRowHeight="15" x14ac:dyDescent="0.25"/>
  <sheetData>
    <row r="1" spans="1:20" x14ac:dyDescent="0.25">
      <c r="A1">
        <v>0</v>
      </c>
      <c r="B1" t="s">
        <v>872</v>
      </c>
      <c r="I1">
        <f t="shared" ref="I1:L5" si="0">QUARTILE(I$8:I$85,$A1)</f>
        <v>0</v>
      </c>
      <c r="J1">
        <f t="shared" si="0"/>
        <v>0</v>
      </c>
      <c r="K1">
        <f t="shared" si="0"/>
        <v>0</v>
      </c>
      <c r="L1">
        <f t="shared" si="0"/>
        <v>0</v>
      </c>
    </row>
    <row r="2" spans="1:20" x14ac:dyDescent="0.25">
      <c r="A2">
        <v>1</v>
      </c>
      <c r="B2" t="s">
        <v>873</v>
      </c>
      <c r="I2">
        <f t="shared" si="0"/>
        <v>0.81</v>
      </c>
      <c r="J2">
        <f t="shared" si="0"/>
        <v>0.97</v>
      </c>
      <c r="K2">
        <f t="shared" si="0"/>
        <v>0.82</v>
      </c>
      <c r="L2">
        <f t="shared" si="0"/>
        <v>0.67</v>
      </c>
    </row>
    <row r="3" spans="1:20" x14ac:dyDescent="0.25">
      <c r="A3">
        <v>2</v>
      </c>
      <c r="B3" t="s">
        <v>874</v>
      </c>
      <c r="I3">
        <f t="shared" si="0"/>
        <v>0.93</v>
      </c>
      <c r="J3">
        <f t="shared" si="0"/>
        <v>1</v>
      </c>
      <c r="K3">
        <f t="shared" si="0"/>
        <v>0.94</v>
      </c>
      <c r="L3">
        <f t="shared" si="0"/>
        <v>0.88</v>
      </c>
    </row>
    <row r="4" spans="1:20" x14ac:dyDescent="0.25">
      <c r="A4">
        <v>3</v>
      </c>
      <c r="B4" t="s">
        <v>875</v>
      </c>
      <c r="I4">
        <f t="shared" si="0"/>
        <v>0.98</v>
      </c>
      <c r="J4">
        <f t="shared" si="0"/>
        <v>1</v>
      </c>
      <c r="K4">
        <f t="shared" si="0"/>
        <v>0.99</v>
      </c>
      <c r="L4">
        <f t="shared" si="0"/>
        <v>0.96</v>
      </c>
    </row>
    <row r="5" spans="1:20" x14ac:dyDescent="0.25">
      <c r="A5">
        <v>4</v>
      </c>
      <c r="B5" t="s">
        <v>876</v>
      </c>
      <c r="I5">
        <f t="shared" si="0"/>
        <v>1</v>
      </c>
      <c r="J5">
        <f t="shared" si="0"/>
        <v>1</v>
      </c>
      <c r="K5">
        <f t="shared" si="0"/>
        <v>1</v>
      </c>
      <c r="L5">
        <f t="shared" si="0"/>
        <v>1</v>
      </c>
    </row>
    <row r="6" spans="1:20" ht="15.75" thickBot="1" x14ac:dyDescent="0.3"/>
    <row r="7" spans="1:20" ht="150.75" thickBot="1" x14ac:dyDescent="0.3">
      <c r="A7" s="49" t="s">
        <v>189</v>
      </c>
      <c r="B7" s="50" t="s">
        <v>183</v>
      </c>
      <c r="C7" s="51" t="s">
        <v>877</v>
      </c>
      <c r="D7" s="51" t="s">
        <v>878</v>
      </c>
      <c r="E7" s="51" t="s">
        <v>197</v>
      </c>
      <c r="F7" s="51" t="s">
        <v>879</v>
      </c>
      <c r="G7" s="51" t="s">
        <v>880</v>
      </c>
      <c r="H7" s="51" t="s">
        <v>198</v>
      </c>
      <c r="I7" s="51" t="s">
        <v>205</v>
      </c>
      <c r="J7" s="51" t="s">
        <v>199</v>
      </c>
      <c r="K7" s="51" t="s">
        <v>200</v>
      </c>
      <c r="L7" s="51" t="s">
        <v>201</v>
      </c>
      <c r="M7" s="52" t="s">
        <v>202</v>
      </c>
      <c r="N7" s="52" t="s">
        <v>203</v>
      </c>
      <c r="O7" s="52" t="s">
        <v>204</v>
      </c>
      <c r="P7" s="51" t="s">
        <v>209</v>
      </c>
      <c r="Q7" s="34" t="s">
        <v>881</v>
      </c>
      <c r="R7" s="53" t="s">
        <v>882</v>
      </c>
      <c r="S7" s="53" t="s">
        <v>883</v>
      </c>
      <c r="T7" s="54" t="s">
        <v>884</v>
      </c>
    </row>
    <row r="8" spans="1:20" x14ac:dyDescent="0.25">
      <c r="A8" s="55" t="s">
        <v>0</v>
      </c>
      <c r="B8" s="56" t="s">
        <v>885</v>
      </c>
      <c r="C8" s="57">
        <v>52</v>
      </c>
      <c r="D8">
        <v>70</v>
      </c>
      <c r="E8" s="55">
        <v>71</v>
      </c>
      <c r="F8" s="58">
        <f>E8/C8</f>
        <v>1.3653846153846154</v>
      </c>
      <c r="G8" s="58">
        <f>D8/C8</f>
        <v>1.3461538461538463</v>
      </c>
      <c r="H8" s="55">
        <v>58</v>
      </c>
      <c r="I8" s="59">
        <v>0.99</v>
      </c>
      <c r="J8" s="59">
        <v>0.96</v>
      </c>
      <c r="K8" s="59">
        <v>0.99</v>
      </c>
      <c r="L8" s="59">
        <v>0.96</v>
      </c>
      <c r="M8" s="60" t="s">
        <v>886</v>
      </c>
      <c r="N8" s="60" t="s">
        <v>705</v>
      </c>
      <c r="O8" s="60" t="s">
        <v>552</v>
      </c>
      <c r="P8" s="61">
        <v>1.0999999999999999E-2</v>
      </c>
      <c r="Q8">
        <f>+IF(I8&lt;I$2,1,IF(I8&lt;I$3,2,IF(I8&lt;I$4,3,4)))</f>
        <v>4</v>
      </c>
      <c r="R8">
        <f>+IF(J8&lt;J$2,1,IF(J8&lt;J$3,2,IF(J8&lt;J$4,3,4)))</f>
        <v>1</v>
      </c>
      <c r="S8">
        <f>+IF(K8&lt;K$2,1,IF(K8&lt;K$3,2,IF(K8&lt;K$4,3,4)))</f>
        <v>4</v>
      </c>
      <c r="T8">
        <f>+IF(L8&lt;L$2,1,IF(L8&lt;L$3,2,IF(L8&lt;L$4,3,4)))</f>
        <v>4</v>
      </c>
    </row>
    <row r="9" spans="1:20" x14ac:dyDescent="0.25">
      <c r="A9" s="62" t="s">
        <v>4</v>
      </c>
      <c r="B9" s="56" t="s">
        <v>887</v>
      </c>
      <c r="C9" s="57">
        <v>58</v>
      </c>
      <c r="D9">
        <v>62</v>
      </c>
      <c r="E9" s="62">
        <v>62</v>
      </c>
      <c r="F9" s="58">
        <f t="shared" ref="F9:F72" si="1">E9/C9</f>
        <v>1.0689655172413792</v>
      </c>
      <c r="G9" s="58">
        <f t="shared" ref="G9:G72" si="2">D9/C9</f>
        <v>1.0689655172413792</v>
      </c>
      <c r="H9" s="62">
        <v>30</v>
      </c>
      <c r="I9" s="63">
        <v>1</v>
      </c>
      <c r="J9" s="63">
        <v>1</v>
      </c>
      <c r="K9" s="63">
        <v>1</v>
      </c>
      <c r="L9" s="63">
        <v>0.89</v>
      </c>
      <c r="M9" s="60" t="s">
        <v>888</v>
      </c>
      <c r="N9" s="60" t="s">
        <v>889</v>
      </c>
      <c r="O9" s="60" t="s">
        <v>540</v>
      </c>
      <c r="P9" s="64">
        <v>0.02</v>
      </c>
      <c r="Q9">
        <f t="shared" ref="Q9:T72" si="3">+IF(I9&lt;I$2,1,IF(I9&lt;I$3,2,IF(I9&lt;I$4,3,4)))</f>
        <v>4</v>
      </c>
      <c r="R9">
        <f t="shared" si="3"/>
        <v>4</v>
      </c>
      <c r="S9">
        <f t="shared" si="3"/>
        <v>4</v>
      </c>
      <c r="T9">
        <f t="shared" si="3"/>
        <v>3</v>
      </c>
    </row>
    <row r="10" spans="1:20" x14ac:dyDescent="0.25">
      <c r="A10" s="62" t="s">
        <v>5</v>
      </c>
      <c r="B10" s="56" t="s">
        <v>890</v>
      </c>
      <c r="C10" s="57">
        <v>45</v>
      </c>
      <c r="D10">
        <v>40</v>
      </c>
      <c r="E10" s="62">
        <v>40</v>
      </c>
      <c r="F10" s="58">
        <f t="shared" si="1"/>
        <v>0.88888888888888884</v>
      </c>
      <c r="G10" s="58">
        <f t="shared" si="2"/>
        <v>0.88888888888888884</v>
      </c>
      <c r="H10" s="62">
        <v>26</v>
      </c>
      <c r="I10" s="63">
        <v>0.98</v>
      </c>
      <c r="J10" s="63">
        <v>0.98</v>
      </c>
      <c r="K10" s="63">
        <v>0.97</v>
      </c>
      <c r="L10" s="63">
        <v>1</v>
      </c>
      <c r="M10" s="60" t="s">
        <v>891</v>
      </c>
      <c r="N10" s="60" t="s">
        <v>532</v>
      </c>
      <c r="O10" s="60" t="s">
        <v>593</v>
      </c>
      <c r="P10" s="64">
        <v>1.7000000000000001E-2</v>
      </c>
      <c r="Q10">
        <f t="shared" si="3"/>
        <v>4</v>
      </c>
      <c r="R10">
        <f t="shared" si="3"/>
        <v>2</v>
      </c>
      <c r="S10">
        <f t="shared" si="3"/>
        <v>3</v>
      </c>
      <c r="T10">
        <f t="shared" si="3"/>
        <v>4</v>
      </c>
    </row>
    <row r="11" spans="1:20" x14ac:dyDescent="0.25">
      <c r="A11" s="62" t="s">
        <v>7</v>
      </c>
      <c r="B11" s="56" t="s">
        <v>892</v>
      </c>
      <c r="C11" s="57">
        <v>19</v>
      </c>
      <c r="D11">
        <v>30</v>
      </c>
      <c r="E11" s="62">
        <v>28</v>
      </c>
      <c r="F11" s="58">
        <f t="shared" si="1"/>
        <v>1.4736842105263157</v>
      </c>
      <c r="G11" s="58">
        <f t="shared" si="2"/>
        <v>1.5789473684210527</v>
      </c>
      <c r="H11" s="62">
        <v>25</v>
      </c>
      <c r="I11" s="63">
        <v>1</v>
      </c>
      <c r="J11" s="63">
        <v>1</v>
      </c>
      <c r="K11" s="63">
        <v>1</v>
      </c>
      <c r="L11" s="63">
        <v>0.93</v>
      </c>
      <c r="M11" s="60" t="s">
        <v>893</v>
      </c>
      <c r="N11" s="60" t="s">
        <v>894</v>
      </c>
      <c r="O11" s="60" t="s">
        <v>268</v>
      </c>
      <c r="P11" s="64">
        <v>3.7999999999999999E-2</v>
      </c>
      <c r="Q11">
        <f t="shared" si="3"/>
        <v>4</v>
      </c>
      <c r="R11">
        <f t="shared" si="3"/>
        <v>4</v>
      </c>
      <c r="S11">
        <f t="shared" si="3"/>
        <v>4</v>
      </c>
      <c r="T11">
        <f t="shared" si="3"/>
        <v>3</v>
      </c>
    </row>
    <row r="12" spans="1:20" x14ac:dyDescent="0.25">
      <c r="A12" s="62" t="s">
        <v>9</v>
      </c>
      <c r="B12" s="56" t="s">
        <v>895</v>
      </c>
      <c r="C12" s="57">
        <v>42</v>
      </c>
      <c r="D12">
        <v>35</v>
      </c>
      <c r="E12" s="62">
        <v>35</v>
      </c>
      <c r="F12" s="58">
        <f t="shared" si="1"/>
        <v>0.83333333333333337</v>
      </c>
      <c r="G12" s="58">
        <f t="shared" si="2"/>
        <v>0.83333333333333337</v>
      </c>
      <c r="H12" s="62">
        <v>30</v>
      </c>
      <c r="I12" s="63">
        <v>0.94</v>
      </c>
      <c r="J12" s="63">
        <v>0.94</v>
      </c>
      <c r="K12" s="63">
        <v>0.94</v>
      </c>
      <c r="L12" s="63">
        <v>0.94</v>
      </c>
      <c r="M12" s="60" t="s">
        <v>896</v>
      </c>
      <c r="N12" s="60" t="s">
        <v>897</v>
      </c>
      <c r="O12" s="60" t="s">
        <v>298</v>
      </c>
      <c r="P12" s="64">
        <v>7.0000000000000001E-3</v>
      </c>
      <c r="Q12">
        <f t="shared" si="3"/>
        <v>3</v>
      </c>
      <c r="R12">
        <f t="shared" si="3"/>
        <v>1</v>
      </c>
      <c r="S12">
        <f t="shared" si="3"/>
        <v>3</v>
      </c>
      <c r="T12">
        <f t="shared" si="3"/>
        <v>3</v>
      </c>
    </row>
    <row r="13" spans="1:20" x14ac:dyDescent="0.25">
      <c r="A13" s="62" t="s">
        <v>13</v>
      </c>
      <c r="B13" s="56" t="s">
        <v>14</v>
      </c>
      <c r="C13" s="57">
        <v>18</v>
      </c>
      <c r="D13" s="57">
        <v>26</v>
      </c>
      <c r="E13" s="62">
        <v>24</v>
      </c>
      <c r="F13" s="58">
        <f t="shared" si="1"/>
        <v>1.3333333333333333</v>
      </c>
      <c r="G13" s="58">
        <f t="shared" si="2"/>
        <v>1.4444444444444444</v>
      </c>
      <c r="H13" s="62">
        <v>18</v>
      </c>
      <c r="I13" s="63">
        <v>0.46</v>
      </c>
      <c r="J13" s="63">
        <v>1</v>
      </c>
      <c r="K13" s="63">
        <v>0.55000000000000004</v>
      </c>
      <c r="L13" s="63">
        <v>0.38</v>
      </c>
      <c r="M13" s="60" t="s">
        <v>898</v>
      </c>
      <c r="N13" s="60" t="s">
        <v>286</v>
      </c>
      <c r="O13" s="60" t="s">
        <v>593</v>
      </c>
      <c r="P13" s="64">
        <v>2.7E-2</v>
      </c>
      <c r="Q13">
        <f t="shared" si="3"/>
        <v>1</v>
      </c>
      <c r="R13">
        <f t="shared" si="3"/>
        <v>4</v>
      </c>
      <c r="S13">
        <f t="shared" si="3"/>
        <v>1</v>
      </c>
      <c r="T13">
        <f t="shared" si="3"/>
        <v>1</v>
      </c>
    </row>
    <row r="14" spans="1:20" x14ac:dyDescent="0.25">
      <c r="A14" s="62" t="s">
        <v>15</v>
      </c>
      <c r="B14" s="56" t="s">
        <v>16</v>
      </c>
      <c r="C14" s="57">
        <v>26</v>
      </c>
      <c r="D14" s="57">
        <v>26</v>
      </c>
      <c r="E14" s="62">
        <v>26</v>
      </c>
      <c r="F14" s="58">
        <f t="shared" si="1"/>
        <v>1</v>
      </c>
      <c r="G14" s="58">
        <f t="shared" si="2"/>
        <v>1</v>
      </c>
      <c r="H14" s="62">
        <v>26</v>
      </c>
      <c r="I14" s="63">
        <v>0.96</v>
      </c>
      <c r="J14" s="63">
        <v>1</v>
      </c>
      <c r="K14" s="63">
        <v>0.95</v>
      </c>
      <c r="L14" s="63">
        <v>0.96</v>
      </c>
      <c r="M14" s="60" t="s">
        <v>899</v>
      </c>
      <c r="N14" s="60" t="e">
        <v>#VALUE!</v>
      </c>
      <c r="O14" s="60" t="s">
        <v>266</v>
      </c>
      <c r="P14" s="64">
        <v>4.7E-2</v>
      </c>
      <c r="Q14">
        <f t="shared" si="3"/>
        <v>3</v>
      </c>
      <c r="R14">
        <f t="shared" si="3"/>
        <v>4</v>
      </c>
      <c r="S14">
        <f t="shared" si="3"/>
        <v>3</v>
      </c>
      <c r="T14">
        <f t="shared" si="3"/>
        <v>4</v>
      </c>
    </row>
    <row r="15" spans="1:20" x14ac:dyDescent="0.25">
      <c r="A15" s="62" t="s">
        <v>17</v>
      </c>
      <c r="B15" s="56" t="s">
        <v>18</v>
      </c>
      <c r="C15" s="57">
        <v>28</v>
      </c>
      <c r="D15" s="57">
        <v>30</v>
      </c>
      <c r="E15" s="62">
        <v>30</v>
      </c>
      <c r="F15" s="58">
        <f t="shared" si="1"/>
        <v>1.0714285714285714</v>
      </c>
      <c r="G15" s="58">
        <f t="shared" si="2"/>
        <v>1.0714285714285714</v>
      </c>
      <c r="H15" s="62">
        <v>17</v>
      </c>
      <c r="I15" s="63">
        <v>1</v>
      </c>
      <c r="J15" s="63">
        <v>1</v>
      </c>
      <c r="K15" s="63">
        <v>1</v>
      </c>
      <c r="L15" s="63">
        <v>1</v>
      </c>
      <c r="M15" s="60" t="s">
        <v>900</v>
      </c>
      <c r="N15" s="60" t="s">
        <v>613</v>
      </c>
      <c r="O15" s="60" t="s">
        <v>515</v>
      </c>
      <c r="P15" s="64">
        <v>1.4E-2</v>
      </c>
      <c r="Q15">
        <f t="shared" si="3"/>
        <v>4</v>
      </c>
      <c r="R15">
        <f t="shared" si="3"/>
        <v>4</v>
      </c>
      <c r="S15">
        <f t="shared" si="3"/>
        <v>4</v>
      </c>
      <c r="T15">
        <f t="shared" si="3"/>
        <v>4</v>
      </c>
    </row>
    <row r="16" spans="1:20" x14ac:dyDescent="0.25">
      <c r="A16" s="62" t="s">
        <v>19</v>
      </c>
      <c r="B16" s="56" t="s">
        <v>20</v>
      </c>
      <c r="C16" s="57">
        <v>33</v>
      </c>
      <c r="D16" s="57">
        <v>39</v>
      </c>
      <c r="E16" s="62">
        <v>38</v>
      </c>
      <c r="F16" s="58">
        <f t="shared" si="1"/>
        <v>1.1515151515151516</v>
      </c>
      <c r="G16" s="58">
        <f t="shared" si="2"/>
        <v>1.1818181818181819</v>
      </c>
      <c r="H16" s="62">
        <v>19</v>
      </c>
      <c r="I16" s="63">
        <v>0.95</v>
      </c>
      <c r="J16" s="63">
        <v>1</v>
      </c>
      <c r="K16" s="63">
        <v>0.94</v>
      </c>
      <c r="L16" s="63">
        <v>1</v>
      </c>
      <c r="M16" s="60" t="s">
        <v>901</v>
      </c>
      <c r="N16" s="60" t="s">
        <v>889</v>
      </c>
      <c r="O16" s="60" t="s">
        <v>686</v>
      </c>
      <c r="P16" s="64">
        <v>1.7000000000000001E-2</v>
      </c>
      <c r="Q16">
        <f t="shared" si="3"/>
        <v>3</v>
      </c>
      <c r="R16">
        <f t="shared" si="3"/>
        <v>4</v>
      </c>
      <c r="S16">
        <f t="shared" si="3"/>
        <v>3</v>
      </c>
      <c r="T16">
        <f t="shared" si="3"/>
        <v>4</v>
      </c>
    </row>
    <row r="17" spans="1:20" x14ac:dyDescent="0.25">
      <c r="A17" s="62" t="s">
        <v>21</v>
      </c>
      <c r="B17" s="56" t="s">
        <v>22</v>
      </c>
      <c r="C17" s="57">
        <v>37</v>
      </c>
      <c r="D17" s="57">
        <v>37</v>
      </c>
      <c r="E17" s="62">
        <v>37</v>
      </c>
      <c r="F17" s="58">
        <f t="shared" si="1"/>
        <v>1</v>
      </c>
      <c r="G17" s="58">
        <f t="shared" si="2"/>
        <v>1</v>
      </c>
      <c r="H17" s="62">
        <v>28</v>
      </c>
      <c r="I17" s="63">
        <v>0.51</v>
      </c>
      <c r="J17" s="63">
        <v>0.97</v>
      </c>
      <c r="K17" s="63">
        <v>0.5</v>
      </c>
      <c r="L17" s="63">
        <v>0</v>
      </c>
      <c r="M17" s="60" t="s">
        <v>902</v>
      </c>
      <c r="N17" s="60" t="s">
        <v>903</v>
      </c>
      <c r="O17" s="60" t="s">
        <v>260</v>
      </c>
      <c r="P17" s="64">
        <v>0</v>
      </c>
      <c r="Q17">
        <f t="shared" si="3"/>
        <v>1</v>
      </c>
      <c r="R17">
        <f t="shared" si="3"/>
        <v>2</v>
      </c>
      <c r="S17">
        <f t="shared" si="3"/>
        <v>1</v>
      </c>
      <c r="T17">
        <f t="shared" si="3"/>
        <v>1</v>
      </c>
    </row>
    <row r="18" spans="1:20" x14ac:dyDescent="0.25">
      <c r="A18" s="62" t="s">
        <v>23</v>
      </c>
      <c r="B18" s="56" t="s">
        <v>24</v>
      </c>
      <c r="C18" s="57">
        <v>83</v>
      </c>
      <c r="D18" s="57">
        <v>65</v>
      </c>
      <c r="E18" s="62">
        <v>59</v>
      </c>
      <c r="F18" s="58">
        <f t="shared" si="1"/>
        <v>0.71084337349397586</v>
      </c>
      <c r="G18" s="58">
        <f t="shared" si="2"/>
        <v>0.7831325301204819</v>
      </c>
      <c r="H18" s="62">
        <v>51</v>
      </c>
      <c r="I18" s="63">
        <v>0.59</v>
      </c>
      <c r="J18" s="63">
        <v>1</v>
      </c>
      <c r="K18" s="63">
        <v>0.6</v>
      </c>
      <c r="L18" s="63">
        <v>0.63</v>
      </c>
      <c r="M18" s="60" t="s">
        <v>904</v>
      </c>
      <c r="N18" s="60" t="s">
        <v>652</v>
      </c>
      <c r="O18" s="60" t="s">
        <v>271</v>
      </c>
      <c r="P18" s="64">
        <v>1.9E-2</v>
      </c>
      <c r="Q18">
        <f t="shared" si="3"/>
        <v>1</v>
      </c>
      <c r="R18">
        <f t="shared" si="3"/>
        <v>4</v>
      </c>
      <c r="S18">
        <f t="shared" si="3"/>
        <v>1</v>
      </c>
      <c r="T18">
        <f t="shared" si="3"/>
        <v>1</v>
      </c>
    </row>
    <row r="19" spans="1:20" x14ac:dyDescent="0.25">
      <c r="A19" s="62" t="s">
        <v>25</v>
      </c>
      <c r="B19" s="56" t="s">
        <v>26</v>
      </c>
      <c r="C19" s="57">
        <v>77</v>
      </c>
      <c r="D19" s="57">
        <v>83</v>
      </c>
      <c r="E19" s="62">
        <v>81</v>
      </c>
      <c r="F19" s="58">
        <f t="shared" si="1"/>
        <v>1.051948051948052</v>
      </c>
      <c r="G19" s="58">
        <f t="shared" si="2"/>
        <v>1.0779220779220779</v>
      </c>
      <c r="H19" s="62">
        <v>47</v>
      </c>
      <c r="I19" s="63">
        <v>0.98</v>
      </c>
      <c r="J19" s="63">
        <v>0.98</v>
      </c>
      <c r="K19" s="63">
        <v>0.97</v>
      </c>
      <c r="L19" s="63">
        <v>0.95</v>
      </c>
      <c r="M19" s="60" t="s">
        <v>905</v>
      </c>
      <c r="N19" s="60" t="s">
        <v>595</v>
      </c>
      <c r="O19" s="60" t="s">
        <v>368</v>
      </c>
      <c r="P19" s="64">
        <v>2.3E-2</v>
      </c>
      <c r="Q19">
        <f t="shared" si="3"/>
        <v>4</v>
      </c>
      <c r="R19">
        <f t="shared" si="3"/>
        <v>2</v>
      </c>
      <c r="S19">
        <f t="shared" si="3"/>
        <v>3</v>
      </c>
      <c r="T19">
        <f t="shared" si="3"/>
        <v>3</v>
      </c>
    </row>
    <row r="20" spans="1:20" x14ac:dyDescent="0.25">
      <c r="A20" s="62" t="s">
        <v>33</v>
      </c>
      <c r="B20" s="56" t="s">
        <v>34</v>
      </c>
      <c r="C20" s="57">
        <v>66</v>
      </c>
      <c r="D20" s="57">
        <v>76</v>
      </c>
      <c r="E20" s="62">
        <v>72</v>
      </c>
      <c r="F20" s="58">
        <f t="shared" si="1"/>
        <v>1.0909090909090908</v>
      </c>
      <c r="G20" s="58">
        <f t="shared" si="2"/>
        <v>1.1515151515151516</v>
      </c>
      <c r="H20" s="62">
        <v>67</v>
      </c>
      <c r="I20" s="63">
        <v>0.97</v>
      </c>
      <c r="J20" s="63">
        <v>0.97</v>
      </c>
      <c r="K20" s="63">
        <v>0.97</v>
      </c>
      <c r="L20" s="63">
        <v>0.82</v>
      </c>
      <c r="M20" s="60" t="s">
        <v>906</v>
      </c>
      <c r="N20" s="60" t="s">
        <v>907</v>
      </c>
      <c r="O20" s="60" t="s">
        <v>378</v>
      </c>
      <c r="P20" s="64">
        <v>2.3E-2</v>
      </c>
      <c r="Q20">
        <f t="shared" si="3"/>
        <v>3</v>
      </c>
      <c r="R20">
        <f t="shared" si="3"/>
        <v>2</v>
      </c>
      <c r="S20">
        <f t="shared" si="3"/>
        <v>3</v>
      </c>
      <c r="T20">
        <f t="shared" si="3"/>
        <v>2</v>
      </c>
    </row>
    <row r="21" spans="1:20" x14ac:dyDescent="0.25">
      <c r="A21" s="62" t="s">
        <v>35</v>
      </c>
      <c r="B21" s="56" t="s">
        <v>36</v>
      </c>
      <c r="C21" s="57">
        <v>50</v>
      </c>
      <c r="D21" s="57">
        <v>55</v>
      </c>
      <c r="E21" s="62">
        <v>52</v>
      </c>
      <c r="F21" s="58">
        <f t="shared" si="1"/>
        <v>1.04</v>
      </c>
      <c r="G21" s="58">
        <f t="shared" si="2"/>
        <v>1.1000000000000001</v>
      </c>
      <c r="H21" s="62">
        <v>20</v>
      </c>
      <c r="I21" s="63">
        <v>0.81</v>
      </c>
      <c r="J21" s="63">
        <v>0.98</v>
      </c>
      <c r="K21" s="63">
        <v>0.82</v>
      </c>
      <c r="L21" s="63">
        <v>0.77</v>
      </c>
      <c r="M21" s="60" t="s">
        <v>908</v>
      </c>
      <c r="N21" s="60" t="s">
        <v>652</v>
      </c>
      <c r="O21" s="60" t="s">
        <v>537</v>
      </c>
      <c r="P21" s="64">
        <v>1.4999999999999999E-2</v>
      </c>
      <c r="Q21">
        <f t="shared" si="3"/>
        <v>2</v>
      </c>
      <c r="R21">
        <f t="shared" si="3"/>
        <v>2</v>
      </c>
      <c r="S21">
        <f t="shared" si="3"/>
        <v>2</v>
      </c>
      <c r="T21">
        <f t="shared" si="3"/>
        <v>2</v>
      </c>
    </row>
    <row r="22" spans="1:20" x14ac:dyDescent="0.25">
      <c r="A22" s="62" t="s">
        <v>37</v>
      </c>
      <c r="B22" s="56" t="s">
        <v>38</v>
      </c>
      <c r="C22" s="57">
        <v>39</v>
      </c>
      <c r="D22" s="57">
        <v>39</v>
      </c>
      <c r="E22" s="62">
        <v>38</v>
      </c>
      <c r="F22" s="58">
        <f t="shared" si="1"/>
        <v>0.97435897435897434</v>
      </c>
      <c r="G22" s="58">
        <f t="shared" si="2"/>
        <v>1</v>
      </c>
      <c r="H22" s="62">
        <v>38</v>
      </c>
      <c r="I22" s="63">
        <v>0.63</v>
      </c>
      <c r="J22" s="63">
        <v>1</v>
      </c>
      <c r="K22" s="63">
        <v>0.59</v>
      </c>
      <c r="L22" s="63">
        <v>0.45</v>
      </c>
      <c r="M22" s="60" t="s">
        <v>909</v>
      </c>
      <c r="N22" s="60" t="e">
        <v>#VALUE!</v>
      </c>
      <c r="O22" s="60" t="s">
        <v>527</v>
      </c>
      <c r="P22" s="64">
        <v>0</v>
      </c>
      <c r="Q22">
        <f t="shared" si="3"/>
        <v>1</v>
      </c>
      <c r="R22">
        <f t="shared" si="3"/>
        <v>4</v>
      </c>
      <c r="S22">
        <f t="shared" si="3"/>
        <v>1</v>
      </c>
      <c r="T22">
        <f t="shared" si="3"/>
        <v>1</v>
      </c>
    </row>
    <row r="23" spans="1:20" x14ac:dyDescent="0.25">
      <c r="A23" s="62" t="s">
        <v>39</v>
      </c>
      <c r="B23" s="56" t="s">
        <v>857</v>
      </c>
      <c r="C23" s="57">
        <v>61</v>
      </c>
      <c r="D23" s="57">
        <v>62</v>
      </c>
      <c r="E23" s="62">
        <v>62</v>
      </c>
      <c r="F23" s="58">
        <f t="shared" si="1"/>
        <v>1.0163934426229508</v>
      </c>
      <c r="G23" s="58">
        <f t="shared" si="2"/>
        <v>1.0163934426229508</v>
      </c>
      <c r="H23" s="62">
        <v>34</v>
      </c>
      <c r="I23" s="63">
        <v>0.66</v>
      </c>
      <c r="J23" s="63">
        <v>1</v>
      </c>
      <c r="K23" s="63">
        <v>0.72</v>
      </c>
      <c r="L23" s="63">
        <v>0.55000000000000004</v>
      </c>
      <c r="M23" s="60" t="s">
        <v>910</v>
      </c>
      <c r="N23" s="60" t="s">
        <v>606</v>
      </c>
      <c r="O23" s="60" t="s">
        <v>582</v>
      </c>
      <c r="P23" s="64">
        <v>0</v>
      </c>
      <c r="Q23">
        <f t="shared" si="3"/>
        <v>1</v>
      </c>
      <c r="R23">
        <f t="shared" si="3"/>
        <v>4</v>
      </c>
      <c r="S23">
        <f t="shared" si="3"/>
        <v>1</v>
      </c>
      <c r="T23">
        <f t="shared" si="3"/>
        <v>1</v>
      </c>
    </row>
    <row r="24" spans="1:20" x14ac:dyDescent="0.25">
      <c r="A24" s="62" t="s">
        <v>40</v>
      </c>
      <c r="B24" s="56" t="s">
        <v>41</v>
      </c>
      <c r="C24" s="57">
        <v>92</v>
      </c>
      <c r="D24" s="57">
        <v>95</v>
      </c>
      <c r="E24" s="62">
        <v>79</v>
      </c>
      <c r="F24" s="58">
        <f t="shared" si="1"/>
        <v>0.85869565217391308</v>
      </c>
      <c r="G24" s="58">
        <f t="shared" si="2"/>
        <v>1.0326086956521738</v>
      </c>
      <c r="H24" s="62">
        <v>59</v>
      </c>
      <c r="I24" s="63">
        <v>1</v>
      </c>
      <c r="J24" s="63">
        <v>0.99</v>
      </c>
      <c r="K24" s="63">
        <v>1</v>
      </c>
      <c r="L24" s="63">
        <v>0.99</v>
      </c>
      <c r="M24" s="60" t="s">
        <v>911</v>
      </c>
      <c r="N24" s="60" t="s">
        <v>510</v>
      </c>
      <c r="O24" s="60" t="s">
        <v>278</v>
      </c>
      <c r="P24" s="64">
        <v>6.0000000000000001E-3</v>
      </c>
      <c r="Q24">
        <f t="shared" si="3"/>
        <v>4</v>
      </c>
      <c r="R24">
        <f t="shared" si="3"/>
        <v>2</v>
      </c>
      <c r="S24">
        <f t="shared" si="3"/>
        <v>4</v>
      </c>
      <c r="T24">
        <f t="shared" si="3"/>
        <v>4</v>
      </c>
    </row>
    <row r="25" spans="1:20" x14ac:dyDescent="0.25">
      <c r="A25" s="62" t="s">
        <v>42</v>
      </c>
      <c r="B25" s="56" t="s">
        <v>43</v>
      </c>
      <c r="C25" s="57">
        <v>63</v>
      </c>
      <c r="D25" s="57">
        <v>55</v>
      </c>
      <c r="E25" s="62">
        <v>55</v>
      </c>
      <c r="F25" s="58">
        <f t="shared" si="1"/>
        <v>0.87301587301587302</v>
      </c>
      <c r="G25" s="58">
        <f t="shared" si="2"/>
        <v>0.87301587301587302</v>
      </c>
      <c r="H25" s="62">
        <v>39</v>
      </c>
      <c r="I25" s="63">
        <v>0.55000000000000004</v>
      </c>
      <c r="J25" s="63">
        <v>1</v>
      </c>
      <c r="K25" s="63">
        <v>0.55000000000000004</v>
      </c>
      <c r="L25" s="63">
        <v>0.49</v>
      </c>
      <c r="M25" s="60" t="s">
        <v>912</v>
      </c>
      <c r="N25" s="60" t="s">
        <v>609</v>
      </c>
      <c r="O25" s="60" t="s">
        <v>387</v>
      </c>
      <c r="P25" s="64">
        <v>2.3E-2</v>
      </c>
      <c r="Q25">
        <f t="shared" si="3"/>
        <v>1</v>
      </c>
      <c r="R25">
        <f t="shared" si="3"/>
        <v>4</v>
      </c>
      <c r="S25">
        <f t="shared" si="3"/>
        <v>1</v>
      </c>
      <c r="T25">
        <f t="shared" si="3"/>
        <v>1</v>
      </c>
    </row>
    <row r="26" spans="1:20" x14ac:dyDescent="0.25">
      <c r="A26" s="62" t="s">
        <v>44</v>
      </c>
      <c r="B26" s="56" t="s">
        <v>45</v>
      </c>
      <c r="C26" s="57">
        <v>30</v>
      </c>
      <c r="D26" s="57">
        <v>32</v>
      </c>
      <c r="E26" s="62">
        <v>32</v>
      </c>
      <c r="F26" s="58">
        <f t="shared" si="1"/>
        <v>1.0666666666666667</v>
      </c>
      <c r="G26" s="58">
        <f t="shared" si="2"/>
        <v>1.0666666666666667</v>
      </c>
      <c r="H26" s="62">
        <v>18</v>
      </c>
      <c r="I26" s="63">
        <v>1</v>
      </c>
      <c r="J26" s="63">
        <v>1</v>
      </c>
      <c r="K26" s="63">
        <v>1</v>
      </c>
      <c r="L26" s="63">
        <v>1</v>
      </c>
      <c r="M26" s="60" t="s">
        <v>913</v>
      </c>
      <c r="N26" s="60" t="s">
        <v>606</v>
      </c>
      <c r="O26" s="60" t="s">
        <v>518</v>
      </c>
      <c r="P26" s="64">
        <v>1.2E-2</v>
      </c>
      <c r="Q26">
        <f t="shared" si="3"/>
        <v>4</v>
      </c>
      <c r="R26">
        <f t="shared" si="3"/>
        <v>4</v>
      </c>
      <c r="S26">
        <f t="shared" si="3"/>
        <v>4</v>
      </c>
      <c r="T26">
        <f t="shared" si="3"/>
        <v>4</v>
      </c>
    </row>
    <row r="27" spans="1:20" x14ac:dyDescent="0.25">
      <c r="A27" s="62" t="s">
        <v>48</v>
      </c>
      <c r="B27" s="56" t="s">
        <v>49</v>
      </c>
      <c r="C27" s="57">
        <v>23</v>
      </c>
      <c r="D27" s="57">
        <v>25</v>
      </c>
      <c r="E27" s="62">
        <v>25</v>
      </c>
      <c r="F27" s="58">
        <f t="shared" si="1"/>
        <v>1.0869565217391304</v>
      </c>
      <c r="G27" s="58">
        <f t="shared" si="2"/>
        <v>1.0869565217391304</v>
      </c>
      <c r="H27" s="62">
        <v>23</v>
      </c>
      <c r="I27" s="63">
        <v>0.96</v>
      </c>
      <c r="J27" s="63">
        <v>1</v>
      </c>
      <c r="K27" s="63">
        <v>0.96</v>
      </c>
      <c r="L27" s="63">
        <v>1</v>
      </c>
      <c r="M27" s="60" t="s">
        <v>914</v>
      </c>
      <c r="N27" s="60" t="s">
        <v>668</v>
      </c>
      <c r="O27" s="60" t="s">
        <v>593</v>
      </c>
      <c r="P27" s="64">
        <v>8.9999999999999993E-3</v>
      </c>
      <c r="Q27">
        <f t="shared" si="3"/>
        <v>3</v>
      </c>
      <c r="R27">
        <f t="shared" si="3"/>
        <v>4</v>
      </c>
      <c r="S27">
        <f t="shared" si="3"/>
        <v>3</v>
      </c>
      <c r="T27">
        <f t="shared" si="3"/>
        <v>4</v>
      </c>
    </row>
    <row r="28" spans="1:20" x14ac:dyDescent="0.25">
      <c r="A28" s="62" t="s">
        <v>54</v>
      </c>
      <c r="B28" s="56" t="s">
        <v>55</v>
      </c>
      <c r="C28" s="57">
        <v>121</v>
      </c>
      <c r="D28" s="57">
        <v>120</v>
      </c>
      <c r="E28" s="62">
        <v>118</v>
      </c>
      <c r="F28" s="58">
        <f t="shared" si="1"/>
        <v>0.97520661157024791</v>
      </c>
      <c r="G28" s="58">
        <f t="shared" si="2"/>
        <v>0.99173553719008267</v>
      </c>
      <c r="H28" s="62">
        <v>96</v>
      </c>
      <c r="I28" s="63">
        <v>0.84</v>
      </c>
      <c r="J28" s="63">
        <v>1</v>
      </c>
      <c r="K28" s="63">
        <v>0.83</v>
      </c>
      <c r="L28" s="63">
        <v>0.78</v>
      </c>
      <c r="M28" s="60" t="s">
        <v>915</v>
      </c>
      <c r="N28" s="60" t="s">
        <v>602</v>
      </c>
      <c r="O28" s="60" t="s">
        <v>515</v>
      </c>
      <c r="P28" s="64">
        <v>6.0000000000000001E-3</v>
      </c>
      <c r="Q28">
        <f t="shared" si="3"/>
        <v>2</v>
      </c>
      <c r="R28">
        <f t="shared" si="3"/>
        <v>4</v>
      </c>
      <c r="S28">
        <f t="shared" si="3"/>
        <v>2</v>
      </c>
      <c r="T28">
        <f t="shared" si="3"/>
        <v>2</v>
      </c>
    </row>
    <row r="29" spans="1:20" x14ac:dyDescent="0.25">
      <c r="A29" s="62" t="s">
        <v>56</v>
      </c>
      <c r="B29" s="56" t="s">
        <v>57</v>
      </c>
      <c r="C29" s="57">
        <v>29</v>
      </c>
      <c r="D29" s="57">
        <v>27</v>
      </c>
      <c r="E29" s="62">
        <v>27</v>
      </c>
      <c r="F29" s="58">
        <f t="shared" si="1"/>
        <v>0.93103448275862066</v>
      </c>
      <c r="G29" s="58">
        <f t="shared" si="2"/>
        <v>0.93103448275862066</v>
      </c>
      <c r="H29" s="62">
        <v>18</v>
      </c>
      <c r="I29" s="63">
        <v>1</v>
      </c>
      <c r="J29" s="63">
        <v>0.96</v>
      </c>
      <c r="K29" s="63">
        <v>1</v>
      </c>
      <c r="L29" s="63">
        <v>0.93</v>
      </c>
      <c r="M29" s="60" t="s">
        <v>916</v>
      </c>
      <c r="N29" s="60" t="s">
        <v>609</v>
      </c>
      <c r="O29" s="60" t="s">
        <v>680</v>
      </c>
      <c r="P29" s="64">
        <v>0</v>
      </c>
      <c r="Q29">
        <f t="shared" si="3"/>
        <v>4</v>
      </c>
      <c r="R29">
        <f t="shared" si="3"/>
        <v>1</v>
      </c>
      <c r="S29">
        <f t="shared" si="3"/>
        <v>4</v>
      </c>
      <c r="T29">
        <f t="shared" si="3"/>
        <v>3</v>
      </c>
    </row>
    <row r="30" spans="1:20" x14ac:dyDescent="0.25">
      <c r="A30" s="62" t="s">
        <v>58</v>
      </c>
      <c r="B30" s="56" t="s">
        <v>59</v>
      </c>
      <c r="C30" s="57">
        <v>86</v>
      </c>
      <c r="D30" s="57">
        <v>70</v>
      </c>
      <c r="E30" s="62">
        <v>67</v>
      </c>
      <c r="F30" s="58">
        <f t="shared" si="1"/>
        <v>0.77906976744186052</v>
      </c>
      <c r="G30" s="58">
        <f t="shared" si="2"/>
        <v>0.81395348837209303</v>
      </c>
      <c r="H30" s="62">
        <v>49</v>
      </c>
      <c r="I30" s="63">
        <v>0.97</v>
      </c>
      <c r="J30" s="63">
        <v>0.99</v>
      </c>
      <c r="K30" s="63">
        <v>0.97</v>
      </c>
      <c r="L30" s="63">
        <v>0.97</v>
      </c>
      <c r="M30" s="60" t="s">
        <v>917</v>
      </c>
      <c r="N30" s="60" t="s">
        <v>918</v>
      </c>
      <c r="O30" s="60" t="s">
        <v>540</v>
      </c>
      <c r="P30" s="64">
        <v>8.9999999999999993E-3</v>
      </c>
      <c r="Q30">
        <f t="shared" si="3"/>
        <v>3</v>
      </c>
      <c r="R30">
        <f t="shared" si="3"/>
        <v>2</v>
      </c>
      <c r="S30">
        <f t="shared" si="3"/>
        <v>3</v>
      </c>
      <c r="T30">
        <f t="shared" si="3"/>
        <v>4</v>
      </c>
    </row>
    <row r="31" spans="1:20" x14ac:dyDescent="0.25">
      <c r="A31" s="62" t="s">
        <v>60</v>
      </c>
      <c r="B31" s="56" t="s">
        <v>61</v>
      </c>
      <c r="C31" s="57">
        <v>55</v>
      </c>
      <c r="D31" s="57">
        <v>61</v>
      </c>
      <c r="E31" s="62">
        <v>61</v>
      </c>
      <c r="F31" s="58">
        <f t="shared" si="1"/>
        <v>1.1090909090909091</v>
      </c>
      <c r="G31" s="58">
        <f t="shared" si="2"/>
        <v>1.1090909090909091</v>
      </c>
      <c r="H31" s="62">
        <v>34</v>
      </c>
      <c r="I31" s="63">
        <v>0.79</v>
      </c>
      <c r="J31" s="63">
        <v>1</v>
      </c>
      <c r="K31" s="63">
        <v>0.78</v>
      </c>
      <c r="L31" s="63">
        <v>0.79</v>
      </c>
      <c r="M31" s="60" t="s">
        <v>919</v>
      </c>
      <c r="N31" s="60" t="s">
        <v>920</v>
      </c>
      <c r="O31" s="60" t="s">
        <v>368</v>
      </c>
      <c r="P31" s="64">
        <v>1.6E-2</v>
      </c>
      <c r="Q31">
        <f t="shared" si="3"/>
        <v>1</v>
      </c>
      <c r="R31">
        <f t="shared" si="3"/>
        <v>4</v>
      </c>
      <c r="S31">
        <f t="shared" si="3"/>
        <v>1</v>
      </c>
      <c r="T31">
        <f t="shared" si="3"/>
        <v>2</v>
      </c>
    </row>
    <row r="32" spans="1:20" x14ac:dyDescent="0.25">
      <c r="A32" s="62" t="s">
        <v>66</v>
      </c>
      <c r="B32" s="56" t="s">
        <v>67</v>
      </c>
      <c r="C32" s="57">
        <v>119</v>
      </c>
      <c r="D32" s="57">
        <v>150</v>
      </c>
      <c r="E32" s="62">
        <v>127</v>
      </c>
      <c r="F32" s="58">
        <f t="shared" si="1"/>
        <v>1.0672268907563025</v>
      </c>
      <c r="G32" s="58">
        <f t="shared" si="2"/>
        <v>1.2605042016806722</v>
      </c>
      <c r="H32" s="62">
        <v>105</v>
      </c>
      <c r="I32" s="63">
        <v>0.56999999999999995</v>
      </c>
      <c r="J32" s="63">
        <v>0.92</v>
      </c>
      <c r="K32" s="63">
        <v>0.55000000000000004</v>
      </c>
      <c r="L32" s="63">
        <v>0.51</v>
      </c>
      <c r="M32" s="60" t="s">
        <v>921</v>
      </c>
      <c r="N32" s="60" t="s">
        <v>922</v>
      </c>
      <c r="O32" s="60" t="s">
        <v>278</v>
      </c>
      <c r="P32" s="64">
        <v>6.0000000000000001E-3</v>
      </c>
      <c r="Q32">
        <f t="shared" si="3"/>
        <v>1</v>
      </c>
      <c r="R32">
        <f t="shared" si="3"/>
        <v>1</v>
      </c>
      <c r="S32">
        <f t="shared" si="3"/>
        <v>1</v>
      </c>
      <c r="T32">
        <f t="shared" si="3"/>
        <v>1</v>
      </c>
    </row>
    <row r="33" spans="1:20" x14ac:dyDescent="0.25">
      <c r="A33" s="62" t="s">
        <v>68</v>
      </c>
      <c r="B33" s="56" t="s">
        <v>923</v>
      </c>
      <c r="C33" s="57">
        <v>103</v>
      </c>
      <c r="D33" s="57">
        <v>87</v>
      </c>
      <c r="E33" s="62">
        <v>85</v>
      </c>
      <c r="F33" s="58">
        <f t="shared" si="1"/>
        <v>0.82524271844660191</v>
      </c>
      <c r="G33" s="58">
        <f t="shared" si="2"/>
        <v>0.84466019417475724</v>
      </c>
      <c r="H33" s="62">
        <v>85</v>
      </c>
      <c r="I33" s="63">
        <v>0.64</v>
      </c>
      <c r="J33" s="63">
        <v>0.98</v>
      </c>
      <c r="K33" s="63">
        <v>0.63</v>
      </c>
      <c r="L33" s="63">
        <v>0.64</v>
      </c>
      <c r="M33" s="60" t="s">
        <v>924</v>
      </c>
      <c r="N33" s="60" t="e">
        <v>#VALUE!</v>
      </c>
      <c r="O33" s="60" t="s">
        <v>266</v>
      </c>
      <c r="P33" s="64">
        <v>0</v>
      </c>
      <c r="Q33">
        <f t="shared" si="3"/>
        <v>1</v>
      </c>
      <c r="R33">
        <f t="shared" si="3"/>
        <v>2</v>
      </c>
      <c r="S33">
        <f t="shared" si="3"/>
        <v>1</v>
      </c>
      <c r="T33">
        <f t="shared" si="3"/>
        <v>1</v>
      </c>
    </row>
    <row r="34" spans="1:20" x14ac:dyDescent="0.25">
      <c r="A34" s="62" t="s">
        <v>70</v>
      </c>
      <c r="B34" s="56" t="s">
        <v>71</v>
      </c>
      <c r="C34" s="57">
        <v>115</v>
      </c>
      <c r="D34" s="57">
        <v>119</v>
      </c>
      <c r="E34" s="62">
        <v>117</v>
      </c>
      <c r="F34" s="58">
        <f t="shared" si="1"/>
        <v>1.017391304347826</v>
      </c>
      <c r="G34" s="58">
        <f t="shared" si="2"/>
        <v>1.0347826086956522</v>
      </c>
      <c r="H34" s="62">
        <v>66</v>
      </c>
      <c r="I34" s="63">
        <v>0.92</v>
      </c>
      <c r="J34" s="63">
        <v>0.99</v>
      </c>
      <c r="K34" s="63">
        <v>0.96</v>
      </c>
      <c r="L34" s="63">
        <v>0.84</v>
      </c>
      <c r="M34" s="60" t="s">
        <v>925</v>
      </c>
      <c r="N34" s="60" t="s">
        <v>277</v>
      </c>
      <c r="O34" s="60" t="s">
        <v>515</v>
      </c>
      <c r="P34" s="64">
        <v>1.9E-2</v>
      </c>
      <c r="Q34">
        <f t="shared" si="3"/>
        <v>2</v>
      </c>
      <c r="R34">
        <f t="shared" si="3"/>
        <v>2</v>
      </c>
      <c r="S34">
        <f t="shared" si="3"/>
        <v>3</v>
      </c>
      <c r="T34">
        <f t="shared" si="3"/>
        <v>2</v>
      </c>
    </row>
    <row r="35" spans="1:20" x14ac:dyDescent="0.25">
      <c r="A35" s="62" t="s">
        <v>72</v>
      </c>
      <c r="B35" s="56" t="s">
        <v>73</v>
      </c>
      <c r="C35" s="57">
        <v>98</v>
      </c>
      <c r="D35" s="57">
        <v>107</v>
      </c>
      <c r="E35" s="62">
        <v>103</v>
      </c>
      <c r="F35" s="58">
        <f t="shared" si="1"/>
        <v>1.0510204081632653</v>
      </c>
      <c r="G35" s="58">
        <f t="shared" si="2"/>
        <v>1.0918367346938775</v>
      </c>
      <c r="H35" s="62">
        <v>86</v>
      </c>
      <c r="I35" s="63">
        <v>0.83</v>
      </c>
      <c r="J35" s="63">
        <v>0.95</v>
      </c>
      <c r="K35" s="63">
        <v>0.84</v>
      </c>
      <c r="L35" s="63">
        <v>0.77</v>
      </c>
      <c r="M35" s="60" t="s">
        <v>926</v>
      </c>
      <c r="N35" s="60" t="s">
        <v>602</v>
      </c>
      <c r="O35" s="60" t="s">
        <v>591</v>
      </c>
      <c r="P35" s="64">
        <v>1.2E-2</v>
      </c>
      <c r="Q35">
        <f t="shared" si="3"/>
        <v>2</v>
      </c>
      <c r="R35">
        <f t="shared" si="3"/>
        <v>1</v>
      </c>
      <c r="S35">
        <f t="shared" si="3"/>
        <v>2</v>
      </c>
      <c r="T35">
        <f t="shared" si="3"/>
        <v>2</v>
      </c>
    </row>
    <row r="36" spans="1:20" x14ac:dyDescent="0.25">
      <c r="A36" s="62" t="s">
        <v>74</v>
      </c>
      <c r="B36" s="56" t="s">
        <v>75</v>
      </c>
      <c r="C36" s="57">
        <v>35</v>
      </c>
      <c r="D36" s="57">
        <v>10</v>
      </c>
      <c r="E36" s="62">
        <v>8</v>
      </c>
      <c r="F36" s="58">
        <f t="shared" si="1"/>
        <v>0.22857142857142856</v>
      </c>
      <c r="G36" s="58">
        <f t="shared" si="2"/>
        <v>0.2857142857142857</v>
      </c>
      <c r="H36" s="62">
        <v>7</v>
      </c>
      <c r="I36" s="63">
        <v>0.5</v>
      </c>
      <c r="J36" s="63">
        <v>1</v>
      </c>
      <c r="K36" s="63">
        <v>0.6</v>
      </c>
      <c r="L36" s="63">
        <v>0.38</v>
      </c>
      <c r="M36" s="60" t="s">
        <v>927</v>
      </c>
      <c r="N36" s="60" t="e">
        <v>#VALUE!</v>
      </c>
      <c r="O36" s="60" t="s">
        <v>928</v>
      </c>
      <c r="P36" s="64">
        <v>0</v>
      </c>
      <c r="Q36">
        <f t="shared" si="3"/>
        <v>1</v>
      </c>
      <c r="R36">
        <f t="shared" si="3"/>
        <v>4</v>
      </c>
      <c r="S36">
        <f t="shared" si="3"/>
        <v>1</v>
      </c>
      <c r="T36">
        <f t="shared" si="3"/>
        <v>1</v>
      </c>
    </row>
    <row r="37" spans="1:20" x14ac:dyDescent="0.25">
      <c r="A37" s="62" t="s">
        <v>76</v>
      </c>
      <c r="B37" s="56" t="s">
        <v>856</v>
      </c>
      <c r="C37" s="57">
        <v>30</v>
      </c>
      <c r="D37" s="57">
        <v>27</v>
      </c>
      <c r="E37" s="62">
        <v>26</v>
      </c>
      <c r="F37" s="58">
        <f t="shared" si="1"/>
        <v>0.8666666666666667</v>
      </c>
      <c r="G37" s="58">
        <f t="shared" si="2"/>
        <v>0.9</v>
      </c>
      <c r="H37" s="62">
        <v>11</v>
      </c>
      <c r="I37" s="63">
        <v>0.96</v>
      </c>
      <c r="J37" s="63">
        <v>1</v>
      </c>
      <c r="K37" s="63">
        <v>0.95</v>
      </c>
      <c r="L37" s="63">
        <v>1</v>
      </c>
      <c r="M37" s="60" t="s">
        <v>929</v>
      </c>
      <c r="N37" s="60" t="s">
        <v>595</v>
      </c>
      <c r="O37" s="60" t="s">
        <v>591</v>
      </c>
      <c r="P37" s="64">
        <v>3.3000000000000002E-2</v>
      </c>
      <c r="Q37">
        <f t="shared" si="3"/>
        <v>3</v>
      </c>
      <c r="R37">
        <f t="shared" si="3"/>
        <v>4</v>
      </c>
      <c r="S37">
        <f t="shared" si="3"/>
        <v>3</v>
      </c>
      <c r="T37">
        <f t="shared" si="3"/>
        <v>4</v>
      </c>
    </row>
    <row r="38" spans="1:20" x14ac:dyDescent="0.25">
      <c r="A38" s="62" t="s">
        <v>77</v>
      </c>
      <c r="B38" s="56" t="s">
        <v>78</v>
      </c>
      <c r="C38" s="57">
        <v>67</v>
      </c>
      <c r="D38" s="57">
        <v>62</v>
      </c>
      <c r="E38" s="62">
        <v>58</v>
      </c>
      <c r="F38" s="58">
        <f t="shared" si="1"/>
        <v>0.86567164179104472</v>
      </c>
      <c r="G38" s="58">
        <f t="shared" si="2"/>
        <v>0.92537313432835822</v>
      </c>
      <c r="H38" s="62">
        <v>44</v>
      </c>
      <c r="I38" s="63">
        <v>0.71</v>
      </c>
      <c r="J38" s="63">
        <v>0.98</v>
      </c>
      <c r="K38" s="63">
        <v>0.71</v>
      </c>
      <c r="L38" s="63">
        <v>0.64</v>
      </c>
      <c r="M38" s="60" t="s">
        <v>930</v>
      </c>
      <c r="N38" s="60" t="s">
        <v>595</v>
      </c>
      <c r="O38" s="60" t="s">
        <v>515</v>
      </c>
      <c r="P38" s="64">
        <v>1.2999999999999999E-2</v>
      </c>
      <c r="Q38">
        <f t="shared" si="3"/>
        <v>1</v>
      </c>
      <c r="R38">
        <f t="shared" si="3"/>
        <v>2</v>
      </c>
      <c r="S38">
        <f t="shared" si="3"/>
        <v>1</v>
      </c>
      <c r="T38">
        <f t="shared" si="3"/>
        <v>1</v>
      </c>
    </row>
    <row r="39" spans="1:20" x14ac:dyDescent="0.25">
      <c r="A39" s="62" t="s">
        <v>81</v>
      </c>
      <c r="B39" s="56" t="s">
        <v>82</v>
      </c>
      <c r="C39" s="57">
        <v>40</v>
      </c>
      <c r="D39" s="57">
        <v>37</v>
      </c>
      <c r="E39" s="62">
        <v>36</v>
      </c>
      <c r="F39" s="58">
        <f t="shared" si="1"/>
        <v>0.9</v>
      </c>
      <c r="G39" s="58">
        <f t="shared" si="2"/>
        <v>0.92500000000000004</v>
      </c>
      <c r="H39" s="62">
        <v>32</v>
      </c>
      <c r="I39" s="63">
        <v>0.22</v>
      </c>
      <c r="J39" s="63">
        <v>1</v>
      </c>
      <c r="K39" s="63">
        <v>0.21</v>
      </c>
      <c r="L39" s="63">
        <v>0.19</v>
      </c>
      <c r="M39" s="60" t="s">
        <v>931</v>
      </c>
      <c r="N39" s="60" t="s">
        <v>932</v>
      </c>
      <c r="O39" s="60" t="s">
        <v>540</v>
      </c>
      <c r="P39" s="64">
        <v>0</v>
      </c>
      <c r="Q39">
        <f t="shared" si="3"/>
        <v>1</v>
      </c>
      <c r="R39">
        <f t="shared" si="3"/>
        <v>4</v>
      </c>
      <c r="S39">
        <f t="shared" si="3"/>
        <v>1</v>
      </c>
      <c r="T39">
        <f t="shared" si="3"/>
        <v>1</v>
      </c>
    </row>
    <row r="40" spans="1:20" x14ac:dyDescent="0.25">
      <c r="A40" s="62" t="s">
        <v>83</v>
      </c>
      <c r="B40" s="56" t="s">
        <v>84</v>
      </c>
      <c r="C40" s="57">
        <v>121</v>
      </c>
      <c r="D40" s="57">
        <v>110</v>
      </c>
      <c r="E40" s="62">
        <v>108</v>
      </c>
      <c r="F40" s="58">
        <f t="shared" si="1"/>
        <v>0.8925619834710744</v>
      </c>
      <c r="G40" s="58">
        <f t="shared" si="2"/>
        <v>0.90909090909090906</v>
      </c>
      <c r="H40" s="62">
        <v>66</v>
      </c>
      <c r="I40" s="63">
        <v>0.8</v>
      </c>
      <c r="J40" s="63">
        <v>0.98</v>
      </c>
      <c r="K40" s="63">
        <v>0.82</v>
      </c>
      <c r="L40" s="63">
        <v>0.59</v>
      </c>
      <c r="M40" s="60" t="s">
        <v>933</v>
      </c>
      <c r="N40" s="60" t="s">
        <v>531</v>
      </c>
      <c r="O40" s="60" t="s">
        <v>279</v>
      </c>
      <c r="P40" s="64">
        <v>6.0000000000000001E-3</v>
      </c>
      <c r="Q40">
        <f t="shared" si="3"/>
        <v>1</v>
      </c>
      <c r="R40">
        <f t="shared" si="3"/>
        <v>2</v>
      </c>
      <c r="S40">
        <f t="shared" si="3"/>
        <v>2</v>
      </c>
      <c r="T40">
        <f t="shared" si="3"/>
        <v>1</v>
      </c>
    </row>
    <row r="41" spans="1:20" x14ac:dyDescent="0.25">
      <c r="A41" s="62" t="s">
        <v>934</v>
      </c>
      <c r="B41" s="56" t="s">
        <v>935</v>
      </c>
      <c r="C41" s="57">
        <v>91</v>
      </c>
      <c r="D41" s="57">
        <v>32</v>
      </c>
      <c r="E41" s="62">
        <v>28</v>
      </c>
      <c r="F41" s="58">
        <f t="shared" si="1"/>
        <v>0.30769230769230771</v>
      </c>
      <c r="G41" s="58">
        <f t="shared" si="2"/>
        <v>0.35164835164835168</v>
      </c>
      <c r="H41" s="62">
        <v>21</v>
      </c>
      <c r="I41" s="63">
        <v>0.93</v>
      </c>
      <c r="J41" s="63">
        <v>0.96</v>
      </c>
      <c r="K41" s="63">
        <v>0.93</v>
      </c>
      <c r="L41" s="63">
        <v>0.89</v>
      </c>
      <c r="M41" s="60" t="s">
        <v>936</v>
      </c>
      <c r="N41" s="60" t="s">
        <v>280</v>
      </c>
      <c r="O41" s="60" t="s">
        <v>515</v>
      </c>
      <c r="P41" s="64">
        <v>0</v>
      </c>
      <c r="Q41">
        <f t="shared" si="3"/>
        <v>3</v>
      </c>
      <c r="R41">
        <f t="shared" si="3"/>
        <v>1</v>
      </c>
      <c r="S41">
        <f t="shared" si="3"/>
        <v>2</v>
      </c>
      <c r="T41">
        <f t="shared" si="3"/>
        <v>3</v>
      </c>
    </row>
    <row r="42" spans="1:20" x14ac:dyDescent="0.25">
      <c r="A42" s="62" t="s">
        <v>87</v>
      </c>
      <c r="B42" s="56" t="s">
        <v>88</v>
      </c>
      <c r="C42" s="57">
        <v>65</v>
      </c>
      <c r="D42" s="57">
        <v>62</v>
      </c>
      <c r="E42" s="62">
        <v>61</v>
      </c>
      <c r="F42" s="58">
        <f t="shared" si="1"/>
        <v>0.93846153846153846</v>
      </c>
      <c r="G42" s="58">
        <f t="shared" si="2"/>
        <v>0.9538461538461539</v>
      </c>
      <c r="H42" s="62">
        <v>35</v>
      </c>
      <c r="I42" s="63">
        <v>0.89</v>
      </c>
      <c r="J42" s="63">
        <v>0.97</v>
      </c>
      <c r="K42" s="63">
        <v>0.89</v>
      </c>
      <c r="L42" s="63">
        <v>0.87</v>
      </c>
      <c r="M42" s="60" t="s">
        <v>937</v>
      </c>
      <c r="N42" s="60" t="s">
        <v>595</v>
      </c>
      <c r="O42" s="60" t="s">
        <v>515</v>
      </c>
      <c r="P42" s="64">
        <v>4.0000000000000001E-3</v>
      </c>
      <c r="Q42">
        <f t="shared" si="3"/>
        <v>2</v>
      </c>
      <c r="R42">
        <f t="shared" si="3"/>
        <v>2</v>
      </c>
      <c r="S42">
        <f t="shared" si="3"/>
        <v>2</v>
      </c>
      <c r="T42">
        <f t="shared" si="3"/>
        <v>2</v>
      </c>
    </row>
    <row r="43" spans="1:20" x14ac:dyDescent="0.25">
      <c r="A43" s="62" t="s">
        <v>89</v>
      </c>
      <c r="B43" s="56" t="s">
        <v>90</v>
      </c>
      <c r="C43" s="57">
        <v>31</v>
      </c>
      <c r="D43" s="57">
        <v>32</v>
      </c>
      <c r="E43" s="62">
        <v>31</v>
      </c>
      <c r="F43" s="58">
        <f t="shared" si="1"/>
        <v>1</v>
      </c>
      <c r="G43" s="58">
        <f t="shared" si="2"/>
        <v>1.032258064516129</v>
      </c>
      <c r="H43" s="62">
        <v>22</v>
      </c>
      <c r="I43" s="63">
        <v>0.87</v>
      </c>
      <c r="J43" s="63">
        <v>1</v>
      </c>
      <c r="K43" s="63">
        <v>0.9</v>
      </c>
      <c r="L43" s="63">
        <v>0.74</v>
      </c>
      <c r="M43" s="60" t="s">
        <v>938</v>
      </c>
      <c r="N43" s="60" t="s">
        <v>939</v>
      </c>
      <c r="O43" s="60" t="s">
        <v>940</v>
      </c>
      <c r="P43" s="64">
        <v>0.03</v>
      </c>
      <c r="Q43">
        <f t="shared" si="3"/>
        <v>2</v>
      </c>
      <c r="R43">
        <f t="shared" si="3"/>
        <v>4</v>
      </c>
      <c r="S43">
        <f t="shared" si="3"/>
        <v>2</v>
      </c>
      <c r="T43">
        <f t="shared" si="3"/>
        <v>2</v>
      </c>
    </row>
    <row r="44" spans="1:20" x14ac:dyDescent="0.25">
      <c r="A44" s="62" t="s">
        <v>91</v>
      </c>
      <c r="B44" s="56" t="s">
        <v>92</v>
      </c>
      <c r="C44" s="57">
        <v>38</v>
      </c>
      <c r="D44" s="57">
        <v>40</v>
      </c>
      <c r="E44" s="62">
        <v>40</v>
      </c>
      <c r="F44" s="58">
        <f t="shared" si="1"/>
        <v>1.0526315789473684</v>
      </c>
      <c r="G44" s="58">
        <f t="shared" si="2"/>
        <v>1.0526315789473684</v>
      </c>
      <c r="H44" s="62">
        <v>29</v>
      </c>
      <c r="I44" s="63">
        <v>0.93</v>
      </c>
      <c r="J44" s="63">
        <v>0.98</v>
      </c>
      <c r="K44" s="63">
        <v>0.92</v>
      </c>
      <c r="L44" s="63">
        <v>0.83</v>
      </c>
      <c r="M44" s="60" t="s">
        <v>941</v>
      </c>
      <c r="N44" s="60" t="s">
        <v>594</v>
      </c>
      <c r="O44" s="60" t="s">
        <v>591</v>
      </c>
      <c r="P44" s="64">
        <v>7.0000000000000001E-3</v>
      </c>
      <c r="Q44">
        <f t="shared" si="3"/>
        <v>3</v>
      </c>
      <c r="R44">
        <f t="shared" si="3"/>
        <v>2</v>
      </c>
      <c r="S44">
        <f t="shared" si="3"/>
        <v>2</v>
      </c>
      <c r="T44">
        <f t="shared" si="3"/>
        <v>2</v>
      </c>
    </row>
    <row r="45" spans="1:20" x14ac:dyDescent="0.25">
      <c r="A45" s="62" t="s">
        <v>93</v>
      </c>
      <c r="B45" s="56" t="s">
        <v>94</v>
      </c>
      <c r="C45" s="57">
        <v>37</v>
      </c>
      <c r="D45" s="57">
        <v>46</v>
      </c>
      <c r="E45" s="62">
        <v>45</v>
      </c>
      <c r="F45" s="58">
        <f t="shared" si="1"/>
        <v>1.2162162162162162</v>
      </c>
      <c r="G45" s="58">
        <f t="shared" si="2"/>
        <v>1.2432432432432432</v>
      </c>
      <c r="H45" s="62">
        <v>27</v>
      </c>
      <c r="I45" s="63">
        <v>0.67</v>
      </c>
      <c r="J45" s="63">
        <v>1</v>
      </c>
      <c r="K45" s="63">
        <v>0.71</v>
      </c>
      <c r="L45" s="63">
        <v>0.47</v>
      </c>
      <c r="M45" s="60" t="s">
        <v>942</v>
      </c>
      <c r="N45" s="60" t="s">
        <v>943</v>
      </c>
      <c r="O45" s="60" t="s">
        <v>391</v>
      </c>
      <c r="P45" s="64">
        <v>7.0000000000000001E-3</v>
      </c>
      <c r="Q45">
        <f t="shared" si="3"/>
        <v>1</v>
      </c>
      <c r="R45">
        <f t="shared" si="3"/>
        <v>4</v>
      </c>
      <c r="S45">
        <f t="shared" si="3"/>
        <v>1</v>
      </c>
      <c r="T45">
        <f t="shared" si="3"/>
        <v>1</v>
      </c>
    </row>
    <row r="46" spans="1:20" x14ac:dyDescent="0.25">
      <c r="A46" s="62" t="s">
        <v>95</v>
      </c>
      <c r="B46" s="56" t="s">
        <v>96</v>
      </c>
      <c r="C46" s="57">
        <v>32</v>
      </c>
      <c r="D46" s="57">
        <v>33</v>
      </c>
      <c r="E46" s="62">
        <v>32</v>
      </c>
      <c r="F46" s="58">
        <f t="shared" si="1"/>
        <v>1</v>
      </c>
      <c r="G46" s="58">
        <f t="shared" si="2"/>
        <v>1.03125</v>
      </c>
      <c r="H46" s="62">
        <v>30</v>
      </c>
      <c r="I46" s="63">
        <v>1</v>
      </c>
      <c r="J46" s="63">
        <v>1</v>
      </c>
      <c r="K46" s="63">
        <v>1</v>
      </c>
      <c r="L46" s="63">
        <v>1</v>
      </c>
      <c r="M46" s="60" t="s">
        <v>944</v>
      </c>
      <c r="N46" s="60" t="s">
        <v>945</v>
      </c>
      <c r="O46" s="60" t="s">
        <v>527</v>
      </c>
      <c r="P46" s="64">
        <v>0</v>
      </c>
      <c r="Q46">
        <f t="shared" si="3"/>
        <v>4</v>
      </c>
      <c r="R46">
        <f t="shared" si="3"/>
        <v>4</v>
      </c>
      <c r="S46">
        <f t="shared" si="3"/>
        <v>4</v>
      </c>
      <c r="T46">
        <f t="shared" si="3"/>
        <v>4</v>
      </c>
    </row>
    <row r="47" spans="1:20" x14ac:dyDescent="0.25">
      <c r="A47" s="62" t="s">
        <v>97</v>
      </c>
      <c r="B47" s="56" t="s">
        <v>98</v>
      </c>
      <c r="C47" s="57">
        <v>130</v>
      </c>
      <c r="D47" s="57">
        <v>105</v>
      </c>
      <c r="E47" s="62">
        <v>100</v>
      </c>
      <c r="F47" s="58">
        <f t="shared" si="1"/>
        <v>0.76923076923076927</v>
      </c>
      <c r="G47" s="58">
        <f t="shared" si="2"/>
        <v>0.80769230769230771</v>
      </c>
      <c r="H47" s="62">
        <v>60</v>
      </c>
      <c r="I47" s="63">
        <v>0.89</v>
      </c>
      <c r="J47" s="63">
        <v>0.97</v>
      </c>
      <c r="K47" s="63">
        <v>0.9</v>
      </c>
      <c r="L47" s="63">
        <v>0.37</v>
      </c>
      <c r="M47" s="60" t="s">
        <v>946</v>
      </c>
      <c r="N47" s="60" t="s">
        <v>947</v>
      </c>
      <c r="O47" s="60" t="s">
        <v>540</v>
      </c>
      <c r="P47" s="64">
        <v>1.7999999999999999E-2</v>
      </c>
      <c r="Q47">
        <f t="shared" si="3"/>
        <v>2</v>
      </c>
      <c r="R47">
        <f t="shared" si="3"/>
        <v>2</v>
      </c>
      <c r="S47">
        <f t="shared" si="3"/>
        <v>2</v>
      </c>
      <c r="T47">
        <f t="shared" si="3"/>
        <v>1</v>
      </c>
    </row>
    <row r="48" spans="1:20" x14ac:dyDescent="0.25">
      <c r="A48" s="62" t="s">
        <v>99</v>
      </c>
      <c r="B48" s="56" t="s">
        <v>100</v>
      </c>
      <c r="C48" s="57">
        <v>26</v>
      </c>
      <c r="D48" s="57">
        <v>27</v>
      </c>
      <c r="E48" s="62">
        <v>24</v>
      </c>
      <c r="F48" s="58">
        <f t="shared" si="1"/>
        <v>0.92307692307692313</v>
      </c>
      <c r="G48" s="58">
        <f t="shared" si="2"/>
        <v>1.0384615384615385</v>
      </c>
      <c r="H48" s="62">
        <v>13</v>
      </c>
      <c r="I48" s="63">
        <v>0.96</v>
      </c>
      <c r="J48" s="63">
        <v>0.92</v>
      </c>
      <c r="K48" s="63">
        <v>1</v>
      </c>
      <c r="L48" s="63">
        <v>0.67</v>
      </c>
      <c r="M48" s="60" t="s">
        <v>948</v>
      </c>
      <c r="N48" s="60" t="s">
        <v>623</v>
      </c>
      <c r="O48" s="60" t="s">
        <v>296</v>
      </c>
      <c r="P48" s="64">
        <v>0</v>
      </c>
      <c r="Q48">
        <f t="shared" si="3"/>
        <v>3</v>
      </c>
      <c r="R48">
        <f t="shared" si="3"/>
        <v>1</v>
      </c>
      <c r="S48">
        <f t="shared" si="3"/>
        <v>4</v>
      </c>
      <c r="T48">
        <f t="shared" si="3"/>
        <v>2</v>
      </c>
    </row>
    <row r="49" spans="1:20" x14ac:dyDescent="0.25">
      <c r="A49" s="62" t="s">
        <v>101</v>
      </c>
      <c r="B49" s="56" t="s">
        <v>102</v>
      </c>
      <c r="C49" s="57">
        <v>25</v>
      </c>
      <c r="D49" s="57">
        <v>26</v>
      </c>
      <c r="E49" s="62">
        <v>26</v>
      </c>
      <c r="F49" s="58">
        <f t="shared" si="1"/>
        <v>1.04</v>
      </c>
      <c r="G49" s="58">
        <f t="shared" si="2"/>
        <v>1.04</v>
      </c>
      <c r="H49" s="62">
        <v>15</v>
      </c>
      <c r="I49" s="63">
        <v>1</v>
      </c>
      <c r="J49" s="63">
        <v>1</v>
      </c>
      <c r="K49" s="63">
        <v>1</v>
      </c>
      <c r="L49" s="63">
        <v>1</v>
      </c>
      <c r="M49" s="60" t="s">
        <v>949</v>
      </c>
      <c r="N49" s="60" t="s">
        <v>595</v>
      </c>
      <c r="O49" s="60" t="s">
        <v>281</v>
      </c>
      <c r="P49" s="64">
        <v>4.5999999999999999E-2</v>
      </c>
      <c r="Q49">
        <f t="shared" si="3"/>
        <v>4</v>
      </c>
      <c r="R49">
        <f t="shared" si="3"/>
        <v>4</v>
      </c>
      <c r="S49">
        <f t="shared" si="3"/>
        <v>4</v>
      </c>
      <c r="T49">
        <f t="shared" si="3"/>
        <v>4</v>
      </c>
    </row>
    <row r="50" spans="1:20" x14ac:dyDescent="0.25">
      <c r="A50" s="62" t="s">
        <v>863</v>
      </c>
      <c r="B50" s="56" t="s">
        <v>864</v>
      </c>
      <c r="C50" s="57">
        <v>65</v>
      </c>
      <c r="D50" s="57">
        <v>40</v>
      </c>
      <c r="E50" s="62">
        <v>37</v>
      </c>
      <c r="F50" s="58">
        <f t="shared" si="1"/>
        <v>0.56923076923076921</v>
      </c>
      <c r="G50" s="58">
        <f t="shared" si="2"/>
        <v>0.61538461538461542</v>
      </c>
      <c r="H50" s="62">
        <v>31</v>
      </c>
      <c r="I50" s="63">
        <v>0.97</v>
      </c>
      <c r="J50" s="63">
        <v>0.97</v>
      </c>
      <c r="K50" s="63">
        <v>0.97</v>
      </c>
      <c r="L50" s="63">
        <v>0.81</v>
      </c>
      <c r="M50" s="60" t="s">
        <v>950</v>
      </c>
      <c r="N50" s="60" t="s">
        <v>907</v>
      </c>
      <c r="O50" s="60" t="s">
        <v>540</v>
      </c>
      <c r="P50" s="64">
        <v>7.0000000000000001E-3</v>
      </c>
      <c r="Q50">
        <f t="shared" si="3"/>
        <v>3</v>
      </c>
      <c r="R50">
        <f t="shared" si="3"/>
        <v>2</v>
      </c>
      <c r="S50">
        <f t="shared" si="3"/>
        <v>3</v>
      </c>
      <c r="T50">
        <f t="shared" si="3"/>
        <v>2</v>
      </c>
    </row>
    <row r="51" spans="1:20" x14ac:dyDescent="0.25">
      <c r="A51" s="62" t="s">
        <v>105</v>
      </c>
      <c r="B51" s="56" t="s">
        <v>106</v>
      </c>
      <c r="C51" s="57">
        <v>92</v>
      </c>
      <c r="D51" s="57">
        <v>87</v>
      </c>
      <c r="E51" s="62">
        <v>85</v>
      </c>
      <c r="F51" s="58">
        <f t="shared" si="1"/>
        <v>0.92391304347826086</v>
      </c>
      <c r="G51" s="58">
        <f t="shared" si="2"/>
        <v>0.94565217391304346</v>
      </c>
      <c r="H51" s="62">
        <v>66</v>
      </c>
      <c r="I51" s="63">
        <v>0.94</v>
      </c>
      <c r="J51" s="63">
        <v>0.98</v>
      </c>
      <c r="K51" s="63">
        <v>0.94</v>
      </c>
      <c r="L51" s="63">
        <v>0.96</v>
      </c>
      <c r="M51" s="60" t="s">
        <v>951</v>
      </c>
      <c r="N51" s="60" t="s">
        <v>270</v>
      </c>
      <c r="O51" s="60" t="s">
        <v>368</v>
      </c>
      <c r="P51" s="64">
        <v>5.0000000000000001E-3</v>
      </c>
      <c r="Q51">
        <f t="shared" si="3"/>
        <v>3</v>
      </c>
      <c r="R51">
        <f t="shared" si="3"/>
        <v>2</v>
      </c>
      <c r="S51">
        <f t="shared" si="3"/>
        <v>3</v>
      </c>
      <c r="T51">
        <f t="shared" si="3"/>
        <v>4</v>
      </c>
    </row>
    <row r="52" spans="1:20" x14ac:dyDescent="0.25">
      <c r="A52" s="62" t="s">
        <v>107</v>
      </c>
      <c r="B52" s="56" t="s">
        <v>108</v>
      </c>
      <c r="C52" s="57">
        <v>78</v>
      </c>
      <c r="D52" s="57">
        <v>72</v>
      </c>
      <c r="E52" s="62">
        <v>68</v>
      </c>
      <c r="F52" s="58">
        <f t="shared" si="1"/>
        <v>0.87179487179487181</v>
      </c>
      <c r="G52" s="58">
        <f t="shared" si="2"/>
        <v>0.92307692307692313</v>
      </c>
      <c r="H52" s="62">
        <v>52</v>
      </c>
      <c r="I52" s="63">
        <v>1</v>
      </c>
      <c r="J52" s="63">
        <v>1</v>
      </c>
      <c r="K52" s="63">
        <v>1</v>
      </c>
      <c r="L52" s="63">
        <v>0.96</v>
      </c>
      <c r="M52" s="60" t="s">
        <v>952</v>
      </c>
      <c r="N52" s="60" t="s">
        <v>953</v>
      </c>
      <c r="O52" s="60" t="s">
        <v>271</v>
      </c>
      <c r="P52" s="64">
        <v>2.1999999999999999E-2</v>
      </c>
      <c r="Q52">
        <f t="shared" si="3"/>
        <v>4</v>
      </c>
      <c r="R52">
        <f t="shared" si="3"/>
        <v>4</v>
      </c>
      <c r="S52">
        <f t="shared" si="3"/>
        <v>4</v>
      </c>
      <c r="T52">
        <f t="shared" si="3"/>
        <v>4</v>
      </c>
    </row>
    <row r="53" spans="1:20" x14ac:dyDescent="0.25">
      <c r="A53" s="62" t="s">
        <v>113</v>
      </c>
      <c r="B53" s="56" t="s">
        <v>114</v>
      </c>
      <c r="C53" s="57">
        <v>125</v>
      </c>
      <c r="D53" s="57">
        <v>109</v>
      </c>
      <c r="E53" s="62">
        <v>92</v>
      </c>
      <c r="F53" s="58">
        <f t="shared" si="1"/>
        <v>0.73599999999999999</v>
      </c>
      <c r="G53" s="58">
        <f t="shared" si="2"/>
        <v>0.872</v>
      </c>
      <c r="H53" s="62">
        <v>48</v>
      </c>
      <c r="I53" s="63">
        <v>0.9</v>
      </c>
      <c r="J53" s="63">
        <v>0.92</v>
      </c>
      <c r="K53" s="63">
        <v>0.92</v>
      </c>
      <c r="L53" s="63">
        <v>0.84</v>
      </c>
      <c r="M53" s="60" t="s">
        <v>954</v>
      </c>
      <c r="N53" s="60" t="s">
        <v>609</v>
      </c>
      <c r="O53" s="60" t="s">
        <v>281</v>
      </c>
      <c r="P53" s="64">
        <v>0.01</v>
      </c>
      <c r="Q53">
        <f t="shared" si="3"/>
        <v>2</v>
      </c>
      <c r="R53">
        <f t="shared" si="3"/>
        <v>1</v>
      </c>
      <c r="S53">
        <f t="shared" si="3"/>
        <v>2</v>
      </c>
      <c r="T53">
        <f t="shared" si="3"/>
        <v>2</v>
      </c>
    </row>
    <row r="54" spans="1:20" x14ac:dyDescent="0.25">
      <c r="A54" s="62" t="s">
        <v>115</v>
      </c>
      <c r="B54" s="56" t="s">
        <v>116</v>
      </c>
      <c r="C54" s="57">
        <v>73</v>
      </c>
      <c r="D54" s="57">
        <v>71</v>
      </c>
      <c r="E54" s="62">
        <v>66</v>
      </c>
      <c r="F54" s="58">
        <f t="shared" si="1"/>
        <v>0.90410958904109584</v>
      </c>
      <c r="G54" s="58">
        <f t="shared" si="2"/>
        <v>0.9726027397260274</v>
      </c>
      <c r="H54" s="62">
        <v>27</v>
      </c>
      <c r="I54" s="63">
        <v>0.88</v>
      </c>
      <c r="J54" s="63">
        <v>0.98</v>
      </c>
      <c r="K54" s="63">
        <v>0.89</v>
      </c>
      <c r="L54" s="63">
        <v>0.85</v>
      </c>
      <c r="M54" s="60" t="s">
        <v>955</v>
      </c>
      <c r="N54" s="60" t="s">
        <v>595</v>
      </c>
      <c r="O54" s="60" t="s">
        <v>271</v>
      </c>
      <c r="P54" s="64">
        <v>1.0999999999999999E-2</v>
      </c>
      <c r="Q54">
        <f t="shared" si="3"/>
        <v>2</v>
      </c>
      <c r="R54">
        <f t="shared" si="3"/>
        <v>2</v>
      </c>
      <c r="S54">
        <f t="shared" si="3"/>
        <v>2</v>
      </c>
      <c r="T54">
        <f t="shared" si="3"/>
        <v>2</v>
      </c>
    </row>
    <row r="55" spans="1:20" x14ac:dyDescent="0.25">
      <c r="A55" s="62" t="s">
        <v>117</v>
      </c>
      <c r="B55" s="56" t="s">
        <v>854</v>
      </c>
      <c r="C55" s="57">
        <v>76</v>
      </c>
      <c r="D55" s="57">
        <v>88</v>
      </c>
      <c r="E55" s="62">
        <v>75</v>
      </c>
      <c r="F55" s="58">
        <f t="shared" si="1"/>
        <v>0.98684210526315785</v>
      </c>
      <c r="G55" s="58">
        <f t="shared" si="2"/>
        <v>1.1578947368421053</v>
      </c>
      <c r="H55" s="62">
        <v>51</v>
      </c>
      <c r="I55" s="63">
        <v>0.99</v>
      </c>
      <c r="J55" s="63">
        <v>0.97</v>
      </c>
      <c r="K55" s="63">
        <v>1</v>
      </c>
      <c r="L55" s="63">
        <v>0.88</v>
      </c>
      <c r="M55" s="60" t="s">
        <v>956</v>
      </c>
      <c r="N55" s="60" t="s">
        <v>639</v>
      </c>
      <c r="O55" s="60" t="s">
        <v>266</v>
      </c>
      <c r="P55" s="64">
        <v>1.7000000000000001E-2</v>
      </c>
      <c r="Q55">
        <f t="shared" si="3"/>
        <v>4</v>
      </c>
      <c r="R55">
        <f t="shared" si="3"/>
        <v>2</v>
      </c>
      <c r="S55">
        <f t="shared" si="3"/>
        <v>4</v>
      </c>
      <c r="T55">
        <f t="shared" si="3"/>
        <v>3</v>
      </c>
    </row>
    <row r="56" spans="1:20" x14ac:dyDescent="0.25">
      <c r="A56" s="62" t="s">
        <v>118</v>
      </c>
      <c r="B56" s="56" t="s">
        <v>119</v>
      </c>
      <c r="C56" s="57">
        <v>102</v>
      </c>
      <c r="D56" s="57">
        <v>76</v>
      </c>
      <c r="E56" s="62">
        <v>69</v>
      </c>
      <c r="F56" s="58">
        <f t="shared" si="1"/>
        <v>0.67647058823529416</v>
      </c>
      <c r="G56" s="58">
        <f t="shared" si="2"/>
        <v>0.74509803921568629</v>
      </c>
      <c r="H56" s="62">
        <v>50</v>
      </c>
      <c r="I56" s="63">
        <v>0.97</v>
      </c>
      <c r="J56" s="63">
        <v>0.97</v>
      </c>
      <c r="K56" s="63">
        <v>0.97</v>
      </c>
      <c r="L56" s="63">
        <v>0.97</v>
      </c>
      <c r="M56" s="60" t="s">
        <v>957</v>
      </c>
      <c r="N56" s="60" t="s">
        <v>270</v>
      </c>
      <c r="O56" s="60" t="s">
        <v>540</v>
      </c>
      <c r="P56" s="64">
        <v>1.4E-2</v>
      </c>
      <c r="Q56">
        <f t="shared" si="3"/>
        <v>3</v>
      </c>
      <c r="R56">
        <f t="shared" si="3"/>
        <v>2</v>
      </c>
      <c r="S56">
        <f t="shared" si="3"/>
        <v>3</v>
      </c>
      <c r="T56">
        <f t="shared" si="3"/>
        <v>4</v>
      </c>
    </row>
    <row r="57" spans="1:20" x14ac:dyDescent="0.25">
      <c r="A57" s="62" t="s">
        <v>120</v>
      </c>
      <c r="B57" s="56" t="s">
        <v>121</v>
      </c>
      <c r="C57" s="57">
        <v>55</v>
      </c>
      <c r="D57" s="57">
        <v>53</v>
      </c>
      <c r="E57" s="62">
        <v>51</v>
      </c>
      <c r="F57" s="58">
        <f t="shared" si="1"/>
        <v>0.92727272727272725</v>
      </c>
      <c r="G57" s="58">
        <f t="shared" si="2"/>
        <v>0.96363636363636362</v>
      </c>
      <c r="H57" s="62">
        <v>47</v>
      </c>
      <c r="I57" s="63">
        <v>0.9</v>
      </c>
      <c r="J57" s="63">
        <v>1</v>
      </c>
      <c r="K57" s="63">
        <v>0.91</v>
      </c>
      <c r="L57" s="63">
        <v>0.82</v>
      </c>
      <c r="M57" s="60" t="s">
        <v>958</v>
      </c>
      <c r="N57" s="60" t="s">
        <v>907</v>
      </c>
      <c r="O57" s="60" t="s">
        <v>591</v>
      </c>
      <c r="P57" s="64">
        <v>3.2000000000000001E-2</v>
      </c>
      <c r="Q57">
        <f t="shared" si="3"/>
        <v>2</v>
      </c>
      <c r="R57">
        <f t="shared" si="3"/>
        <v>4</v>
      </c>
      <c r="S57">
        <f t="shared" si="3"/>
        <v>2</v>
      </c>
      <c r="T57">
        <f t="shared" si="3"/>
        <v>2</v>
      </c>
    </row>
    <row r="58" spans="1:20" x14ac:dyDescent="0.25">
      <c r="A58" s="62" t="s">
        <v>122</v>
      </c>
      <c r="B58" s="56" t="s">
        <v>123</v>
      </c>
      <c r="C58" s="57">
        <v>76</v>
      </c>
      <c r="D58" s="57">
        <v>72</v>
      </c>
      <c r="E58" s="62">
        <v>72</v>
      </c>
      <c r="F58" s="58">
        <f t="shared" si="1"/>
        <v>0.94736842105263153</v>
      </c>
      <c r="G58" s="58">
        <f t="shared" si="2"/>
        <v>0.94736842105263153</v>
      </c>
      <c r="H58" s="62">
        <v>49</v>
      </c>
      <c r="I58" s="63">
        <v>0.97</v>
      </c>
      <c r="J58" s="63">
        <v>0.96</v>
      </c>
      <c r="K58" s="63">
        <v>0.97</v>
      </c>
      <c r="L58" s="63">
        <v>0.97</v>
      </c>
      <c r="M58" s="60" t="s">
        <v>959</v>
      </c>
      <c r="N58" s="60" t="s">
        <v>609</v>
      </c>
      <c r="O58" s="60" t="s">
        <v>515</v>
      </c>
      <c r="P58" s="64">
        <v>6.0000000000000001E-3</v>
      </c>
      <c r="Q58">
        <f t="shared" si="3"/>
        <v>3</v>
      </c>
      <c r="R58">
        <f t="shared" si="3"/>
        <v>1</v>
      </c>
      <c r="S58">
        <f t="shared" si="3"/>
        <v>3</v>
      </c>
      <c r="T58">
        <f t="shared" si="3"/>
        <v>4</v>
      </c>
    </row>
    <row r="59" spans="1:20" x14ac:dyDescent="0.25">
      <c r="A59" s="62" t="s">
        <v>124</v>
      </c>
      <c r="B59" s="56" t="s">
        <v>125</v>
      </c>
      <c r="C59" s="57">
        <v>77</v>
      </c>
      <c r="D59" s="57">
        <v>78</v>
      </c>
      <c r="E59" s="62">
        <v>75</v>
      </c>
      <c r="F59" s="58">
        <f t="shared" si="1"/>
        <v>0.97402597402597402</v>
      </c>
      <c r="G59" s="58">
        <f t="shared" si="2"/>
        <v>1.0129870129870129</v>
      </c>
      <c r="H59" s="62">
        <v>43</v>
      </c>
      <c r="I59" s="63">
        <v>0.87</v>
      </c>
      <c r="J59" s="63">
        <v>0.96</v>
      </c>
      <c r="K59" s="63">
        <v>0.87</v>
      </c>
      <c r="L59" s="63">
        <v>0.89</v>
      </c>
      <c r="M59" s="60" t="s">
        <v>960</v>
      </c>
      <c r="N59" s="60" t="s">
        <v>531</v>
      </c>
      <c r="O59" s="60" t="s">
        <v>527</v>
      </c>
      <c r="P59" s="64">
        <v>2.5000000000000001E-2</v>
      </c>
      <c r="Q59">
        <f t="shared" si="3"/>
        <v>2</v>
      </c>
      <c r="R59">
        <f t="shared" si="3"/>
        <v>1</v>
      </c>
      <c r="S59">
        <f t="shared" si="3"/>
        <v>2</v>
      </c>
      <c r="T59">
        <f t="shared" si="3"/>
        <v>3</v>
      </c>
    </row>
    <row r="60" spans="1:20" x14ac:dyDescent="0.25">
      <c r="A60" s="62" t="s">
        <v>126</v>
      </c>
      <c r="B60" s="56" t="s">
        <v>127</v>
      </c>
      <c r="C60" s="57">
        <v>81</v>
      </c>
      <c r="D60" s="57">
        <v>73</v>
      </c>
      <c r="E60" s="62">
        <v>69</v>
      </c>
      <c r="F60" s="58">
        <f t="shared" si="1"/>
        <v>0.85185185185185186</v>
      </c>
      <c r="G60" s="58">
        <f t="shared" si="2"/>
        <v>0.90123456790123457</v>
      </c>
      <c r="H60" s="62">
        <v>58</v>
      </c>
      <c r="I60" s="63">
        <v>0.93</v>
      </c>
      <c r="J60" s="63">
        <v>1</v>
      </c>
      <c r="K60" s="63">
        <v>0.93</v>
      </c>
      <c r="L60" s="63">
        <v>0.94</v>
      </c>
      <c r="M60" s="60" t="s">
        <v>961</v>
      </c>
      <c r="N60" s="60" t="s">
        <v>962</v>
      </c>
      <c r="O60" s="60" t="s">
        <v>527</v>
      </c>
      <c r="P60" s="64">
        <v>0.01</v>
      </c>
      <c r="Q60">
        <f t="shared" si="3"/>
        <v>3</v>
      </c>
      <c r="R60">
        <f t="shared" si="3"/>
        <v>4</v>
      </c>
      <c r="S60">
        <f t="shared" si="3"/>
        <v>2</v>
      </c>
      <c r="T60">
        <f t="shared" si="3"/>
        <v>3</v>
      </c>
    </row>
    <row r="61" spans="1:20" x14ac:dyDescent="0.25">
      <c r="A61" s="62" t="s">
        <v>963</v>
      </c>
      <c r="B61" s="56" t="s">
        <v>964</v>
      </c>
      <c r="C61" s="57">
        <v>52</v>
      </c>
      <c r="D61" s="57">
        <v>35</v>
      </c>
      <c r="E61" s="62">
        <v>35</v>
      </c>
      <c r="F61" s="58">
        <f t="shared" si="1"/>
        <v>0.67307692307692313</v>
      </c>
      <c r="G61" s="58">
        <f t="shared" si="2"/>
        <v>0.67307692307692313</v>
      </c>
      <c r="H61" s="62">
        <v>17</v>
      </c>
      <c r="I61" s="63">
        <v>0.97</v>
      </c>
      <c r="J61" s="63">
        <v>1</v>
      </c>
      <c r="K61" s="63">
        <v>0.97</v>
      </c>
      <c r="L61" s="63">
        <v>1</v>
      </c>
      <c r="M61" s="60" t="s">
        <v>965</v>
      </c>
      <c r="N61" s="60" t="s">
        <v>966</v>
      </c>
      <c r="O61" s="60" t="s">
        <v>278</v>
      </c>
      <c r="P61" s="64">
        <v>1.7999999999999999E-2</v>
      </c>
      <c r="Q61">
        <f t="shared" si="3"/>
        <v>3</v>
      </c>
      <c r="R61">
        <f t="shared" si="3"/>
        <v>4</v>
      </c>
      <c r="S61">
        <f t="shared" si="3"/>
        <v>3</v>
      </c>
      <c r="T61">
        <f t="shared" si="3"/>
        <v>4</v>
      </c>
    </row>
    <row r="62" spans="1:20" x14ac:dyDescent="0.25">
      <c r="A62" s="62" t="s">
        <v>128</v>
      </c>
      <c r="B62" s="56" t="s">
        <v>129</v>
      </c>
      <c r="C62" s="57">
        <v>60</v>
      </c>
      <c r="D62" s="57">
        <v>62</v>
      </c>
      <c r="E62" s="62">
        <v>58</v>
      </c>
      <c r="F62" s="58">
        <f t="shared" si="1"/>
        <v>0.96666666666666667</v>
      </c>
      <c r="G62" s="58">
        <f t="shared" si="2"/>
        <v>1.0333333333333334</v>
      </c>
      <c r="H62" s="62">
        <v>51</v>
      </c>
      <c r="I62" s="63">
        <v>0.97</v>
      </c>
      <c r="J62" s="63">
        <v>1</v>
      </c>
      <c r="K62" s="63">
        <v>0.96</v>
      </c>
      <c r="L62" s="63">
        <v>0.88</v>
      </c>
      <c r="M62" s="60" t="s">
        <v>967</v>
      </c>
      <c r="N62" s="60" t="s">
        <v>968</v>
      </c>
      <c r="O62" s="60" t="s">
        <v>278</v>
      </c>
      <c r="P62" s="64">
        <v>1.7000000000000001E-2</v>
      </c>
      <c r="Q62">
        <f t="shared" si="3"/>
        <v>3</v>
      </c>
      <c r="R62">
        <f t="shared" si="3"/>
        <v>4</v>
      </c>
      <c r="S62">
        <f t="shared" si="3"/>
        <v>3</v>
      </c>
      <c r="T62">
        <f t="shared" si="3"/>
        <v>3</v>
      </c>
    </row>
    <row r="63" spans="1:20" x14ac:dyDescent="0.25">
      <c r="A63" s="62" t="s">
        <v>130</v>
      </c>
      <c r="B63" s="56" t="s">
        <v>131</v>
      </c>
      <c r="C63" s="57">
        <v>55</v>
      </c>
      <c r="D63" s="57">
        <v>64</v>
      </c>
      <c r="E63" s="62">
        <v>61</v>
      </c>
      <c r="F63" s="58">
        <f t="shared" si="1"/>
        <v>1.1090909090909091</v>
      </c>
      <c r="G63" s="58">
        <f t="shared" si="2"/>
        <v>1.1636363636363636</v>
      </c>
      <c r="H63" s="62">
        <v>32</v>
      </c>
      <c r="I63" s="63">
        <v>0</v>
      </c>
      <c r="J63" s="63">
        <v>0</v>
      </c>
      <c r="K63" s="63">
        <v>0</v>
      </c>
      <c r="L63" s="63">
        <v>0.93</v>
      </c>
      <c r="M63" s="60" t="e">
        <v>#VALUE!</v>
      </c>
      <c r="N63" s="60" t="s">
        <v>969</v>
      </c>
      <c r="O63" s="60" t="s">
        <v>261</v>
      </c>
      <c r="P63" s="64">
        <v>4.2000000000000003E-2</v>
      </c>
      <c r="Q63">
        <f t="shared" si="3"/>
        <v>1</v>
      </c>
      <c r="R63">
        <f t="shared" si="3"/>
        <v>1</v>
      </c>
      <c r="S63">
        <f t="shared" si="3"/>
        <v>1</v>
      </c>
      <c r="T63">
        <f t="shared" si="3"/>
        <v>3</v>
      </c>
    </row>
    <row r="64" spans="1:20" x14ac:dyDescent="0.25">
      <c r="A64" s="62" t="s">
        <v>132</v>
      </c>
      <c r="B64" s="56" t="s">
        <v>133</v>
      </c>
      <c r="C64" s="57">
        <v>29</v>
      </c>
      <c r="D64" s="57">
        <v>31</v>
      </c>
      <c r="E64" s="62">
        <v>31</v>
      </c>
      <c r="F64" s="58">
        <f t="shared" si="1"/>
        <v>1.0689655172413792</v>
      </c>
      <c r="G64" s="58">
        <f t="shared" si="2"/>
        <v>1.0689655172413792</v>
      </c>
      <c r="H64" s="62">
        <v>16</v>
      </c>
      <c r="I64" s="63">
        <v>1</v>
      </c>
      <c r="J64" s="63">
        <v>1</v>
      </c>
      <c r="K64" s="63">
        <v>1</v>
      </c>
      <c r="L64" s="63">
        <v>0.97</v>
      </c>
      <c r="M64" s="60" t="s">
        <v>970</v>
      </c>
      <c r="N64" s="60" t="s">
        <v>288</v>
      </c>
      <c r="O64" s="60" t="s">
        <v>271</v>
      </c>
      <c r="P64" s="64">
        <v>5.8000000000000003E-2</v>
      </c>
      <c r="Q64">
        <f t="shared" si="3"/>
        <v>4</v>
      </c>
      <c r="R64">
        <f t="shared" si="3"/>
        <v>4</v>
      </c>
      <c r="S64">
        <f t="shared" si="3"/>
        <v>4</v>
      </c>
      <c r="T64">
        <f t="shared" si="3"/>
        <v>4</v>
      </c>
    </row>
    <row r="65" spans="1:20" x14ac:dyDescent="0.25">
      <c r="A65" s="62" t="s">
        <v>134</v>
      </c>
      <c r="B65" s="56" t="s">
        <v>135</v>
      </c>
      <c r="C65" s="57">
        <v>68</v>
      </c>
      <c r="D65" s="57">
        <v>74</v>
      </c>
      <c r="E65" s="62">
        <v>72</v>
      </c>
      <c r="F65" s="58">
        <f t="shared" si="1"/>
        <v>1.0588235294117647</v>
      </c>
      <c r="G65" s="58">
        <f t="shared" si="2"/>
        <v>1.088235294117647</v>
      </c>
      <c r="H65" s="62">
        <v>54</v>
      </c>
      <c r="I65" s="63">
        <v>0.63</v>
      </c>
      <c r="J65" s="63">
        <v>1</v>
      </c>
      <c r="K65" s="63">
        <v>0.65</v>
      </c>
      <c r="L65" s="63">
        <v>0.44</v>
      </c>
      <c r="M65" s="60" t="s">
        <v>971</v>
      </c>
      <c r="N65" s="60" t="s">
        <v>972</v>
      </c>
      <c r="O65" s="60" t="s">
        <v>261</v>
      </c>
      <c r="P65" s="64">
        <v>0</v>
      </c>
      <c r="Q65">
        <f t="shared" si="3"/>
        <v>1</v>
      </c>
      <c r="R65">
        <f t="shared" si="3"/>
        <v>4</v>
      </c>
      <c r="S65">
        <f t="shared" si="3"/>
        <v>1</v>
      </c>
      <c r="T65">
        <f t="shared" si="3"/>
        <v>1</v>
      </c>
    </row>
    <row r="66" spans="1:20" x14ac:dyDescent="0.25">
      <c r="A66" s="62" t="s">
        <v>136</v>
      </c>
      <c r="B66" s="56" t="s">
        <v>137</v>
      </c>
      <c r="C66" s="57">
        <v>58</v>
      </c>
      <c r="D66" s="57">
        <v>61</v>
      </c>
      <c r="E66" s="62">
        <v>61</v>
      </c>
      <c r="F66" s="58">
        <f t="shared" si="1"/>
        <v>1.0517241379310345</v>
      </c>
      <c r="G66" s="58">
        <f t="shared" si="2"/>
        <v>1.0517241379310345</v>
      </c>
      <c r="H66" s="62">
        <v>55</v>
      </c>
      <c r="I66" s="63">
        <v>0.95</v>
      </c>
      <c r="J66" s="63">
        <v>0.98</v>
      </c>
      <c r="K66" s="63">
        <v>0.96</v>
      </c>
      <c r="L66" s="63">
        <v>0.82</v>
      </c>
      <c r="M66" s="60" t="s">
        <v>973</v>
      </c>
      <c r="N66" s="60" t="s">
        <v>538</v>
      </c>
      <c r="O66" s="60" t="s">
        <v>296</v>
      </c>
      <c r="P66" s="64">
        <v>1.6E-2</v>
      </c>
      <c r="Q66">
        <f t="shared" si="3"/>
        <v>3</v>
      </c>
      <c r="R66">
        <f t="shared" si="3"/>
        <v>2</v>
      </c>
      <c r="S66">
        <f t="shared" si="3"/>
        <v>3</v>
      </c>
      <c r="T66">
        <f t="shared" si="3"/>
        <v>2</v>
      </c>
    </row>
    <row r="67" spans="1:20" x14ac:dyDescent="0.25">
      <c r="A67" s="62" t="s">
        <v>138</v>
      </c>
      <c r="B67" s="56" t="s">
        <v>139</v>
      </c>
      <c r="C67" s="57">
        <v>33</v>
      </c>
      <c r="D67" s="57">
        <v>36</v>
      </c>
      <c r="E67" s="62">
        <v>37</v>
      </c>
      <c r="F67" s="58">
        <f t="shared" si="1"/>
        <v>1.1212121212121211</v>
      </c>
      <c r="G67" s="58">
        <f t="shared" si="2"/>
        <v>1.0909090909090908</v>
      </c>
      <c r="H67" s="62">
        <v>28</v>
      </c>
      <c r="I67" s="63">
        <v>1</v>
      </c>
      <c r="J67" s="63">
        <v>0.97</v>
      </c>
      <c r="K67" s="63">
        <v>1</v>
      </c>
      <c r="L67" s="63">
        <v>0.95</v>
      </c>
      <c r="M67" s="60" t="s">
        <v>974</v>
      </c>
      <c r="N67" s="60" t="s">
        <v>715</v>
      </c>
      <c r="O67" s="60" t="s">
        <v>975</v>
      </c>
      <c r="P67" s="64">
        <v>0</v>
      </c>
      <c r="Q67">
        <f t="shared" si="3"/>
        <v>4</v>
      </c>
      <c r="R67">
        <f t="shared" si="3"/>
        <v>2</v>
      </c>
      <c r="S67">
        <f t="shared" si="3"/>
        <v>4</v>
      </c>
      <c r="T67">
        <f t="shared" si="3"/>
        <v>3</v>
      </c>
    </row>
    <row r="68" spans="1:20" x14ac:dyDescent="0.25">
      <c r="A68" s="62" t="s">
        <v>140</v>
      </c>
      <c r="B68" s="56" t="s">
        <v>141</v>
      </c>
      <c r="C68" s="57">
        <v>57</v>
      </c>
      <c r="D68" s="57">
        <v>56</v>
      </c>
      <c r="E68" s="62">
        <v>53</v>
      </c>
      <c r="F68" s="58">
        <f t="shared" si="1"/>
        <v>0.92982456140350878</v>
      </c>
      <c r="G68" s="58">
        <f t="shared" si="2"/>
        <v>0.98245614035087714</v>
      </c>
      <c r="H68" s="62">
        <v>30</v>
      </c>
      <c r="I68" s="63">
        <v>0.98</v>
      </c>
      <c r="J68" s="63">
        <v>1</v>
      </c>
      <c r="K68" s="63">
        <v>0.98</v>
      </c>
      <c r="L68" s="63">
        <v>0.6</v>
      </c>
      <c r="M68" s="60" t="s">
        <v>976</v>
      </c>
      <c r="N68" s="60" t="s">
        <v>977</v>
      </c>
      <c r="O68" s="60" t="s">
        <v>296</v>
      </c>
      <c r="P68" s="64">
        <v>1.4E-2</v>
      </c>
      <c r="Q68">
        <f t="shared" si="3"/>
        <v>4</v>
      </c>
      <c r="R68">
        <f t="shared" si="3"/>
        <v>4</v>
      </c>
      <c r="S68">
        <f t="shared" si="3"/>
        <v>3</v>
      </c>
      <c r="T68">
        <f t="shared" si="3"/>
        <v>1</v>
      </c>
    </row>
    <row r="69" spans="1:20" x14ac:dyDescent="0.25">
      <c r="A69" s="62" t="s">
        <v>142</v>
      </c>
      <c r="B69" s="56" t="s">
        <v>143</v>
      </c>
      <c r="C69" s="57">
        <v>35</v>
      </c>
      <c r="D69" s="57">
        <v>33</v>
      </c>
      <c r="E69" s="62">
        <v>33</v>
      </c>
      <c r="F69" s="58">
        <f t="shared" si="1"/>
        <v>0.94285714285714284</v>
      </c>
      <c r="G69" s="58">
        <f t="shared" si="2"/>
        <v>0.94285714285714284</v>
      </c>
      <c r="H69" s="62">
        <v>24</v>
      </c>
      <c r="I69" s="63">
        <v>0.91</v>
      </c>
      <c r="J69" s="63">
        <v>0.97</v>
      </c>
      <c r="K69" s="63">
        <v>0.9</v>
      </c>
      <c r="L69" s="63">
        <v>0.94</v>
      </c>
      <c r="M69" s="60" t="s">
        <v>978</v>
      </c>
      <c r="N69" s="60" t="s">
        <v>531</v>
      </c>
      <c r="O69" s="60" t="s">
        <v>530</v>
      </c>
      <c r="P69" s="64">
        <v>1.0999999999999999E-2</v>
      </c>
      <c r="Q69">
        <f t="shared" si="3"/>
        <v>2</v>
      </c>
      <c r="R69">
        <f t="shared" si="3"/>
        <v>2</v>
      </c>
      <c r="S69">
        <f t="shared" si="3"/>
        <v>2</v>
      </c>
      <c r="T69">
        <f t="shared" si="3"/>
        <v>3</v>
      </c>
    </row>
    <row r="70" spans="1:20" x14ac:dyDescent="0.25">
      <c r="A70" s="62" t="s">
        <v>144</v>
      </c>
      <c r="B70" s="56" t="s">
        <v>145</v>
      </c>
      <c r="C70" s="57">
        <v>88</v>
      </c>
      <c r="D70" s="57">
        <v>77</v>
      </c>
      <c r="E70" s="62">
        <v>75</v>
      </c>
      <c r="F70" s="58">
        <f t="shared" si="1"/>
        <v>0.85227272727272729</v>
      </c>
      <c r="G70" s="58">
        <f t="shared" si="2"/>
        <v>0.875</v>
      </c>
      <c r="H70" s="62">
        <v>73</v>
      </c>
      <c r="I70" s="63">
        <v>1</v>
      </c>
      <c r="J70" s="63">
        <v>1</v>
      </c>
      <c r="K70" s="63">
        <v>1</v>
      </c>
      <c r="L70" s="63">
        <v>0.96</v>
      </c>
      <c r="M70" s="60" t="s">
        <v>979</v>
      </c>
      <c r="N70" s="60" t="s">
        <v>980</v>
      </c>
      <c r="O70" s="60" t="s">
        <v>368</v>
      </c>
      <c r="P70" s="64">
        <v>1.6E-2</v>
      </c>
      <c r="Q70">
        <f t="shared" si="3"/>
        <v>4</v>
      </c>
      <c r="R70">
        <f t="shared" si="3"/>
        <v>4</v>
      </c>
      <c r="S70">
        <f t="shared" si="3"/>
        <v>4</v>
      </c>
      <c r="T70">
        <f t="shared" si="3"/>
        <v>4</v>
      </c>
    </row>
    <row r="71" spans="1:20" x14ac:dyDescent="0.25">
      <c r="A71" s="62" t="s">
        <v>148</v>
      </c>
      <c r="B71" s="56" t="s">
        <v>149</v>
      </c>
      <c r="C71" s="57">
        <v>89</v>
      </c>
      <c r="D71" s="57">
        <v>63</v>
      </c>
      <c r="E71" s="62">
        <v>54</v>
      </c>
      <c r="F71" s="58">
        <f t="shared" si="1"/>
        <v>0.6067415730337079</v>
      </c>
      <c r="G71" s="58">
        <f t="shared" si="2"/>
        <v>0.7078651685393258</v>
      </c>
      <c r="H71" s="62">
        <v>38</v>
      </c>
      <c r="I71" s="63">
        <v>1</v>
      </c>
      <c r="J71" s="63">
        <v>1</v>
      </c>
      <c r="K71" s="63">
        <v>1</v>
      </c>
      <c r="L71" s="63">
        <v>0.83</v>
      </c>
      <c r="M71" s="60" t="s">
        <v>981</v>
      </c>
      <c r="N71" s="60" t="s">
        <v>920</v>
      </c>
      <c r="O71" s="60" t="s">
        <v>540</v>
      </c>
      <c r="P71" s="64">
        <v>1.0999999999999999E-2</v>
      </c>
      <c r="Q71">
        <f t="shared" si="3"/>
        <v>4</v>
      </c>
      <c r="R71">
        <f t="shared" si="3"/>
        <v>4</v>
      </c>
      <c r="S71">
        <f t="shared" si="3"/>
        <v>4</v>
      </c>
      <c r="T71">
        <f t="shared" si="3"/>
        <v>2</v>
      </c>
    </row>
    <row r="72" spans="1:20" x14ac:dyDescent="0.25">
      <c r="A72" s="62" t="s">
        <v>150</v>
      </c>
      <c r="B72" s="56" t="s">
        <v>151</v>
      </c>
      <c r="C72" s="57">
        <v>67</v>
      </c>
      <c r="D72" s="57">
        <v>59</v>
      </c>
      <c r="E72" s="62">
        <v>53</v>
      </c>
      <c r="F72" s="58">
        <f t="shared" si="1"/>
        <v>0.79104477611940294</v>
      </c>
      <c r="G72" s="58">
        <f t="shared" si="2"/>
        <v>0.88059701492537312</v>
      </c>
      <c r="H72" s="62">
        <v>41</v>
      </c>
      <c r="I72" s="63">
        <v>0.81</v>
      </c>
      <c r="J72" s="63">
        <v>0.96</v>
      </c>
      <c r="K72" s="63">
        <v>0.8</v>
      </c>
      <c r="L72" s="63">
        <v>0.81</v>
      </c>
      <c r="M72" s="60" t="s">
        <v>982</v>
      </c>
      <c r="N72" s="60" t="s">
        <v>275</v>
      </c>
      <c r="O72" s="60" t="s">
        <v>591</v>
      </c>
      <c r="P72" s="64">
        <v>3.2000000000000001E-2</v>
      </c>
      <c r="Q72">
        <f t="shared" si="3"/>
        <v>2</v>
      </c>
      <c r="R72">
        <f t="shared" si="3"/>
        <v>1</v>
      </c>
      <c r="S72">
        <f t="shared" si="3"/>
        <v>1</v>
      </c>
      <c r="T72">
        <f t="shared" ref="T72:T85" si="4">+IF(L72&lt;L$2,1,IF(L72&lt;L$3,2,IF(L72&lt;L$4,3,4)))</f>
        <v>2</v>
      </c>
    </row>
    <row r="73" spans="1:20" x14ac:dyDescent="0.25">
      <c r="A73" s="62" t="s">
        <v>152</v>
      </c>
      <c r="B73" s="56" t="s">
        <v>153</v>
      </c>
      <c r="C73" s="57">
        <v>45</v>
      </c>
      <c r="D73" s="57">
        <v>47</v>
      </c>
      <c r="E73" s="62">
        <v>47</v>
      </c>
      <c r="F73" s="58">
        <f t="shared" ref="F73:F85" si="5">E73/C73</f>
        <v>1.0444444444444445</v>
      </c>
      <c r="G73" s="58">
        <f t="shared" ref="G73:G85" si="6">D73/C73</f>
        <v>1.0444444444444445</v>
      </c>
      <c r="H73" s="62">
        <v>26</v>
      </c>
      <c r="I73" s="63">
        <v>0.85</v>
      </c>
      <c r="J73" s="63">
        <v>1</v>
      </c>
      <c r="K73" s="63">
        <v>0.88</v>
      </c>
      <c r="L73" s="63">
        <v>0.79</v>
      </c>
      <c r="M73" s="60" t="s">
        <v>983</v>
      </c>
      <c r="N73" s="60" t="s">
        <v>984</v>
      </c>
      <c r="O73" s="60" t="s">
        <v>623</v>
      </c>
      <c r="P73" s="64">
        <v>3.2000000000000001E-2</v>
      </c>
      <c r="Q73">
        <f t="shared" ref="Q73:S85" si="7">+IF(I73&lt;I$2,1,IF(I73&lt;I$3,2,IF(I73&lt;I$4,3,4)))</f>
        <v>2</v>
      </c>
      <c r="R73">
        <f t="shared" si="7"/>
        <v>4</v>
      </c>
      <c r="S73">
        <f t="shared" si="7"/>
        <v>2</v>
      </c>
      <c r="T73">
        <f t="shared" si="4"/>
        <v>2</v>
      </c>
    </row>
    <row r="74" spans="1:20" x14ac:dyDescent="0.25">
      <c r="A74" s="62" t="s">
        <v>154</v>
      </c>
      <c r="B74" s="56" t="s">
        <v>155</v>
      </c>
      <c r="C74" s="57">
        <v>41</v>
      </c>
      <c r="D74" s="57">
        <v>30</v>
      </c>
      <c r="E74" s="62">
        <v>30</v>
      </c>
      <c r="F74" s="58">
        <f t="shared" si="5"/>
        <v>0.73170731707317072</v>
      </c>
      <c r="G74" s="58">
        <f t="shared" si="6"/>
        <v>0.73170731707317072</v>
      </c>
      <c r="H74" s="62">
        <v>22</v>
      </c>
      <c r="I74" s="63">
        <v>0.9</v>
      </c>
      <c r="J74" s="63">
        <v>1</v>
      </c>
      <c r="K74" s="63">
        <v>0.96</v>
      </c>
      <c r="L74" s="63">
        <v>0.9</v>
      </c>
      <c r="M74" s="60" t="s">
        <v>985</v>
      </c>
      <c r="N74" s="60" t="s">
        <v>286</v>
      </c>
      <c r="O74" s="60" t="s">
        <v>986</v>
      </c>
      <c r="P74" s="64">
        <v>0</v>
      </c>
      <c r="Q74">
        <f t="shared" si="7"/>
        <v>2</v>
      </c>
      <c r="R74">
        <f t="shared" si="7"/>
        <v>4</v>
      </c>
      <c r="S74">
        <f t="shared" si="7"/>
        <v>3</v>
      </c>
      <c r="T74">
        <f t="shared" si="4"/>
        <v>3</v>
      </c>
    </row>
    <row r="75" spans="1:20" x14ac:dyDescent="0.25">
      <c r="A75" s="62" t="s">
        <v>156</v>
      </c>
      <c r="B75" s="56" t="s">
        <v>157</v>
      </c>
      <c r="C75" s="57">
        <v>37</v>
      </c>
      <c r="D75" s="57">
        <v>34</v>
      </c>
      <c r="E75" s="62">
        <v>34</v>
      </c>
      <c r="F75" s="58">
        <f t="shared" si="5"/>
        <v>0.91891891891891897</v>
      </c>
      <c r="G75" s="58">
        <f t="shared" si="6"/>
        <v>0.91891891891891897</v>
      </c>
      <c r="H75" s="62">
        <v>17</v>
      </c>
      <c r="I75" s="63">
        <v>0.97</v>
      </c>
      <c r="J75" s="63">
        <v>1</v>
      </c>
      <c r="K75" s="63">
        <v>0.97</v>
      </c>
      <c r="L75" s="63">
        <v>0.94</v>
      </c>
      <c r="M75" s="60" t="s">
        <v>987</v>
      </c>
      <c r="N75" s="60" t="s">
        <v>713</v>
      </c>
      <c r="O75" s="60" t="s">
        <v>540</v>
      </c>
      <c r="P75" s="64">
        <v>0</v>
      </c>
      <c r="Q75">
        <f t="shared" si="7"/>
        <v>3</v>
      </c>
      <c r="R75">
        <f t="shared" si="7"/>
        <v>4</v>
      </c>
      <c r="S75">
        <f t="shared" si="7"/>
        <v>3</v>
      </c>
      <c r="T75">
        <f t="shared" si="4"/>
        <v>3</v>
      </c>
    </row>
    <row r="76" spans="1:20" x14ac:dyDescent="0.25">
      <c r="A76" s="62" t="s">
        <v>158</v>
      </c>
      <c r="B76" s="56" t="s">
        <v>159</v>
      </c>
      <c r="C76" s="57">
        <v>54</v>
      </c>
      <c r="D76" s="57">
        <v>50</v>
      </c>
      <c r="E76" s="62">
        <v>47</v>
      </c>
      <c r="F76" s="58">
        <f t="shared" si="5"/>
        <v>0.87037037037037035</v>
      </c>
      <c r="G76" s="58">
        <f t="shared" si="6"/>
        <v>0.92592592592592593</v>
      </c>
      <c r="H76" s="62">
        <v>33</v>
      </c>
      <c r="I76" s="63">
        <v>0.34</v>
      </c>
      <c r="J76" s="63">
        <v>0.96</v>
      </c>
      <c r="K76" s="63">
        <v>0.38</v>
      </c>
      <c r="L76" s="63">
        <v>0.19</v>
      </c>
      <c r="M76" s="60" t="s">
        <v>988</v>
      </c>
      <c r="N76" s="60" t="s">
        <v>648</v>
      </c>
      <c r="O76" s="60" t="s">
        <v>296</v>
      </c>
      <c r="P76" s="64">
        <v>6.0000000000000001E-3</v>
      </c>
      <c r="Q76">
        <f t="shared" si="7"/>
        <v>1</v>
      </c>
      <c r="R76">
        <f t="shared" si="7"/>
        <v>1</v>
      </c>
      <c r="S76">
        <f t="shared" si="7"/>
        <v>1</v>
      </c>
      <c r="T76">
        <f t="shared" si="4"/>
        <v>1</v>
      </c>
    </row>
    <row r="77" spans="1:20" x14ac:dyDescent="0.25">
      <c r="A77" s="62" t="s">
        <v>160</v>
      </c>
      <c r="B77" s="56" t="s">
        <v>161</v>
      </c>
      <c r="C77" s="57">
        <v>5</v>
      </c>
      <c r="D77" s="57">
        <v>2</v>
      </c>
      <c r="E77" s="62">
        <v>2</v>
      </c>
      <c r="F77" s="58">
        <f t="shared" si="5"/>
        <v>0.4</v>
      </c>
      <c r="G77" s="58">
        <f t="shared" si="6"/>
        <v>0.4</v>
      </c>
      <c r="H77" s="62">
        <v>1</v>
      </c>
      <c r="I77" s="63">
        <v>1</v>
      </c>
      <c r="J77" s="63">
        <v>1</v>
      </c>
      <c r="K77" s="63">
        <v>1</v>
      </c>
      <c r="L77" s="63">
        <v>1</v>
      </c>
      <c r="M77" s="60" t="s">
        <v>989</v>
      </c>
      <c r="N77" s="60" t="s">
        <v>298</v>
      </c>
      <c r="O77" s="60" t="s">
        <v>299</v>
      </c>
      <c r="P77" s="64">
        <v>5.8000000000000003E-2</v>
      </c>
      <c r="Q77">
        <f t="shared" si="7"/>
        <v>4</v>
      </c>
      <c r="R77">
        <f t="shared" si="7"/>
        <v>4</v>
      </c>
      <c r="S77">
        <f t="shared" si="7"/>
        <v>4</v>
      </c>
      <c r="T77">
        <f t="shared" si="4"/>
        <v>4</v>
      </c>
    </row>
    <row r="78" spans="1:20" x14ac:dyDescent="0.25">
      <c r="A78" s="62" t="s">
        <v>164</v>
      </c>
      <c r="B78" s="56" t="s">
        <v>165</v>
      </c>
      <c r="C78" s="57">
        <v>59</v>
      </c>
      <c r="D78" s="57">
        <v>72</v>
      </c>
      <c r="E78" s="62">
        <v>71</v>
      </c>
      <c r="F78" s="58">
        <f t="shared" si="5"/>
        <v>1.2033898305084745</v>
      </c>
      <c r="G78" s="58">
        <f t="shared" si="6"/>
        <v>1.2203389830508475</v>
      </c>
      <c r="H78" s="62">
        <v>42</v>
      </c>
      <c r="I78" s="63">
        <v>0.99</v>
      </c>
      <c r="J78" s="63">
        <v>0.93</v>
      </c>
      <c r="K78" s="63">
        <v>0.99</v>
      </c>
      <c r="L78" s="63">
        <v>0.92</v>
      </c>
      <c r="M78" s="60" t="s">
        <v>990</v>
      </c>
      <c r="N78" s="60" t="s">
        <v>991</v>
      </c>
      <c r="O78" s="60" t="s">
        <v>287</v>
      </c>
      <c r="P78" s="64">
        <v>3.5999999999999997E-2</v>
      </c>
      <c r="Q78">
        <f t="shared" si="7"/>
        <v>4</v>
      </c>
      <c r="R78">
        <f t="shared" si="7"/>
        <v>1</v>
      </c>
      <c r="S78">
        <f t="shared" si="7"/>
        <v>4</v>
      </c>
      <c r="T78">
        <f t="shared" si="4"/>
        <v>3</v>
      </c>
    </row>
    <row r="79" spans="1:20" x14ac:dyDescent="0.25">
      <c r="A79" s="62" t="s">
        <v>166</v>
      </c>
      <c r="B79" s="56" t="s">
        <v>167</v>
      </c>
      <c r="C79" s="57">
        <v>15</v>
      </c>
      <c r="D79" s="57">
        <v>19</v>
      </c>
      <c r="E79" s="62">
        <v>17</v>
      </c>
      <c r="F79" s="58">
        <f t="shared" si="5"/>
        <v>1.1333333333333333</v>
      </c>
      <c r="G79" s="58">
        <f t="shared" si="6"/>
        <v>1.2666666666666666</v>
      </c>
      <c r="H79" s="62">
        <v>10</v>
      </c>
      <c r="I79" s="63">
        <v>1</v>
      </c>
      <c r="J79" s="63">
        <v>0.94</v>
      </c>
      <c r="K79" s="63">
        <v>1</v>
      </c>
      <c r="L79" s="63">
        <v>1</v>
      </c>
      <c r="M79" s="60" t="s">
        <v>992</v>
      </c>
      <c r="N79" s="60" t="s">
        <v>993</v>
      </c>
      <c r="O79" s="60" t="s">
        <v>299</v>
      </c>
      <c r="P79" s="64">
        <v>0</v>
      </c>
      <c r="Q79">
        <f t="shared" si="7"/>
        <v>4</v>
      </c>
      <c r="R79">
        <f t="shared" si="7"/>
        <v>1</v>
      </c>
      <c r="S79">
        <f t="shared" si="7"/>
        <v>4</v>
      </c>
      <c r="T79">
        <f t="shared" si="4"/>
        <v>4</v>
      </c>
    </row>
    <row r="80" spans="1:20" x14ac:dyDescent="0.25">
      <c r="A80" s="62" t="s">
        <v>168</v>
      </c>
      <c r="B80" s="56" t="s">
        <v>169</v>
      </c>
      <c r="C80" s="57">
        <v>62</v>
      </c>
      <c r="D80" s="57">
        <v>0</v>
      </c>
      <c r="E80" s="62">
        <v>0</v>
      </c>
      <c r="F80" s="58">
        <f t="shared" si="5"/>
        <v>0</v>
      </c>
      <c r="G80" s="58">
        <f t="shared" si="6"/>
        <v>0</v>
      </c>
      <c r="H80" s="62" t="s">
        <v>994</v>
      </c>
      <c r="I80" s="62" t="s">
        <v>994</v>
      </c>
      <c r="J80" s="62" t="s">
        <v>994</v>
      </c>
      <c r="K80" s="62" t="s">
        <v>994</v>
      </c>
      <c r="L80" s="62" t="s">
        <v>994</v>
      </c>
      <c r="M80" s="62" t="s">
        <v>994</v>
      </c>
      <c r="N80" s="62" t="s">
        <v>994</v>
      </c>
      <c r="O80" s="62" t="s">
        <v>994</v>
      </c>
      <c r="P80" s="62" t="s">
        <v>994</v>
      </c>
      <c r="Q80">
        <f t="shared" si="7"/>
        <v>4</v>
      </c>
      <c r="R80">
        <f t="shared" si="7"/>
        <v>4</v>
      </c>
      <c r="S80">
        <f t="shared" si="7"/>
        <v>4</v>
      </c>
      <c r="T80">
        <f t="shared" si="4"/>
        <v>4</v>
      </c>
    </row>
    <row r="81" spans="1:20" x14ac:dyDescent="0.25">
      <c r="A81" s="62" t="s">
        <v>170</v>
      </c>
      <c r="B81" s="56" t="s">
        <v>171</v>
      </c>
      <c r="C81" s="57">
        <v>25</v>
      </c>
      <c r="D81" s="57">
        <v>18</v>
      </c>
      <c r="E81" s="62">
        <v>18</v>
      </c>
      <c r="F81" s="58">
        <f t="shared" si="5"/>
        <v>0.72</v>
      </c>
      <c r="G81" s="58">
        <f t="shared" si="6"/>
        <v>0.72</v>
      </c>
      <c r="H81" s="62">
        <v>11</v>
      </c>
      <c r="I81" s="63">
        <v>0.83</v>
      </c>
      <c r="J81" s="63">
        <v>0.89</v>
      </c>
      <c r="K81" s="63">
        <v>0.82</v>
      </c>
      <c r="L81" s="63">
        <v>0.89</v>
      </c>
      <c r="M81" s="60" t="s">
        <v>995</v>
      </c>
      <c r="N81" s="60" t="s">
        <v>996</v>
      </c>
      <c r="O81" s="60" t="s">
        <v>582</v>
      </c>
      <c r="P81" s="64">
        <v>0</v>
      </c>
      <c r="Q81">
        <f t="shared" si="7"/>
        <v>2</v>
      </c>
      <c r="R81">
        <f t="shared" si="7"/>
        <v>1</v>
      </c>
      <c r="S81">
        <f t="shared" si="7"/>
        <v>2</v>
      </c>
      <c r="T81">
        <f t="shared" si="4"/>
        <v>3</v>
      </c>
    </row>
    <row r="82" spans="1:20" x14ac:dyDescent="0.25">
      <c r="A82" s="62" t="s">
        <v>172</v>
      </c>
      <c r="B82" s="56" t="s">
        <v>173</v>
      </c>
      <c r="C82" s="57">
        <v>82</v>
      </c>
      <c r="D82" s="57">
        <v>38</v>
      </c>
      <c r="E82" s="62">
        <v>37</v>
      </c>
      <c r="F82" s="58">
        <f t="shared" si="5"/>
        <v>0.45121951219512196</v>
      </c>
      <c r="G82" s="58">
        <f t="shared" si="6"/>
        <v>0.46341463414634149</v>
      </c>
      <c r="H82" s="62">
        <v>22</v>
      </c>
      <c r="I82" s="63">
        <v>0.65</v>
      </c>
      <c r="J82" s="63">
        <v>1</v>
      </c>
      <c r="K82" s="63">
        <v>0.65</v>
      </c>
      <c r="L82" s="63">
        <v>0.97</v>
      </c>
      <c r="M82" s="60" t="s">
        <v>997</v>
      </c>
      <c r="N82" s="60" t="s">
        <v>257</v>
      </c>
      <c r="O82" s="60" t="s">
        <v>261</v>
      </c>
      <c r="P82" s="64">
        <v>0.01</v>
      </c>
      <c r="Q82">
        <f t="shared" si="7"/>
        <v>1</v>
      </c>
      <c r="R82">
        <f t="shared" si="7"/>
        <v>4</v>
      </c>
      <c r="S82">
        <f t="shared" si="7"/>
        <v>1</v>
      </c>
      <c r="T82">
        <f t="shared" si="4"/>
        <v>4</v>
      </c>
    </row>
    <row r="83" spans="1:20" x14ac:dyDescent="0.25">
      <c r="A83" s="62" t="s">
        <v>174</v>
      </c>
      <c r="B83" s="56" t="s">
        <v>175</v>
      </c>
      <c r="C83" s="57">
        <v>56</v>
      </c>
      <c r="D83" s="57">
        <v>17</v>
      </c>
      <c r="E83" s="62">
        <v>16</v>
      </c>
      <c r="F83" s="58">
        <f t="shared" si="5"/>
        <v>0.2857142857142857</v>
      </c>
      <c r="G83" s="58">
        <f t="shared" si="6"/>
        <v>0.30357142857142855</v>
      </c>
      <c r="H83" s="62">
        <v>8</v>
      </c>
      <c r="I83" s="63">
        <v>0.56000000000000005</v>
      </c>
      <c r="J83" s="63">
        <v>1</v>
      </c>
      <c r="K83" s="63">
        <v>0.6</v>
      </c>
      <c r="L83" s="63">
        <v>0.63</v>
      </c>
      <c r="M83" s="60" t="s">
        <v>998</v>
      </c>
      <c r="N83" s="60" t="s">
        <v>999</v>
      </c>
      <c r="O83" s="60" t="s">
        <v>1000</v>
      </c>
      <c r="P83" s="64">
        <v>2.5000000000000001E-2</v>
      </c>
      <c r="Q83">
        <f t="shared" si="7"/>
        <v>1</v>
      </c>
      <c r="R83">
        <f t="shared" si="7"/>
        <v>4</v>
      </c>
      <c r="S83">
        <f t="shared" si="7"/>
        <v>1</v>
      </c>
      <c r="T83">
        <f t="shared" si="4"/>
        <v>1</v>
      </c>
    </row>
    <row r="84" spans="1:20" x14ac:dyDescent="0.25">
      <c r="A84" s="62" t="s">
        <v>176</v>
      </c>
      <c r="B84" s="56" t="s">
        <v>177</v>
      </c>
      <c r="C84" s="57">
        <v>13</v>
      </c>
      <c r="D84" s="57">
        <v>16</v>
      </c>
      <c r="E84" s="62">
        <v>16</v>
      </c>
      <c r="F84" s="58">
        <f t="shared" si="5"/>
        <v>1.2307692307692308</v>
      </c>
      <c r="G84" s="58">
        <f t="shared" si="6"/>
        <v>1.2307692307692308</v>
      </c>
      <c r="H84" s="62">
        <v>8</v>
      </c>
      <c r="I84" s="63">
        <v>1</v>
      </c>
      <c r="J84" s="63">
        <v>1</v>
      </c>
      <c r="K84" s="63">
        <v>1</v>
      </c>
      <c r="L84" s="63">
        <v>0.94</v>
      </c>
      <c r="M84" s="60" t="s">
        <v>1001</v>
      </c>
      <c r="N84" s="60" t="s">
        <v>547</v>
      </c>
      <c r="O84" s="60" t="s">
        <v>1002</v>
      </c>
      <c r="P84" s="64">
        <v>0</v>
      </c>
      <c r="Q84">
        <f t="shared" si="7"/>
        <v>4</v>
      </c>
      <c r="R84">
        <f t="shared" si="7"/>
        <v>4</v>
      </c>
      <c r="S84">
        <f t="shared" si="7"/>
        <v>4</v>
      </c>
      <c r="T84">
        <f t="shared" si="4"/>
        <v>3</v>
      </c>
    </row>
    <row r="85" spans="1:20" x14ac:dyDescent="0.25">
      <c r="A85" s="62" t="s">
        <v>180</v>
      </c>
      <c r="B85" s="56" t="s">
        <v>181</v>
      </c>
      <c r="C85" s="57">
        <v>131</v>
      </c>
      <c r="D85" s="57">
        <v>128</v>
      </c>
      <c r="E85" s="62">
        <v>124</v>
      </c>
      <c r="F85" s="58">
        <f t="shared" si="5"/>
        <v>0.94656488549618323</v>
      </c>
      <c r="G85" s="58">
        <f t="shared" si="6"/>
        <v>0.97709923664122134</v>
      </c>
      <c r="H85" s="62">
        <v>77</v>
      </c>
      <c r="I85" s="63">
        <v>0.83</v>
      </c>
      <c r="J85" s="63">
        <v>1</v>
      </c>
      <c r="K85" s="63">
        <v>0.84</v>
      </c>
      <c r="L85" s="63">
        <v>0.67</v>
      </c>
      <c r="M85" s="60" t="s">
        <v>1003</v>
      </c>
      <c r="N85" s="60" t="s">
        <v>953</v>
      </c>
      <c r="O85" s="60" t="s">
        <v>584</v>
      </c>
      <c r="P85" s="64">
        <v>1.9E-2</v>
      </c>
      <c r="Q85">
        <f t="shared" si="7"/>
        <v>2</v>
      </c>
      <c r="R85">
        <f t="shared" si="7"/>
        <v>4</v>
      </c>
      <c r="S85">
        <f t="shared" si="7"/>
        <v>2</v>
      </c>
      <c r="T85">
        <f t="shared" si="4"/>
        <v>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" sqref="E1"/>
    </sheetView>
  </sheetViews>
  <sheetFormatPr defaultRowHeight="15" x14ac:dyDescent="0.25"/>
  <cols>
    <col min="1" max="1" width="11.28515625" customWidth="1"/>
    <col min="2" max="2" width="63.7109375" bestFit="1" customWidth="1"/>
    <col min="3" max="3" width="12.5703125" customWidth="1"/>
    <col min="4" max="4" width="18.7109375" customWidth="1"/>
    <col min="5" max="5" width="19.28515625" customWidth="1"/>
    <col min="8" max="8" width="10.42578125" bestFit="1" customWidth="1"/>
    <col min="9" max="9" width="11.28515625" customWidth="1"/>
  </cols>
  <sheetData>
    <row r="1" spans="1:14" ht="60" x14ac:dyDescent="0.25">
      <c r="A1" s="20" t="s">
        <v>189</v>
      </c>
      <c r="B1" s="20" t="s">
        <v>183</v>
      </c>
      <c r="C1" s="20" t="s">
        <v>190</v>
      </c>
      <c r="D1" s="7" t="s">
        <v>206</v>
      </c>
      <c r="E1" s="20" t="s">
        <v>208</v>
      </c>
      <c r="F1" s="27" t="s">
        <v>672</v>
      </c>
      <c r="G1" s="27" t="s">
        <v>523</v>
      </c>
      <c r="H1" s="27" t="s">
        <v>524</v>
      </c>
      <c r="I1" s="20" t="s">
        <v>189</v>
      </c>
    </row>
    <row r="2" spans="1:14" x14ac:dyDescent="0.25">
      <c r="A2" s="10" t="s">
        <v>9</v>
      </c>
      <c r="B2" s="4" t="s">
        <v>10</v>
      </c>
      <c r="C2" s="10">
        <v>218</v>
      </c>
      <c r="D2" s="10" t="s">
        <v>304</v>
      </c>
      <c r="E2" s="26">
        <v>2.6464089999999999E-2</v>
      </c>
      <c r="F2" s="23">
        <v>9.5000000000000001E-2</v>
      </c>
      <c r="G2" s="19">
        <v>89</v>
      </c>
      <c r="H2" t="s">
        <v>513</v>
      </c>
      <c r="I2" s="10" t="s">
        <v>9</v>
      </c>
      <c r="N2" s="18"/>
    </row>
    <row r="3" spans="1:14" x14ac:dyDescent="0.25">
      <c r="A3" s="10" t="s">
        <v>120</v>
      </c>
      <c r="B3" s="4" t="s">
        <v>121</v>
      </c>
      <c r="C3" s="10">
        <v>189</v>
      </c>
      <c r="D3" s="10" t="s">
        <v>303</v>
      </c>
      <c r="E3" s="26">
        <v>3.7426179999999996E-2</v>
      </c>
      <c r="F3" s="23">
        <v>6.3E-2</v>
      </c>
      <c r="G3" s="19">
        <v>42</v>
      </c>
      <c r="H3" t="s">
        <v>535</v>
      </c>
      <c r="I3" s="10" t="s">
        <v>120</v>
      </c>
      <c r="N3" s="18"/>
    </row>
    <row r="4" spans="1:14" x14ac:dyDescent="0.25">
      <c r="A4" s="10" t="s">
        <v>48</v>
      </c>
      <c r="B4" s="4" t="s">
        <v>49</v>
      </c>
      <c r="C4" s="10">
        <v>101</v>
      </c>
      <c r="D4" s="10" t="s">
        <v>314</v>
      </c>
      <c r="E4" s="26">
        <v>6.8149860000000007E-2</v>
      </c>
      <c r="F4" s="23">
        <v>0.17699999999999999</v>
      </c>
      <c r="G4" s="19">
        <v>14</v>
      </c>
      <c r="H4" t="s">
        <v>682</v>
      </c>
      <c r="I4" s="10" t="s">
        <v>48</v>
      </c>
      <c r="N4" s="18"/>
    </row>
    <row r="5" spans="1:14" x14ac:dyDescent="0.25">
      <c r="A5" s="10" t="s">
        <v>13</v>
      </c>
      <c r="B5" s="4" t="s">
        <v>14</v>
      </c>
      <c r="C5" s="10">
        <v>226</v>
      </c>
      <c r="D5" s="10" t="s">
        <v>519</v>
      </c>
      <c r="E5" s="26">
        <v>2.4128360000000001E-2</v>
      </c>
      <c r="F5" s="23">
        <v>0.15</v>
      </c>
      <c r="G5" s="19">
        <v>55</v>
      </c>
      <c r="H5" t="s">
        <v>675</v>
      </c>
      <c r="I5" s="10" t="s">
        <v>13</v>
      </c>
      <c r="N5" s="18"/>
    </row>
    <row r="6" spans="1:14" x14ac:dyDescent="0.25">
      <c r="A6" s="10" t="s">
        <v>37</v>
      </c>
      <c r="B6" s="4" t="s">
        <v>38</v>
      </c>
      <c r="C6" s="10">
        <v>25</v>
      </c>
      <c r="D6" s="10" t="s">
        <v>311</v>
      </c>
      <c r="E6" s="26">
        <v>4.4326999999999998E-2</v>
      </c>
      <c r="F6" s="23">
        <v>0</v>
      </c>
      <c r="G6" s="19">
        <v>10</v>
      </c>
      <c r="H6" t="s">
        <v>680</v>
      </c>
      <c r="I6" s="10" t="s">
        <v>37</v>
      </c>
      <c r="N6" s="18"/>
    </row>
    <row r="7" spans="1:14" x14ac:dyDescent="0.25">
      <c r="A7" s="10" t="s">
        <v>33</v>
      </c>
      <c r="B7" s="4" t="s">
        <v>34</v>
      </c>
      <c r="C7" s="10">
        <v>135</v>
      </c>
      <c r="D7" s="10" t="s">
        <v>316</v>
      </c>
      <c r="E7" s="26">
        <v>3.5953529999999997E-2</v>
      </c>
      <c r="F7" s="23">
        <v>8.8999999999999996E-2</v>
      </c>
      <c r="G7" s="19">
        <v>40</v>
      </c>
      <c r="H7" t="s">
        <v>379</v>
      </c>
      <c r="I7" s="10" t="s">
        <v>33</v>
      </c>
      <c r="N7" s="18"/>
    </row>
    <row r="8" spans="1:14" x14ac:dyDescent="0.25">
      <c r="A8" s="19" t="s">
        <v>180</v>
      </c>
      <c r="B8" s="4" t="s">
        <v>181</v>
      </c>
      <c r="C8" s="19">
        <v>563</v>
      </c>
      <c r="D8" s="10" t="s">
        <v>318</v>
      </c>
      <c r="E8" s="26">
        <v>2.64911E-2</v>
      </c>
      <c r="F8" s="23">
        <v>9.1999999999999998E-2</v>
      </c>
      <c r="G8" s="19">
        <v>155</v>
      </c>
      <c r="H8" t="s">
        <v>287</v>
      </c>
      <c r="I8" s="19" t="s">
        <v>180</v>
      </c>
      <c r="N8" s="18"/>
    </row>
    <row r="9" spans="1:14" x14ac:dyDescent="0.25">
      <c r="A9" s="10" t="s">
        <v>0</v>
      </c>
      <c r="B9" s="4" t="s">
        <v>1</v>
      </c>
      <c r="C9" s="10">
        <v>50</v>
      </c>
      <c r="D9" s="10" t="s">
        <v>301</v>
      </c>
      <c r="E9" s="26">
        <v>4.3438629999999999E-2</v>
      </c>
      <c r="F9" s="23">
        <v>6.4000000000000001E-2</v>
      </c>
      <c r="G9" s="19">
        <v>18</v>
      </c>
      <c r="H9" t="s">
        <v>375</v>
      </c>
      <c r="I9" s="10" t="s">
        <v>0</v>
      </c>
      <c r="N9" s="18"/>
    </row>
    <row r="10" spans="1:14" x14ac:dyDescent="0.25">
      <c r="A10" s="10" t="s">
        <v>19</v>
      </c>
      <c r="B10" s="4" t="s">
        <v>20</v>
      </c>
      <c r="C10" s="10">
        <v>240</v>
      </c>
      <c r="D10" s="10" t="s">
        <v>308</v>
      </c>
      <c r="E10" s="26">
        <v>2.600127E-2</v>
      </c>
      <c r="F10" s="23">
        <v>3.9E-2</v>
      </c>
      <c r="G10" s="19">
        <v>86</v>
      </c>
      <c r="H10" t="s">
        <v>677</v>
      </c>
      <c r="I10" s="10" t="s">
        <v>19</v>
      </c>
      <c r="N10" s="18"/>
    </row>
    <row r="11" spans="1:14" x14ac:dyDescent="0.25">
      <c r="A11" s="10" t="s">
        <v>148</v>
      </c>
      <c r="B11" s="4" t="s">
        <v>149</v>
      </c>
      <c r="C11" s="10">
        <v>157</v>
      </c>
      <c r="D11" s="10" t="s">
        <v>340</v>
      </c>
      <c r="E11" s="26">
        <v>8.740185000000001E-3</v>
      </c>
      <c r="F11" s="23">
        <v>0.125</v>
      </c>
      <c r="G11" s="19">
        <v>76</v>
      </c>
      <c r="H11" t="s">
        <v>692</v>
      </c>
      <c r="I11" s="10" t="s">
        <v>148</v>
      </c>
      <c r="N11" s="18"/>
    </row>
    <row r="12" spans="1:14" x14ac:dyDescent="0.25">
      <c r="A12" s="10" t="s">
        <v>142</v>
      </c>
      <c r="B12" s="4" t="s">
        <v>143</v>
      </c>
      <c r="C12" s="10">
        <v>126</v>
      </c>
      <c r="D12" s="10" t="s">
        <v>324</v>
      </c>
      <c r="E12" s="26">
        <v>3.6778430000000001E-2</v>
      </c>
      <c r="F12" s="23">
        <v>6.4000000000000001E-2</v>
      </c>
      <c r="G12" s="19">
        <v>46</v>
      </c>
      <c r="H12" t="s">
        <v>690</v>
      </c>
      <c r="I12" s="10" t="s">
        <v>142</v>
      </c>
      <c r="N12" s="18"/>
    </row>
    <row r="13" spans="1:14" x14ac:dyDescent="0.25">
      <c r="A13" s="10" t="s">
        <v>54</v>
      </c>
      <c r="B13" s="4" t="s">
        <v>55</v>
      </c>
      <c r="C13" s="10">
        <v>336</v>
      </c>
      <c r="D13" s="10" t="s">
        <v>315</v>
      </c>
      <c r="E13" s="26">
        <v>4.073541E-3</v>
      </c>
      <c r="F13" s="23">
        <v>9.5000000000000001E-2</v>
      </c>
      <c r="G13" s="19">
        <v>81</v>
      </c>
      <c r="H13" t="s">
        <v>678</v>
      </c>
      <c r="I13" s="10" t="s">
        <v>54</v>
      </c>
      <c r="N13" s="18"/>
    </row>
    <row r="14" spans="1:14" x14ac:dyDescent="0.25">
      <c r="A14" s="10" t="s">
        <v>5</v>
      </c>
      <c r="B14" s="4" t="s">
        <v>6</v>
      </c>
      <c r="C14" s="10">
        <v>19</v>
      </c>
      <c r="D14" s="10" t="s">
        <v>303</v>
      </c>
      <c r="E14" s="26">
        <v>0</v>
      </c>
      <c r="F14" s="23">
        <v>0</v>
      </c>
      <c r="G14" s="19" t="s">
        <v>771</v>
      </c>
      <c r="H14" t="s">
        <v>772</v>
      </c>
      <c r="I14" s="10" t="s">
        <v>5</v>
      </c>
      <c r="N14" s="18"/>
    </row>
    <row r="15" spans="1:14" x14ac:dyDescent="0.25">
      <c r="A15" s="10" t="s">
        <v>81</v>
      </c>
      <c r="B15" s="4" t="s">
        <v>82</v>
      </c>
      <c r="C15" s="10">
        <v>69</v>
      </c>
      <c r="D15" s="10" t="s">
        <v>323</v>
      </c>
      <c r="E15" s="26">
        <v>3.3487339999999997E-2</v>
      </c>
      <c r="F15" s="23">
        <v>7.8E-2</v>
      </c>
      <c r="G15" s="19">
        <v>19</v>
      </c>
      <c r="H15" t="s">
        <v>686</v>
      </c>
      <c r="I15" s="10" t="s">
        <v>81</v>
      </c>
      <c r="N15" s="18"/>
    </row>
    <row r="16" spans="1:14" x14ac:dyDescent="0.25">
      <c r="A16" s="10" t="s">
        <v>72</v>
      </c>
      <c r="B16" s="4" t="s">
        <v>73</v>
      </c>
      <c r="C16" s="10">
        <v>340</v>
      </c>
      <c r="D16" s="10" t="s">
        <v>309</v>
      </c>
      <c r="E16" s="26">
        <v>3.3447270000000001E-2</v>
      </c>
      <c r="F16" s="23">
        <v>5.1999999999999998E-2</v>
      </c>
      <c r="G16" s="19">
        <v>129</v>
      </c>
      <c r="H16" t="s">
        <v>680</v>
      </c>
      <c r="I16" s="10" t="s">
        <v>72</v>
      </c>
      <c r="N16" s="18"/>
    </row>
    <row r="17" spans="1:14" x14ac:dyDescent="0.25">
      <c r="A17" s="10" t="s">
        <v>152</v>
      </c>
      <c r="B17" s="4" t="s">
        <v>153</v>
      </c>
      <c r="C17" s="10">
        <v>96</v>
      </c>
      <c r="D17" s="10" t="s">
        <v>326</v>
      </c>
      <c r="E17" s="26">
        <v>1.2827129999999999E-2</v>
      </c>
      <c r="F17" s="23">
        <v>0.25</v>
      </c>
      <c r="G17" s="19">
        <v>32</v>
      </c>
      <c r="H17" t="s">
        <v>276</v>
      </c>
      <c r="I17" s="10" t="s">
        <v>152</v>
      </c>
      <c r="N17" s="18"/>
    </row>
    <row r="18" spans="1:14" x14ac:dyDescent="0.25">
      <c r="A18" s="10" t="s">
        <v>7</v>
      </c>
      <c r="B18" s="4" t="s">
        <v>8</v>
      </c>
      <c r="C18" s="10">
        <v>57</v>
      </c>
      <c r="D18" s="10" t="s">
        <v>223</v>
      </c>
      <c r="E18" s="26">
        <v>0</v>
      </c>
      <c r="F18" s="23">
        <v>8.8999999999999996E-2</v>
      </c>
      <c r="G18" s="19">
        <v>25</v>
      </c>
      <c r="H18" t="s">
        <v>674</v>
      </c>
      <c r="I18" s="10" t="s">
        <v>7</v>
      </c>
      <c r="N18" s="18"/>
    </row>
    <row r="19" spans="1:14" x14ac:dyDescent="0.25">
      <c r="A19" s="10" t="s">
        <v>93</v>
      </c>
      <c r="B19" s="4" t="s">
        <v>94</v>
      </c>
      <c r="C19" s="10">
        <v>177</v>
      </c>
      <c r="D19" s="10" t="s">
        <v>327</v>
      </c>
      <c r="E19" s="26">
        <v>2.4385089999999998E-2</v>
      </c>
      <c r="F19" s="23">
        <v>9.6000000000000002E-2</v>
      </c>
      <c r="G19" s="19">
        <v>45</v>
      </c>
      <c r="H19" t="s">
        <v>284</v>
      </c>
      <c r="I19" s="10" t="s">
        <v>93</v>
      </c>
      <c r="N19" s="18"/>
    </row>
    <row r="20" spans="1:14" x14ac:dyDescent="0.25">
      <c r="A20" s="10" t="s">
        <v>27</v>
      </c>
      <c r="B20" s="4" t="s">
        <v>28</v>
      </c>
      <c r="C20" s="10">
        <v>15</v>
      </c>
      <c r="D20" s="10" t="s">
        <v>284</v>
      </c>
      <c r="E20" s="26">
        <v>0</v>
      </c>
      <c r="F20" s="23">
        <v>0.13300000000000001</v>
      </c>
      <c r="G20" s="19" t="s">
        <v>771</v>
      </c>
      <c r="H20" t="s">
        <v>772</v>
      </c>
      <c r="I20" s="10" t="s">
        <v>27</v>
      </c>
      <c r="N20" s="18"/>
    </row>
    <row r="21" spans="1:14" x14ac:dyDescent="0.25">
      <c r="A21" s="10" t="s">
        <v>138</v>
      </c>
      <c r="B21" s="4" t="s">
        <v>139</v>
      </c>
      <c r="C21" s="10">
        <v>93</v>
      </c>
      <c r="D21" s="10" t="s">
        <v>522</v>
      </c>
      <c r="E21" s="26">
        <v>2.1880460000000001E-2</v>
      </c>
      <c r="F21" s="23">
        <v>9.1999999999999998E-2</v>
      </c>
      <c r="G21" s="19">
        <v>32</v>
      </c>
      <c r="H21" t="s">
        <v>274</v>
      </c>
      <c r="I21" s="10" t="s">
        <v>138</v>
      </c>
      <c r="N21" s="18"/>
    </row>
    <row r="22" spans="1:14" x14ac:dyDescent="0.25">
      <c r="A22" s="10" t="s">
        <v>126</v>
      </c>
      <c r="B22" s="4" t="s">
        <v>127</v>
      </c>
      <c r="C22" s="10">
        <v>89</v>
      </c>
      <c r="D22" s="10" t="s">
        <v>325</v>
      </c>
      <c r="E22" s="26">
        <v>3.8243800000000001E-2</v>
      </c>
      <c r="F22" s="23">
        <v>0.13800000000000001</v>
      </c>
      <c r="G22" s="19">
        <v>28</v>
      </c>
      <c r="H22" t="s">
        <v>376</v>
      </c>
      <c r="I22" s="10" t="s">
        <v>126</v>
      </c>
      <c r="N22" s="18"/>
    </row>
    <row r="23" spans="1:14" x14ac:dyDescent="0.25">
      <c r="A23" s="10" t="s">
        <v>154</v>
      </c>
      <c r="B23" s="4" t="s">
        <v>155</v>
      </c>
      <c r="C23" s="10">
        <v>249</v>
      </c>
      <c r="D23" s="10" t="s">
        <v>335</v>
      </c>
      <c r="E23" s="26">
        <v>4.3728680000000006E-2</v>
      </c>
      <c r="F23" s="23">
        <v>0.20100000000000001</v>
      </c>
      <c r="G23" s="19">
        <v>76</v>
      </c>
      <c r="H23" t="s">
        <v>379</v>
      </c>
      <c r="I23" s="10" t="s">
        <v>154</v>
      </c>
      <c r="N23" s="18"/>
    </row>
    <row r="24" spans="1:14" x14ac:dyDescent="0.25">
      <c r="A24" s="10" t="s">
        <v>39</v>
      </c>
      <c r="B24" s="4" t="s">
        <v>216</v>
      </c>
      <c r="C24" s="10">
        <v>311</v>
      </c>
      <c r="D24" s="10" t="s">
        <v>276</v>
      </c>
      <c r="E24" s="26">
        <v>2.9557400000000001E-2</v>
      </c>
      <c r="F24" s="23">
        <v>0.121</v>
      </c>
      <c r="G24" s="19">
        <v>48</v>
      </c>
      <c r="H24" t="s">
        <v>574</v>
      </c>
      <c r="I24" s="10" t="s">
        <v>39</v>
      </c>
      <c r="N24" s="18"/>
    </row>
    <row r="25" spans="1:14" x14ac:dyDescent="0.25">
      <c r="A25" s="10" t="s">
        <v>40</v>
      </c>
      <c r="B25" s="4" t="s">
        <v>41</v>
      </c>
      <c r="C25" s="10">
        <v>539</v>
      </c>
      <c r="D25" s="10" t="s">
        <v>312</v>
      </c>
      <c r="E25" s="26">
        <v>1.6569750000000001E-2</v>
      </c>
      <c r="F25" s="23">
        <v>0.11700000000000001</v>
      </c>
      <c r="G25" s="19">
        <v>144</v>
      </c>
      <c r="H25" t="s">
        <v>681</v>
      </c>
      <c r="I25" s="10" t="s">
        <v>40</v>
      </c>
      <c r="N25" s="18"/>
    </row>
    <row r="26" spans="1:14" x14ac:dyDescent="0.25">
      <c r="A26" s="10" t="s">
        <v>115</v>
      </c>
      <c r="B26" s="4" t="s">
        <v>116</v>
      </c>
      <c r="C26" s="10">
        <v>199</v>
      </c>
      <c r="D26" s="10" t="s">
        <v>328</v>
      </c>
      <c r="E26" s="26">
        <v>1.685445E-2</v>
      </c>
      <c r="F26" s="23">
        <v>0.12</v>
      </c>
      <c r="G26" s="19">
        <v>77</v>
      </c>
      <c r="H26" t="s">
        <v>287</v>
      </c>
      <c r="I26" s="10" t="s">
        <v>115</v>
      </c>
      <c r="N26" s="18"/>
    </row>
    <row r="27" spans="1:14" x14ac:dyDescent="0.25">
      <c r="A27" s="10" t="s">
        <v>66</v>
      </c>
      <c r="B27" s="4" t="s">
        <v>67</v>
      </c>
      <c r="C27" s="10">
        <v>460</v>
      </c>
      <c r="D27" s="10" t="s">
        <v>319</v>
      </c>
      <c r="E27" s="26">
        <v>2.7228889999999999E-2</v>
      </c>
      <c r="F27" s="23">
        <v>0.105</v>
      </c>
      <c r="G27" s="19">
        <v>135</v>
      </c>
      <c r="H27" t="s">
        <v>289</v>
      </c>
      <c r="I27" s="10" t="s">
        <v>66</v>
      </c>
      <c r="N27" s="18"/>
    </row>
    <row r="28" spans="1:14" x14ac:dyDescent="0.25">
      <c r="A28" s="10" t="s">
        <v>130</v>
      </c>
      <c r="B28" s="4" t="s">
        <v>131</v>
      </c>
      <c r="C28" s="10">
        <v>328</v>
      </c>
      <c r="D28" s="10" t="s">
        <v>336</v>
      </c>
      <c r="E28" s="26">
        <v>5.4415480000000002E-2</v>
      </c>
      <c r="F28" s="23" t="s">
        <v>712</v>
      </c>
      <c r="G28" s="19">
        <v>95</v>
      </c>
      <c r="H28" t="s">
        <v>673</v>
      </c>
      <c r="I28" s="10" t="s">
        <v>130</v>
      </c>
      <c r="N28" s="18"/>
    </row>
    <row r="29" spans="1:14" x14ac:dyDescent="0.25">
      <c r="A29" s="10" t="s">
        <v>158</v>
      </c>
      <c r="B29" s="4" t="s">
        <v>159</v>
      </c>
      <c r="C29" s="10">
        <v>86</v>
      </c>
      <c r="D29" s="10" t="s">
        <v>342</v>
      </c>
      <c r="E29" s="26">
        <v>1.391596E-2</v>
      </c>
      <c r="F29" s="23">
        <v>0.14299999999999999</v>
      </c>
      <c r="G29" s="19">
        <v>20</v>
      </c>
      <c r="H29" t="s">
        <v>280</v>
      </c>
      <c r="I29" s="10" t="s">
        <v>158</v>
      </c>
      <c r="N29" s="18"/>
    </row>
    <row r="30" spans="1:14" x14ac:dyDescent="0.25">
      <c r="A30" s="10" t="s">
        <v>74</v>
      </c>
      <c r="B30" s="4" t="s">
        <v>75</v>
      </c>
      <c r="C30" s="10">
        <v>319</v>
      </c>
      <c r="D30" s="10" t="s">
        <v>321</v>
      </c>
      <c r="E30" s="26">
        <v>2.9952599999999999E-2</v>
      </c>
      <c r="F30" s="23">
        <v>4.4999999999999998E-2</v>
      </c>
      <c r="G30" s="19">
        <v>99</v>
      </c>
      <c r="H30" t="s">
        <v>317</v>
      </c>
      <c r="I30" s="10" t="s">
        <v>74</v>
      </c>
      <c r="N30" s="18"/>
    </row>
    <row r="31" spans="1:14" x14ac:dyDescent="0.25">
      <c r="A31" s="10" t="s">
        <v>150</v>
      </c>
      <c r="B31" s="4" t="s">
        <v>151</v>
      </c>
      <c r="C31" s="10">
        <v>203</v>
      </c>
      <c r="D31" s="10" t="s">
        <v>242</v>
      </c>
      <c r="E31" s="26">
        <v>1.4606310000000001E-2</v>
      </c>
      <c r="F31" s="23">
        <v>4.2999999999999997E-2</v>
      </c>
      <c r="G31" s="19">
        <v>86</v>
      </c>
      <c r="H31" t="s">
        <v>287</v>
      </c>
      <c r="I31" s="10" t="s">
        <v>150</v>
      </c>
      <c r="N31" s="18"/>
    </row>
    <row r="32" spans="1:14" x14ac:dyDescent="0.25">
      <c r="A32" s="10" t="s">
        <v>105</v>
      </c>
      <c r="B32" s="4" t="s">
        <v>106</v>
      </c>
      <c r="C32" s="10">
        <v>341</v>
      </c>
      <c r="D32" s="10" t="s">
        <v>330</v>
      </c>
      <c r="E32" s="26">
        <v>3.1147670000000002E-2</v>
      </c>
      <c r="F32" s="23">
        <v>0.184</v>
      </c>
      <c r="G32" s="19">
        <v>134</v>
      </c>
      <c r="H32" t="s">
        <v>325</v>
      </c>
      <c r="I32" s="10" t="s">
        <v>105</v>
      </c>
      <c r="N32" s="18"/>
    </row>
    <row r="33" spans="1:14" x14ac:dyDescent="0.25">
      <c r="A33" s="10" t="s">
        <v>15</v>
      </c>
      <c r="B33" s="4" t="s">
        <v>16</v>
      </c>
      <c r="C33" s="10">
        <v>142</v>
      </c>
      <c r="D33" s="10" t="s">
        <v>306</v>
      </c>
      <c r="E33" s="26">
        <v>1.9175919999999999E-2</v>
      </c>
      <c r="F33" s="23">
        <v>0.09</v>
      </c>
      <c r="G33" s="19">
        <v>72</v>
      </c>
      <c r="H33" t="s">
        <v>377</v>
      </c>
      <c r="I33" s="10" t="s">
        <v>15</v>
      </c>
      <c r="N33" s="18"/>
    </row>
    <row r="34" spans="1:14" x14ac:dyDescent="0.25">
      <c r="A34" s="10" t="s">
        <v>11</v>
      </c>
      <c r="B34" s="4" t="s">
        <v>12</v>
      </c>
      <c r="C34" s="10">
        <v>222</v>
      </c>
      <c r="D34" s="10" t="s">
        <v>305</v>
      </c>
      <c r="E34" s="26">
        <v>2.3583099999999999E-2</v>
      </c>
      <c r="F34" s="23">
        <v>3.4000000000000002E-2</v>
      </c>
      <c r="G34" s="19">
        <v>90</v>
      </c>
      <c r="H34" t="s">
        <v>313</v>
      </c>
      <c r="I34" s="10" t="s">
        <v>11</v>
      </c>
      <c r="N34" s="18"/>
    </row>
    <row r="35" spans="1:14" x14ac:dyDescent="0.25">
      <c r="A35" s="10" t="s">
        <v>95</v>
      </c>
      <c r="B35" s="4" t="s">
        <v>96</v>
      </c>
      <c r="C35" s="10">
        <v>129</v>
      </c>
      <c r="D35" s="10" t="s">
        <v>328</v>
      </c>
      <c r="E35" s="26">
        <v>6.1780419999999996E-2</v>
      </c>
      <c r="F35" s="23">
        <v>5.5E-2</v>
      </c>
      <c r="G35" s="19">
        <v>48</v>
      </c>
      <c r="H35" t="s">
        <v>264</v>
      </c>
      <c r="I35" s="10" t="s">
        <v>95</v>
      </c>
      <c r="N35" s="18"/>
    </row>
    <row r="36" spans="1:14" x14ac:dyDescent="0.25">
      <c r="A36" s="10" t="s">
        <v>99</v>
      </c>
      <c r="B36" s="4" t="s">
        <v>100</v>
      </c>
      <c r="C36" s="10">
        <v>158</v>
      </c>
      <c r="D36" s="10" t="s">
        <v>318</v>
      </c>
      <c r="E36" s="26">
        <v>1.670452E-2</v>
      </c>
      <c r="F36" s="23">
        <v>0.188</v>
      </c>
      <c r="G36" s="19">
        <v>34</v>
      </c>
      <c r="H36" t="s">
        <v>683</v>
      </c>
      <c r="I36" s="10" t="s">
        <v>99</v>
      </c>
      <c r="N36" s="18"/>
    </row>
    <row r="37" spans="1:14" x14ac:dyDescent="0.25">
      <c r="A37" s="10" t="s">
        <v>113</v>
      </c>
      <c r="B37" s="4" t="s">
        <v>114</v>
      </c>
      <c r="C37" s="10">
        <v>132</v>
      </c>
      <c r="D37" s="10" t="s">
        <v>334</v>
      </c>
      <c r="E37" s="26">
        <v>3.496055E-2</v>
      </c>
      <c r="F37" s="23">
        <v>0.14299999999999999</v>
      </c>
      <c r="G37" s="19">
        <v>46</v>
      </c>
      <c r="H37" t="s">
        <v>687</v>
      </c>
      <c r="I37" s="10" t="s">
        <v>113</v>
      </c>
      <c r="N37" s="18"/>
    </row>
    <row r="38" spans="1:14" x14ac:dyDescent="0.25">
      <c r="A38" s="10" t="s">
        <v>160</v>
      </c>
      <c r="B38" s="4" t="s">
        <v>161</v>
      </c>
      <c r="C38" s="10">
        <v>19</v>
      </c>
      <c r="D38" s="10" t="s">
        <v>343</v>
      </c>
      <c r="E38" s="26">
        <v>5.5366410000000005E-2</v>
      </c>
      <c r="F38" s="23">
        <v>0.125</v>
      </c>
      <c r="G38" s="19">
        <v>10</v>
      </c>
      <c r="H38" t="s">
        <v>693</v>
      </c>
      <c r="I38" s="10" t="s">
        <v>160</v>
      </c>
      <c r="N38" s="18"/>
    </row>
    <row r="39" spans="1:14" x14ac:dyDescent="0.25">
      <c r="A39" s="19" t="s">
        <v>178</v>
      </c>
      <c r="B39" s="4" t="s">
        <v>179</v>
      </c>
      <c r="C39" s="19">
        <v>21</v>
      </c>
      <c r="D39" s="10" t="s">
        <v>350</v>
      </c>
      <c r="E39" s="26">
        <v>0.10864699999999999</v>
      </c>
      <c r="F39" s="23">
        <v>0.42099999999999999</v>
      </c>
      <c r="G39" s="19" t="s">
        <v>771</v>
      </c>
      <c r="H39" t="s">
        <v>772</v>
      </c>
      <c r="I39" s="19" t="s">
        <v>178</v>
      </c>
      <c r="N39" s="18"/>
    </row>
    <row r="40" spans="1:14" x14ac:dyDescent="0.25">
      <c r="A40" s="10" t="s">
        <v>162</v>
      </c>
      <c r="B40" s="4" t="s">
        <v>163</v>
      </c>
      <c r="C40" s="10">
        <v>30</v>
      </c>
      <c r="D40" s="10" t="s">
        <v>276</v>
      </c>
      <c r="E40" s="26">
        <v>0</v>
      </c>
      <c r="F40" s="23">
        <v>7.3999999999999996E-2</v>
      </c>
      <c r="G40" s="19" t="s">
        <v>771</v>
      </c>
      <c r="H40" t="s">
        <v>772</v>
      </c>
      <c r="I40" s="10" t="s">
        <v>162</v>
      </c>
      <c r="N40" s="18"/>
    </row>
    <row r="41" spans="1:14" x14ac:dyDescent="0.25">
      <c r="A41" s="19" t="s">
        <v>176</v>
      </c>
      <c r="B41" s="4" t="s">
        <v>177</v>
      </c>
      <c r="C41" s="19">
        <v>258</v>
      </c>
      <c r="D41" s="10" t="s">
        <v>349</v>
      </c>
      <c r="E41" s="26">
        <v>1.9301159999999998E-2</v>
      </c>
      <c r="F41" s="23">
        <v>0.113</v>
      </c>
      <c r="G41" s="19">
        <v>91</v>
      </c>
      <c r="H41" t="s">
        <v>574</v>
      </c>
      <c r="I41" s="19" t="s">
        <v>176</v>
      </c>
      <c r="N41" s="18"/>
    </row>
    <row r="42" spans="1:14" x14ac:dyDescent="0.25">
      <c r="A42" s="10" t="s">
        <v>170</v>
      </c>
      <c r="B42" s="4" t="s">
        <v>171</v>
      </c>
      <c r="C42" s="10">
        <v>152</v>
      </c>
      <c r="D42" s="10" t="s">
        <v>220</v>
      </c>
      <c r="E42" s="26">
        <v>2.567351E-2</v>
      </c>
      <c r="F42" s="23">
        <v>6.2E-2</v>
      </c>
      <c r="G42" s="19">
        <v>66</v>
      </c>
      <c r="H42" t="s">
        <v>574</v>
      </c>
      <c r="I42" s="10" t="s">
        <v>170</v>
      </c>
      <c r="N42" s="18"/>
    </row>
    <row r="43" spans="1:14" x14ac:dyDescent="0.25">
      <c r="A43" s="10" t="s">
        <v>164</v>
      </c>
      <c r="B43" s="4" t="s">
        <v>165</v>
      </c>
      <c r="C43" s="10">
        <v>118</v>
      </c>
      <c r="D43" s="10" t="s">
        <v>344</v>
      </c>
      <c r="E43" s="26">
        <v>1.7371959999999999E-2</v>
      </c>
      <c r="F43" s="23">
        <v>0.24299999999999999</v>
      </c>
      <c r="G43" s="19">
        <v>48</v>
      </c>
      <c r="H43" t="s">
        <v>266</v>
      </c>
      <c r="I43" s="10" t="s">
        <v>164</v>
      </c>
      <c r="N43" s="18"/>
    </row>
    <row r="44" spans="1:14" x14ac:dyDescent="0.25">
      <c r="A44" s="10" t="s">
        <v>166</v>
      </c>
      <c r="B44" s="4" t="s">
        <v>167</v>
      </c>
      <c r="C44" s="10">
        <v>163</v>
      </c>
      <c r="D44" s="10" t="s">
        <v>345</v>
      </c>
      <c r="E44" s="26">
        <v>2.0743399999999999E-2</v>
      </c>
      <c r="F44" s="23">
        <v>0.109</v>
      </c>
      <c r="G44" s="19">
        <v>62</v>
      </c>
      <c r="H44" t="s">
        <v>377</v>
      </c>
      <c r="I44" s="10" t="s">
        <v>166</v>
      </c>
      <c r="N44" s="18"/>
    </row>
    <row r="45" spans="1:14" x14ac:dyDescent="0.25">
      <c r="A45" s="10" t="s">
        <v>168</v>
      </c>
      <c r="B45" s="4" t="s">
        <v>169</v>
      </c>
      <c r="C45" s="10">
        <v>30</v>
      </c>
      <c r="D45" s="10" t="s">
        <v>346</v>
      </c>
      <c r="E45" s="26">
        <v>0.11588369999999999</v>
      </c>
      <c r="F45" s="23">
        <v>0.34599999999999997</v>
      </c>
      <c r="G45" s="19" t="s">
        <v>771</v>
      </c>
      <c r="H45" t="s">
        <v>772</v>
      </c>
      <c r="I45" s="10" t="s">
        <v>168</v>
      </c>
      <c r="N45" s="18"/>
    </row>
    <row r="46" spans="1:14" x14ac:dyDescent="0.25">
      <c r="A46" s="10" t="s">
        <v>172</v>
      </c>
      <c r="B46" s="4" t="s">
        <v>173</v>
      </c>
      <c r="C46" s="10">
        <v>54</v>
      </c>
      <c r="D46" s="10" t="s">
        <v>347</v>
      </c>
      <c r="E46" s="26">
        <v>3.2631679999999996E-2</v>
      </c>
      <c r="F46" s="23">
        <v>0.13600000000000001</v>
      </c>
      <c r="G46" s="19">
        <v>26</v>
      </c>
      <c r="H46" t="s">
        <v>574</v>
      </c>
      <c r="I46" s="10" t="s">
        <v>172</v>
      </c>
      <c r="N46" s="18"/>
    </row>
    <row r="47" spans="1:14" x14ac:dyDescent="0.25">
      <c r="A47" s="10" t="s">
        <v>174</v>
      </c>
      <c r="B47" s="4" t="s">
        <v>175</v>
      </c>
      <c r="C47" s="10">
        <v>161</v>
      </c>
      <c r="D47" s="10" t="s">
        <v>348</v>
      </c>
      <c r="E47" s="26">
        <v>9.4070079999999997E-3</v>
      </c>
      <c r="F47" s="23">
        <v>0.113</v>
      </c>
      <c r="G47" s="19">
        <v>87</v>
      </c>
      <c r="H47" t="s">
        <v>694</v>
      </c>
      <c r="I47" s="10" t="s">
        <v>174</v>
      </c>
      <c r="N47" s="18"/>
    </row>
    <row r="48" spans="1:14" x14ac:dyDescent="0.25">
      <c r="A48" s="10" t="s">
        <v>83</v>
      </c>
      <c r="B48" s="4" t="s">
        <v>84</v>
      </c>
      <c r="C48" s="10">
        <v>112</v>
      </c>
      <c r="D48" s="10" t="s">
        <v>324</v>
      </c>
      <c r="E48" s="26">
        <v>1.023579E-2</v>
      </c>
      <c r="F48" s="23">
        <v>0.10199999999999999</v>
      </c>
      <c r="G48" s="19">
        <v>55</v>
      </c>
      <c r="H48" t="s">
        <v>388</v>
      </c>
      <c r="I48" s="10" t="s">
        <v>83</v>
      </c>
      <c r="N48" s="18"/>
    </row>
    <row r="49" spans="1:14" x14ac:dyDescent="0.25">
      <c r="A49" s="10" t="s">
        <v>124</v>
      </c>
      <c r="B49" s="4" t="s">
        <v>125</v>
      </c>
      <c r="C49" s="10">
        <v>654</v>
      </c>
      <c r="D49" s="10" t="s">
        <v>317</v>
      </c>
      <c r="E49" s="26">
        <v>1.7949239999999998E-2</v>
      </c>
      <c r="F49" s="23">
        <v>0.14699999999999999</v>
      </c>
      <c r="G49" s="19">
        <v>197</v>
      </c>
      <c r="H49" t="s">
        <v>552</v>
      </c>
      <c r="I49" s="10" t="s">
        <v>124</v>
      </c>
      <c r="N49" s="18"/>
    </row>
    <row r="50" spans="1:14" x14ac:dyDescent="0.25">
      <c r="A50" s="10" t="s">
        <v>89</v>
      </c>
      <c r="B50" s="4" t="s">
        <v>90</v>
      </c>
      <c r="C50" s="10">
        <v>209</v>
      </c>
      <c r="D50" s="10" t="s">
        <v>263</v>
      </c>
      <c r="E50" s="26">
        <v>4.6184929999999999E-2</v>
      </c>
      <c r="F50" s="23">
        <v>0.20100000000000001</v>
      </c>
      <c r="G50" s="19">
        <v>74</v>
      </c>
      <c r="H50" t="s">
        <v>287</v>
      </c>
      <c r="I50" s="10" t="s">
        <v>89</v>
      </c>
      <c r="N50" s="18"/>
    </row>
    <row r="51" spans="1:14" x14ac:dyDescent="0.25">
      <c r="A51" s="10" t="s">
        <v>91</v>
      </c>
      <c r="B51" s="4" t="s">
        <v>92</v>
      </c>
      <c r="C51" s="10">
        <v>169</v>
      </c>
      <c r="D51" s="10" t="s">
        <v>326</v>
      </c>
      <c r="E51" s="26">
        <v>4.6878859999999994E-2</v>
      </c>
      <c r="F51" s="23">
        <v>6.5000000000000002E-2</v>
      </c>
      <c r="G51" s="19">
        <v>71</v>
      </c>
      <c r="H51" t="s">
        <v>379</v>
      </c>
      <c r="I51" s="10" t="s">
        <v>91</v>
      </c>
      <c r="N51" s="18"/>
    </row>
    <row r="52" spans="1:14" x14ac:dyDescent="0.25">
      <c r="A52" s="10" t="s">
        <v>31</v>
      </c>
      <c r="B52" s="4" t="s">
        <v>32</v>
      </c>
      <c r="C52" s="10">
        <v>32</v>
      </c>
      <c r="D52" s="10" t="s">
        <v>269</v>
      </c>
      <c r="E52" s="26">
        <v>8.804453000000001E-2</v>
      </c>
      <c r="F52" s="23">
        <v>0.2</v>
      </c>
      <c r="G52" s="19">
        <v>13</v>
      </c>
      <c r="H52" t="s">
        <v>369</v>
      </c>
      <c r="I52" s="10" t="s">
        <v>31</v>
      </c>
      <c r="N52" s="18"/>
    </row>
    <row r="53" spans="1:14" x14ac:dyDescent="0.25">
      <c r="A53" s="10" t="s">
        <v>144</v>
      </c>
      <c r="B53" s="4" t="s">
        <v>145</v>
      </c>
      <c r="C53" s="10">
        <v>314</v>
      </c>
      <c r="D53" s="10" t="s">
        <v>339</v>
      </c>
      <c r="E53" s="26">
        <v>3.8210069999999999E-2</v>
      </c>
      <c r="F53" s="23">
        <v>0.154</v>
      </c>
      <c r="G53" s="19">
        <v>62</v>
      </c>
      <c r="H53" t="s">
        <v>691</v>
      </c>
      <c r="I53" s="10" t="s">
        <v>144</v>
      </c>
      <c r="N53" s="18"/>
    </row>
    <row r="54" spans="1:14" x14ac:dyDescent="0.25">
      <c r="A54" s="10" t="s">
        <v>118</v>
      </c>
      <c r="B54" s="4" t="s">
        <v>119</v>
      </c>
      <c r="C54" s="10">
        <v>123</v>
      </c>
      <c r="D54" s="10" t="s">
        <v>284</v>
      </c>
      <c r="E54" s="26">
        <v>3.7578230000000004E-2</v>
      </c>
      <c r="F54" s="23">
        <v>4.8000000000000001E-2</v>
      </c>
      <c r="G54" s="19">
        <v>32</v>
      </c>
      <c r="H54" t="s">
        <v>264</v>
      </c>
      <c r="I54" s="10" t="s">
        <v>118</v>
      </c>
      <c r="N54" s="18"/>
    </row>
    <row r="55" spans="1:14" x14ac:dyDescent="0.25">
      <c r="A55" s="10" t="s">
        <v>128</v>
      </c>
      <c r="B55" s="4" t="s">
        <v>129</v>
      </c>
      <c r="C55" s="10">
        <v>603</v>
      </c>
      <c r="D55" s="10" t="s">
        <v>335</v>
      </c>
      <c r="E55" s="26">
        <v>1.481679E-2</v>
      </c>
      <c r="F55" s="23">
        <v>8.7999999999999995E-2</v>
      </c>
      <c r="G55" s="19">
        <v>176</v>
      </c>
      <c r="H55" t="s">
        <v>269</v>
      </c>
      <c r="I55" s="10" t="s">
        <v>128</v>
      </c>
      <c r="N55" s="18"/>
    </row>
    <row r="56" spans="1:14" x14ac:dyDescent="0.25">
      <c r="A56" s="10" t="s">
        <v>101</v>
      </c>
      <c r="B56" s="4" t="s">
        <v>102</v>
      </c>
      <c r="C56" s="10">
        <v>77</v>
      </c>
      <c r="D56" s="10" t="s">
        <v>327</v>
      </c>
      <c r="E56" s="26">
        <v>9.6085770000000001E-2</v>
      </c>
      <c r="F56" s="23">
        <v>0.183</v>
      </c>
      <c r="G56" s="19">
        <v>17</v>
      </c>
      <c r="H56" t="s">
        <v>366</v>
      </c>
      <c r="I56" s="10" t="s">
        <v>101</v>
      </c>
      <c r="N56" s="18"/>
    </row>
    <row r="57" spans="1:14" x14ac:dyDescent="0.25">
      <c r="A57" s="10" t="s">
        <v>42</v>
      </c>
      <c r="B57" s="4" t="s">
        <v>43</v>
      </c>
      <c r="C57" s="10">
        <v>206</v>
      </c>
      <c r="D57" s="10" t="s">
        <v>313</v>
      </c>
      <c r="E57" s="26">
        <v>2.3511199999999999E-2</v>
      </c>
      <c r="F57" s="23">
        <v>0.10199999999999999</v>
      </c>
      <c r="G57" s="19">
        <v>75</v>
      </c>
      <c r="H57" t="s">
        <v>379</v>
      </c>
      <c r="I57" s="10" t="s">
        <v>42</v>
      </c>
      <c r="N57" s="18"/>
    </row>
    <row r="58" spans="1:14" x14ac:dyDescent="0.25">
      <c r="A58" s="10" t="s">
        <v>111</v>
      </c>
      <c r="B58" s="4" t="s">
        <v>112</v>
      </c>
      <c r="C58" s="10">
        <v>9</v>
      </c>
      <c r="D58" s="10" t="s">
        <v>333</v>
      </c>
      <c r="E58" s="26">
        <v>0</v>
      </c>
      <c r="F58" s="23" t="s">
        <v>712</v>
      </c>
      <c r="G58" s="19" t="s">
        <v>771</v>
      </c>
      <c r="H58" t="s">
        <v>772</v>
      </c>
      <c r="I58" s="10" t="s">
        <v>111</v>
      </c>
      <c r="N58" s="18"/>
    </row>
    <row r="59" spans="1:14" x14ac:dyDescent="0.25">
      <c r="A59" s="10" t="s">
        <v>44</v>
      </c>
      <c r="B59" s="4" t="s">
        <v>45</v>
      </c>
      <c r="C59" s="10">
        <v>197</v>
      </c>
      <c r="D59" s="10" t="s">
        <v>263</v>
      </c>
      <c r="E59" s="26">
        <v>2.5935640000000003E-2</v>
      </c>
      <c r="F59" s="23">
        <v>0.17599999999999999</v>
      </c>
      <c r="G59" s="19">
        <v>62</v>
      </c>
      <c r="H59" t="s">
        <v>268</v>
      </c>
      <c r="I59" s="10" t="s">
        <v>44</v>
      </c>
      <c r="N59" s="18"/>
    </row>
    <row r="60" spans="1:14" x14ac:dyDescent="0.25">
      <c r="A60" s="10" t="s">
        <v>56</v>
      </c>
      <c r="B60" s="4" t="s">
        <v>57</v>
      </c>
      <c r="C60" s="10">
        <v>190</v>
      </c>
      <c r="D60" s="10" t="s">
        <v>316</v>
      </c>
      <c r="E60" s="26">
        <v>1.2619409999999999E-2</v>
      </c>
      <c r="F60" s="23">
        <v>0.153</v>
      </c>
      <c r="G60" s="19">
        <v>74</v>
      </c>
      <c r="H60" t="s">
        <v>387</v>
      </c>
      <c r="I60" s="10" t="s">
        <v>56</v>
      </c>
      <c r="N60" s="18"/>
    </row>
    <row r="61" spans="1:14" x14ac:dyDescent="0.25">
      <c r="A61" s="10" t="s">
        <v>23</v>
      </c>
      <c r="B61" s="4" t="s">
        <v>24</v>
      </c>
      <c r="C61" s="10">
        <v>149</v>
      </c>
      <c r="D61" s="10" t="s">
        <v>310</v>
      </c>
      <c r="E61" s="26">
        <v>3.2831680000000002E-2</v>
      </c>
      <c r="F61" s="23">
        <v>0.128</v>
      </c>
      <c r="G61" s="19">
        <v>55</v>
      </c>
      <c r="H61" t="s">
        <v>679</v>
      </c>
      <c r="I61" s="10" t="s">
        <v>23</v>
      </c>
      <c r="N61" s="18"/>
    </row>
    <row r="62" spans="1:14" x14ac:dyDescent="0.25">
      <c r="A62" s="10" t="s">
        <v>97</v>
      </c>
      <c r="B62" s="4" t="s">
        <v>98</v>
      </c>
      <c r="C62" s="10">
        <v>459</v>
      </c>
      <c r="D62" s="10" t="s">
        <v>520</v>
      </c>
      <c r="E62" s="26">
        <v>2.9245630000000002E-2</v>
      </c>
      <c r="F62" s="23">
        <v>6.4000000000000001E-2</v>
      </c>
      <c r="G62" s="19">
        <v>154</v>
      </c>
      <c r="H62" t="s">
        <v>572</v>
      </c>
      <c r="I62" s="10" t="s">
        <v>97</v>
      </c>
      <c r="N62" s="18"/>
    </row>
    <row r="63" spans="1:14" x14ac:dyDescent="0.25">
      <c r="A63" s="10" t="s">
        <v>60</v>
      </c>
      <c r="B63" s="4" t="s">
        <v>61</v>
      </c>
      <c r="C63" s="10">
        <v>165</v>
      </c>
      <c r="D63" s="10" t="s">
        <v>318</v>
      </c>
      <c r="E63" s="26">
        <v>2.487549E-2</v>
      </c>
      <c r="F63" s="23">
        <v>9.2999999999999999E-2</v>
      </c>
      <c r="G63" s="19">
        <v>60</v>
      </c>
      <c r="H63" t="s">
        <v>683</v>
      </c>
      <c r="I63" s="10" t="s">
        <v>60</v>
      </c>
      <c r="N63" s="18"/>
    </row>
    <row r="64" spans="1:14" x14ac:dyDescent="0.25">
      <c r="A64" s="10" t="s">
        <v>156</v>
      </c>
      <c r="B64" s="4" t="s">
        <v>157</v>
      </c>
      <c r="C64" s="10">
        <v>236</v>
      </c>
      <c r="D64" s="10" t="s">
        <v>341</v>
      </c>
      <c r="E64" s="26">
        <v>3.3677079999999998E-2</v>
      </c>
      <c r="F64" s="23">
        <v>0.10199999999999999</v>
      </c>
      <c r="G64" s="19">
        <v>66</v>
      </c>
      <c r="H64" t="s">
        <v>387</v>
      </c>
      <c r="I64" s="10" t="s">
        <v>156</v>
      </c>
      <c r="N64" s="18"/>
    </row>
    <row r="65" spans="1:14" x14ac:dyDescent="0.25">
      <c r="A65" s="10" t="s">
        <v>122</v>
      </c>
      <c r="B65" s="4" t="s">
        <v>123</v>
      </c>
      <c r="C65" s="10">
        <v>176</v>
      </c>
      <c r="D65" s="10" t="s">
        <v>326</v>
      </c>
      <c r="E65" s="26">
        <v>1.8531889999999999E-2</v>
      </c>
      <c r="F65" s="23">
        <v>0.13</v>
      </c>
      <c r="G65" s="19">
        <v>71</v>
      </c>
      <c r="H65" t="s">
        <v>688</v>
      </c>
      <c r="I65" s="10" t="s">
        <v>122</v>
      </c>
      <c r="N65" s="18"/>
    </row>
    <row r="66" spans="1:14" x14ac:dyDescent="0.25">
      <c r="A66" s="10" t="s">
        <v>21</v>
      </c>
      <c r="B66" s="4" t="s">
        <v>22</v>
      </c>
      <c r="C66" s="10">
        <v>179</v>
      </c>
      <c r="D66" s="10" t="s">
        <v>309</v>
      </c>
      <c r="E66" s="26">
        <v>2.1235669999999998E-2</v>
      </c>
      <c r="F66" s="23">
        <v>0.125</v>
      </c>
      <c r="G66" s="19">
        <v>63</v>
      </c>
      <c r="H66" t="s">
        <v>678</v>
      </c>
      <c r="I66" s="10" t="s">
        <v>21</v>
      </c>
      <c r="N66" s="18"/>
    </row>
    <row r="67" spans="1:14" x14ac:dyDescent="0.25">
      <c r="A67" s="10" t="s">
        <v>68</v>
      </c>
      <c r="B67" s="4" t="s">
        <v>69</v>
      </c>
      <c r="C67" s="10">
        <v>193</v>
      </c>
      <c r="D67" s="10" t="s">
        <v>320</v>
      </c>
      <c r="E67" s="26">
        <v>2.2380029999999999E-2</v>
      </c>
      <c r="F67" s="23">
        <v>0.126</v>
      </c>
      <c r="G67" s="19">
        <v>51</v>
      </c>
      <c r="H67" t="s">
        <v>663</v>
      </c>
      <c r="I67" s="10" t="s">
        <v>68</v>
      </c>
      <c r="N67" s="18"/>
    </row>
    <row r="68" spans="1:14" x14ac:dyDescent="0.25">
      <c r="A68" s="10" t="s">
        <v>4</v>
      </c>
      <c r="B68" s="4" t="s">
        <v>214</v>
      </c>
      <c r="C68" s="10">
        <v>349</v>
      </c>
      <c r="D68" s="10" t="s">
        <v>302</v>
      </c>
      <c r="E68" s="26">
        <v>2.762935E-2</v>
      </c>
      <c r="F68" s="23">
        <v>0.14299999999999999</v>
      </c>
      <c r="G68" s="19">
        <v>183</v>
      </c>
      <c r="H68" t="s">
        <v>673</v>
      </c>
      <c r="I68" s="10" t="s">
        <v>4</v>
      </c>
      <c r="N68" s="18"/>
    </row>
    <row r="69" spans="1:14" x14ac:dyDescent="0.25">
      <c r="A69" s="10" t="s">
        <v>25</v>
      </c>
      <c r="B69" s="4" t="s">
        <v>26</v>
      </c>
      <c r="C69" s="10">
        <v>449</v>
      </c>
      <c r="D69" s="10" t="s">
        <v>284</v>
      </c>
      <c r="E69" s="26">
        <v>1.1543190000000002E-2</v>
      </c>
      <c r="F69" s="23">
        <v>0.11600000000000001</v>
      </c>
      <c r="G69" s="19">
        <v>113</v>
      </c>
      <c r="H69" t="s">
        <v>574</v>
      </c>
      <c r="I69" s="10" t="s">
        <v>25</v>
      </c>
      <c r="N69" s="18"/>
    </row>
    <row r="70" spans="1:14" x14ac:dyDescent="0.25">
      <c r="A70" s="10" t="s">
        <v>87</v>
      </c>
      <c r="B70" s="4" t="s">
        <v>88</v>
      </c>
      <c r="C70" s="10">
        <v>584</v>
      </c>
      <c r="D70" s="10" t="s">
        <v>325</v>
      </c>
      <c r="E70" s="26">
        <v>2.2116920000000002E-2</v>
      </c>
      <c r="F70" s="23">
        <v>0.108</v>
      </c>
      <c r="G70" s="19">
        <v>223</v>
      </c>
      <c r="H70" t="s">
        <v>574</v>
      </c>
      <c r="I70" s="10" t="s">
        <v>87</v>
      </c>
      <c r="N70" s="18"/>
    </row>
    <row r="71" spans="1:14" x14ac:dyDescent="0.25">
      <c r="A71" s="10" t="s">
        <v>17</v>
      </c>
      <c r="B71" s="4" t="s">
        <v>18</v>
      </c>
      <c r="C71" s="10">
        <v>77</v>
      </c>
      <c r="D71" s="10" t="s">
        <v>260</v>
      </c>
      <c r="E71" s="26">
        <v>0</v>
      </c>
      <c r="F71" s="23">
        <v>0.182</v>
      </c>
      <c r="G71" s="19">
        <v>17</v>
      </c>
      <c r="H71" t="s">
        <v>676</v>
      </c>
      <c r="I71" s="10" t="s">
        <v>17</v>
      </c>
      <c r="N71" s="18"/>
    </row>
    <row r="72" spans="1:14" x14ac:dyDescent="0.25">
      <c r="A72" s="10" t="s">
        <v>132</v>
      </c>
      <c r="B72" s="4" t="s">
        <v>133</v>
      </c>
      <c r="C72" s="10">
        <v>174</v>
      </c>
      <c r="D72" s="10" t="s">
        <v>337</v>
      </c>
      <c r="E72" s="26">
        <v>2.0801310000000003E-2</v>
      </c>
      <c r="F72" s="23">
        <v>9.8000000000000004E-2</v>
      </c>
      <c r="G72" s="19">
        <v>69</v>
      </c>
      <c r="H72" t="s">
        <v>499</v>
      </c>
      <c r="I72" s="10" t="s">
        <v>132</v>
      </c>
      <c r="N72" s="18"/>
    </row>
    <row r="73" spans="1:14" x14ac:dyDescent="0.25">
      <c r="A73" s="10" t="s">
        <v>109</v>
      </c>
      <c r="B73" s="4" t="s">
        <v>110</v>
      </c>
      <c r="C73" s="10">
        <v>9</v>
      </c>
      <c r="D73" s="10" t="s">
        <v>332</v>
      </c>
      <c r="E73" s="26">
        <v>0</v>
      </c>
      <c r="F73" s="23">
        <v>0.125</v>
      </c>
      <c r="G73" s="19" t="s">
        <v>771</v>
      </c>
      <c r="H73" t="s">
        <v>772</v>
      </c>
      <c r="I73" s="10" t="s">
        <v>109</v>
      </c>
      <c r="N73" s="18"/>
    </row>
    <row r="74" spans="1:14" x14ac:dyDescent="0.25">
      <c r="A74" s="10" t="s">
        <v>70</v>
      </c>
      <c r="B74" s="4" t="s">
        <v>71</v>
      </c>
      <c r="C74" s="10">
        <v>367</v>
      </c>
      <c r="D74" s="10" t="s">
        <v>313</v>
      </c>
      <c r="E74" s="26">
        <v>5.0015560000000001E-2</v>
      </c>
      <c r="F74" s="23">
        <v>0.19600000000000001</v>
      </c>
      <c r="G74" s="19">
        <v>85</v>
      </c>
      <c r="H74" t="s">
        <v>684</v>
      </c>
      <c r="I74" s="10" t="s">
        <v>70</v>
      </c>
      <c r="N74" s="18"/>
    </row>
    <row r="75" spans="1:14" x14ac:dyDescent="0.25">
      <c r="A75" s="10" t="s">
        <v>58</v>
      </c>
      <c r="B75" s="4" t="s">
        <v>59</v>
      </c>
      <c r="C75" s="10">
        <v>341</v>
      </c>
      <c r="D75" s="10" t="s">
        <v>317</v>
      </c>
      <c r="E75" s="26">
        <v>2.0833539999999998E-2</v>
      </c>
      <c r="F75" s="23">
        <v>0.04</v>
      </c>
      <c r="G75" s="19">
        <v>63</v>
      </c>
      <c r="H75" t="s">
        <v>513</v>
      </c>
      <c r="I75" s="10" t="s">
        <v>58</v>
      </c>
      <c r="N75" s="18"/>
    </row>
    <row r="76" spans="1:14" x14ac:dyDescent="0.25">
      <c r="A76" s="10" t="s">
        <v>107</v>
      </c>
      <c r="B76" s="4" t="s">
        <v>108</v>
      </c>
      <c r="C76" s="10">
        <v>625</v>
      </c>
      <c r="D76" s="10" t="s">
        <v>331</v>
      </c>
      <c r="E76" s="26">
        <v>2.7068289999999998E-2</v>
      </c>
      <c r="F76" s="23">
        <v>0.123</v>
      </c>
      <c r="G76" s="19">
        <v>256</v>
      </c>
      <c r="H76" t="s">
        <v>513</v>
      </c>
      <c r="I76" s="10" t="s">
        <v>107</v>
      </c>
      <c r="N76" s="18"/>
    </row>
    <row r="77" spans="1:14" x14ac:dyDescent="0.25">
      <c r="A77" s="10" t="s">
        <v>77</v>
      </c>
      <c r="B77" s="4" t="s">
        <v>78</v>
      </c>
      <c r="C77" s="10">
        <v>198</v>
      </c>
      <c r="D77" s="10" t="s">
        <v>320</v>
      </c>
      <c r="E77" s="26">
        <v>8.2922399999999993E-3</v>
      </c>
      <c r="F77" s="23">
        <v>0.111</v>
      </c>
      <c r="G77" s="19">
        <v>89</v>
      </c>
      <c r="H77" t="s">
        <v>289</v>
      </c>
      <c r="I77" s="10" t="s">
        <v>77</v>
      </c>
      <c r="N77" s="18"/>
    </row>
    <row r="78" spans="1:14" x14ac:dyDescent="0.25">
      <c r="A78" s="10" t="s">
        <v>117</v>
      </c>
      <c r="B78" s="1" t="s">
        <v>773</v>
      </c>
      <c r="C78" s="10">
        <v>276</v>
      </c>
      <c r="D78" s="10" t="s">
        <v>303</v>
      </c>
      <c r="E78" s="26">
        <v>3.8606420000000002E-2</v>
      </c>
      <c r="F78" s="23">
        <v>0.11700000000000001</v>
      </c>
      <c r="G78" s="19">
        <v>71</v>
      </c>
      <c r="H78" t="s">
        <v>663</v>
      </c>
      <c r="I78" s="10" t="s">
        <v>117</v>
      </c>
      <c r="N78" s="18"/>
    </row>
    <row r="79" spans="1:14" x14ac:dyDescent="0.25">
      <c r="A79" s="10" t="s">
        <v>134</v>
      </c>
      <c r="B79" s="4" t="s">
        <v>135</v>
      </c>
      <c r="C79" s="10">
        <v>262</v>
      </c>
      <c r="D79" s="10" t="s">
        <v>338</v>
      </c>
      <c r="E79" s="26">
        <v>7.1074119999999996E-3</v>
      </c>
      <c r="F79" s="23">
        <v>9.0999999999999998E-2</v>
      </c>
      <c r="G79" s="19">
        <v>103</v>
      </c>
      <c r="H79" t="s">
        <v>262</v>
      </c>
      <c r="I79" s="10" t="s">
        <v>134</v>
      </c>
      <c r="N79" s="18"/>
    </row>
    <row r="80" spans="1:14" x14ac:dyDescent="0.25">
      <c r="A80" s="10" t="s">
        <v>76</v>
      </c>
      <c r="B80" s="4" t="s">
        <v>215</v>
      </c>
      <c r="C80" s="10">
        <v>169</v>
      </c>
      <c r="D80" s="10" t="s">
        <v>322</v>
      </c>
      <c r="E80" s="26">
        <v>6.5144340000000004E-3</v>
      </c>
      <c r="F80" s="23">
        <v>0.158</v>
      </c>
      <c r="G80" s="19">
        <v>56</v>
      </c>
      <c r="H80" t="s">
        <v>685</v>
      </c>
      <c r="I80" s="10" t="s">
        <v>76</v>
      </c>
      <c r="N80" s="18"/>
    </row>
    <row r="81" spans="1:14" x14ac:dyDescent="0.25">
      <c r="A81" s="10" t="s">
        <v>136</v>
      </c>
      <c r="B81" s="4" t="s">
        <v>137</v>
      </c>
      <c r="C81" s="10">
        <v>56</v>
      </c>
      <c r="D81" s="10" t="s">
        <v>521</v>
      </c>
      <c r="E81" s="26">
        <v>1.8321110000000002E-2</v>
      </c>
      <c r="F81" s="23">
        <v>0.10199999999999999</v>
      </c>
      <c r="G81" s="19">
        <v>17</v>
      </c>
      <c r="H81" t="s">
        <v>689</v>
      </c>
      <c r="I81" s="10" t="s">
        <v>136</v>
      </c>
      <c r="N81" s="18"/>
    </row>
    <row r="82" spans="1:14" x14ac:dyDescent="0.25">
      <c r="A82" s="10" t="s">
        <v>140</v>
      </c>
      <c r="B82" s="4" t="s">
        <v>141</v>
      </c>
      <c r="C82" s="10">
        <v>330</v>
      </c>
      <c r="D82" s="10" t="s">
        <v>263</v>
      </c>
      <c r="E82" s="26">
        <v>3.5672559999999999E-2</v>
      </c>
      <c r="F82" s="23">
        <v>0.113</v>
      </c>
      <c r="G82" s="19">
        <v>58</v>
      </c>
      <c r="H82" t="s">
        <v>376</v>
      </c>
      <c r="I82" s="10" t="s">
        <v>140</v>
      </c>
      <c r="N82" s="18"/>
    </row>
    <row r="83" spans="1:14" x14ac:dyDescent="0.25">
      <c r="A83" s="10" t="s">
        <v>35</v>
      </c>
      <c r="B83" s="4" t="s">
        <v>36</v>
      </c>
      <c r="C83" s="10">
        <v>409</v>
      </c>
      <c r="D83" s="10" t="s">
        <v>304</v>
      </c>
      <c r="E83" s="26">
        <v>3.5901509999999998E-2</v>
      </c>
      <c r="F83" s="23">
        <v>0.14099999999999999</v>
      </c>
      <c r="G83" s="19">
        <v>197</v>
      </c>
      <c r="H83" t="s">
        <v>387</v>
      </c>
      <c r="I83" s="10" t="s">
        <v>35</v>
      </c>
      <c r="N83" s="18"/>
    </row>
    <row r="84" spans="1:14" x14ac:dyDescent="0.25">
      <c r="N84" s="18"/>
    </row>
    <row r="85" spans="1:14" x14ac:dyDescent="0.25">
      <c r="N85" s="18"/>
    </row>
    <row r="86" spans="1:14" x14ac:dyDescent="0.25">
      <c r="N86" s="18"/>
    </row>
  </sheetData>
  <sortState ref="A2:I83">
    <sortCondition ref="B2"/>
  </sortState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workbookViewId="0">
      <selection activeCell="C72" sqref="C72"/>
    </sheetView>
  </sheetViews>
  <sheetFormatPr defaultRowHeight="15" x14ac:dyDescent="0.25"/>
  <cols>
    <col min="1" max="1" width="15.28515625" bestFit="1" customWidth="1"/>
    <col min="2" max="2" width="11" bestFit="1" customWidth="1"/>
    <col min="3" max="4" width="8.5703125" bestFit="1" customWidth="1"/>
    <col min="6" max="6" width="9.140625" style="23"/>
  </cols>
  <sheetData>
    <row r="1" spans="1:5" x14ac:dyDescent="0.25">
      <c r="A1" t="s">
        <v>841</v>
      </c>
      <c r="B1" t="s">
        <v>842</v>
      </c>
      <c r="C1" t="s">
        <v>844</v>
      </c>
      <c r="D1" t="s">
        <v>845</v>
      </c>
      <c r="E1" t="s">
        <v>1150</v>
      </c>
    </row>
    <row r="2" spans="1:5" x14ac:dyDescent="0.25">
      <c r="A2" t="s">
        <v>1113</v>
      </c>
      <c r="B2" s="22">
        <v>0</v>
      </c>
      <c r="C2" s="23">
        <v>0.6</v>
      </c>
      <c r="D2" s="23">
        <v>4.8000000000000001E-2</v>
      </c>
      <c r="E2" s="69">
        <v>0</v>
      </c>
    </row>
    <row r="3" spans="1:5" x14ac:dyDescent="0.25">
      <c r="A3" t="s">
        <v>1113</v>
      </c>
      <c r="B3" s="22">
        <v>6</v>
      </c>
      <c r="C3" s="23">
        <v>0.58610744476318355</v>
      </c>
      <c r="D3" s="23">
        <v>4.8000000000000001E-2</v>
      </c>
      <c r="E3" s="69">
        <v>0</v>
      </c>
    </row>
    <row r="4" spans="1:5" x14ac:dyDescent="0.25">
      <c r="A4" t="s">
        <v>1113</v>
      </c>
      <c r="B4" s="22">
        <v>9</v>
      </c>
      <c r="C4" s="23">
        <v>0.43729064941406248</v>
      </c>
      <c r="D4" s="23">
        <v>4.8000000000000001E-2</v>
      </c>
      <c r="E4" s="69">
        <v>0</v>
      </c>
    </row>
    <row r="5" spans="1:5" x14ac:dyDescent="0.25">
      <c r="A5" t="s">
        <v>1113</v>
      </c>
      <c r="B5" s="22">
        <v>13</v>
      </c>
      <c r="C5" s="23">
        <v>0.36069854736328127</v>
      </c>
      <c r="D5" s="23">
        <v>4.8000000000000001E-2</v>
      </c>
      <c r="E5" s="69">
        <v>0</v>
      </c>
    </row>
    <row r="6" spans="1:5" x14ac:dyDescent="0.25">
      <c r="A6" t="s">
        <v>1113</v>
      </c>
      <c r="B6" s="22">
        <v>14</v>
      </c>
      <c r="C6" s="23">
        <v>0.34305477142333984</v>
      </c>
      <c r="D6" s="23">
        <v>4.8000000000000001E-2</v>
      </c>
      <c r="E6" s="69">
        <v>0</v>
      </c>
    </row>
    <row r="7" spans="1:5" x14ac:dyDescent="0.25">
      <c r="A7" t="s">
        <v>1113</v>
      </c>
      <c r="B7" s="22">
        <v>20</v>
      </c>
      <c r="C7" s="23">
        <v>0.28068515777587888</v>
      </c>
      <c r="D7" s="23">
        <v>4.8000000000000001E-2</v>
      </c>
      <c r="E7" s="69">
        <v>0</v>
      </c>
    </row>
    <row r="8" spans="1:5" x14ac:dyDescent="0.25">
      <c r="A8" t="s">
        <v>1113</v>
      </c>
      <c r="B8" s="22">
        <v>21</v>
      </c>
      <c r="C8" s="23">
        <v>0.27282323837280276</v>
      </c>
      <c r="D8" s="23">
        <v>4.8000000000000001E-2</v>
      </c>
      <c r="E8" s="69">
        <v>0</v>
      </c>
    </row>
    <row r="9" spans="1:5" x14ac:dyDescent="0.25">
      <c r="A9" t="s">
        <v>1113</v>
      </c>
      <c r="B9" s="22">
        <v>23</v>
      </c>
      <c r="C9" s="23">
        <v>0.25612741470336914</v>
      </c>
      <c r="D9" s="23">
        <v>4.8000000000000001E-2</v>
      </c>
      <c r="E9" s="69">
        <v>0</v>
      </c>
    </row>
    <row r="10" spans="1:5" x14ac:dyDescent="0.25">
      <c r="A10" t="s">
        <v>1113</v>
      </c>
      <c r="B10" s="22">
        <v>25</v>
      </c>
      <c r="C10" s="23">
        <v>0.2399102783203125</v>
      </c>
      <c r="D10" s="23">
        <v>4.8000000000000001E-2</v>
      </c>
      <c r="E10" s="69">
        <v>0</v>
      </c>
    </row>
    <row r="11" spans="1:5" x14ac:dyDescent="0.25">
      <c r="A11" t="s">
        <v>1113</v>
      </c>
      <c r="B11" s="22">
        <v>32</v>
      </c>
      <c r="C11" s="23">
        <v>0.21560951232910155</v>
      </c>
      <c r="D11" s="23">
        <v>4.8000000000000001E-2</v>
      </c>
      <c r="E11" s="69">
        <v>0</v>
      </c>
    </row>
    <row r="12" spans="1:5" x14ac:dyDescent="0.25">
      <c r="A12" t="s">
        <v>1113</v>
      </c>
      <c r="B12" s="22">
        <v>33</v>
      </c>
      <c r="C12" s="23">
        <v>0.21075563430786132</v>
      </c>
      <c r="D12" s="23">
        <v>4.8000000000000001E-2</v>
      </c>
      <c r="E12" s="69">
        <v>0</v>
      </c>
    </row>
    <row r="13" spans="1:5" x14ac:dyDescent="0.25">
      <c r="A13" t="s">
        <v>1113</v>
      </c>
      <c r="B13" s="22">
        <v>40</v>
      </c>
      <c r="C13" s="23">
        <v>0.19481412887573243</v>
      </c>
      <c r="D13" s="23">
        <v>4.8000000000000001E-2</v>
      </c>
      <c r="E13" s="69">
        <v>0</v>
      </c>
    </row>
    <row r="14" spans="1:5" x14ac:dyDescent="0.25">
      <c r="A14" t="s">
        <v>1113</v>
      </c>
      <c r="B14" s="22">
        <v>44</v>
      </c>
      <c r="C14" s="23">
        <v>0.18357660293579101</v>
      </c>
      <c r="D14" s="23">
        <v>4.8000000000000001E-2</v>
      </c>
      <c r="E14" s="69">
        <v>0</v>
      </c>
    </row>
    <row r="15" spans="1:5" x14ac:dyDescent="0.25">
      <c r="A15" t="s">
        <v>1113</v>
      </c>
      <c r="B15" s="22">
        <v>46</v>
      </c>
      <c r="C15" s="23">
        <v>0.18230829238891602</v>
      </c>
      <c r="D15" s="23">
        <v>4.8000000000000001E-2</v>
      </c>
      <c r="E15" s="69">
        <v>0</v>
      </c>
    </row>
    <row r="16" spans="1:5" x14ac:dyDescent="0.25">
      <c r="A16" t="s">
        <v>1113</v>
      </c>
      <c r="B16" s="22">
        <v>48</v>
      </c>
      <c r="C16" s="23">
        <v>0.17938249588012695</v>
      </c>
      <c r="D16" s="23">
        <v>4.8000000000000001E-2</v>
      </c>
      <c r="E16" s="69">
        <v>0</v>
      </c>
    </row>
    <row r="17" spans="1:5" x14ac:dyDescent="0.25">
      <c r="A17" t="s">
        <v>1113</v>
      </c>
      <c r="B17" s="22">
        <v>49</v>
      </c>
      <c r="C17" s="23">
        <v>0.17754613876342773</v>
      </c>
      <c r="D17" s="23">
        <v>4.8000000000000001E-2</v>
      </c>
      <c r="E17" s="69">
        <v>0</v>
      </c>
    </row>
    <row r="18" spans="1:5" x14ac:dyDescent="0.25">
      <c r="A18" t="s">
        <v>1113</v>
      </c>
      <c r="B18" s="22">
        <v>60</v>
      </c>
      <c r="C18" s="23">
        <v>0.16203741073608399</v>
      </c>
      <c r="D18" s="23">
        <v>4.8000000000000001E-2</v>
      </c>
      <c r="E18" s="69">
        <v>0</v>
      </c>
    </row>
    <row r="19" spans="1:5" x14ac:dyDescent="0.25">
      <c r="A19" t="s">
        <v>1113</v>
      </c>
      <c r="B19" s="22">
        <v>66</v>
      </c>
      <c r="C19" s="23">
        <v>0.15447944641113281</v>
      </c>
      <c r="D19" s="23">
        <v>4.8000000000000001E-2</v>
      </c>
      <c r="E19" s="69">
        <v>0</v>
      </c>
    </row>
    <row r="20" spans="1:5" x14ac:dyDescent="0.25">
      <c r="A20" t="s">
        <v>1113</v>
      </c>
      <c r="B20" s="22">
        <v>67</v>
      </c>
      <c r="C20" s="23">
        <v>0.15409104347229005</v>
      </c>
      <c r="D20" s="23">
        <v>4.8000000000000001E-2</v>
      </c>
      <c r="E20" s="69">
        <v>0</v>
      </c>
    </row>
    <row r="21" spans="1:5" x14ac:dyDescent="0.25">
      <c r="A21" t="s">
        <v>1113</v>
      </c>
      <c r="B21" s="22">
        <v>69</v>
      </c>
      <c r="C21" s="23">
        <v>0.15272275924682618</v>
      </c>
      <c r="D21" s="23">
        <v>4.8000000000000001E-2</v>
      </c>
      <c r="E21" s="69">
        <v>0</v>
      </c>
    </row>
    <row r="22" spans="1:5" x14ac:dyDescent="0.25">
      <c r="A22" t="s">
        <v>1113</v>
      </c>
      <c r="B22" s="22">
        <v>72</v>
      </c>
      <c r="C22" s="23">
        <v>0.14969902992248535</v>
      </c>
      <c r="D22" s="23">
        <v>4.8000000000000001E-2</v>
      </c>
      <c r="E22" s="69">
        <v>0</v>
      </c>
    </row>
    <row r="23" spans="1:5" x14ac:dyDescent="0.25">
      <c r="A23" t="s">
        <v>1113</v>
      </c>
      <c r="B23" s="22">
        <v>73</v>
      </c>
      <c r="C23" s="23">
        <v>0.14852893829345704</v>
      </c>
      <c r="D23" s="23">
        <v>4.8000000000000001E-2</v>
      </c>
      <c r="E23" s="69">
        <v>0</v>
      </c>
    </row>
    <row r="24" spans="1:5" x14ac:dyDescent="0.25">
      <c r="A24" t="s">
        <v>1113</v>
      </c>
      <c r="B24" s="22">
        <v>75</v>
      </c>
      <c r="C24" s="23">
        <v>0.14604443550109864</v>
      </c>
      <c r="D24" s="23">
        <v>4.8000000000000001E-2</v>
      </c>
      <c r="E24" s="69">
        <v>0</v>
      </c>
    </row>
    <row r="25" spans="1:5" x14ac:dyDescent="0.25">
      <c r="A25" t="s">
        <v>1113</v>
      </c>
      <c r="B25" s="22">
        <v>78</v>
      </c>
      <c r="C25" s="23">
        <v>0.14453013420104979</v>
      </c>
      <c r="D25" s="23">
        <v>4.8000000000000001E-2</v>
      </c>
      <c r="E25" s="69">
        <v>0</v>
      </c>
    </row>
    <row r="26" spans="1:5" x14ac:dyDescent="0.25">
      <c r="A26" t="s">
        <v>1113</v>
      </c>
      <c r="B26" s="22">
        <v>80</v>
      </c>
      <c r="C26" s="23">
        <v>0.14359506607055664</v>
      </c>
      <c r="D26" s="23">
        <v>4.8000000000000001E-2</v>
      </c>
      <c r="E26" s="69">
        <v>0</v>
      </c>
    </row>
    <row r="27" spans="1:5" x14ac:dyDescent="0.25">
      <c r="A27" t="s">
        <v>1113</v>
      </c>
      <c r="B27" s="22">
        <v>81</v>
      </c>
      <c r="C27" s="23">
        <v>0.14294404029846192</v>
      </c>
      <c r="D27" s="23">
        <v>4.8000000000000001E-2</v>
      </c>
      <c r="E27" s="69">
        <v>0</v>
      </c>
    </row>
    <row r="28" spans="1:5" x14ac:dyDescent="0.25">
      <c r="A28" t="s">
        <v>1113</v>
      </c>
      <c r="B28" s="22">
        <v>82</v>
      </c>
      <c r="C28" s="23">
        <v>0.14219882965087891</v>
      </c>
      <c r="D28" s="23">
        <v>4.8000000000000001E-2</v>
      </c>
      <c r="E28" s="69">
        <v>0</v>
      </c>
    </row>
    <row r="29" spans="1:5" x14ac:dyDescent="0.25">
      <c r="A29" t="s">
        <v>1113</v>
      </c>
      <c r="B29" s="22">
        <v>86</v>
      </c>
      <c r="C29" s="23">
        <v>0.13857900619506835</v>
      </c>
      <c r="D29" s="23">
        <v>4.8000000000000001E-2</v>
      </c>
      <c r="E29" s="69">
        <v>0</v>
      </c>
    </row>
    <row r="30" spans="1:5" x14ac:dyDescent="0.25">
      <c r="A30" t="s">
        <v>1113</v>
      </c>
      <c r="B30" s="22">
        <v>87</v>
      </c>
      <c r="C30" s="23">
        <v>0.13757093429565428</v>
      </c>
      <c r="D30" s="23">
        <v>4.8000000000000001E-2</v>
      </c>
      <c r="E30" s="69">
        <v>0</v>
      </c>
    </row>
    <row r="31" spans="1:5" x14ac:dyDescent="0.25">
      <c r="A31" t="s">
        <v>1113</v>
      </c>
      <c r="B31" s="22">
        <v>88</v>
      </c>
      <c r="C31" s="23">
        <v>0.13690320014953614</v>
      </c>
      <c r="D31" s="23">
        <v>4.8000000000000001E-2</v>
      </c>
      <c r="E31" s="69">
        <v>0</v>
      </c>
    </row>
    <row r="32" spans="1:5" x14ac:dyDescent="0.25">
      <c r="A32" t="s">
        <v>1113</v>
      </c>
      <c r="B32" s="22">
        <v>90</v>
      </c>
      <c r="C32" s="23">
        <v>0.13661527633666992</v>
      </c>
      <c r="D32" s="23">
        <v>4.8000000000000001E-2</v>
      </c>
      <c r="E32" s="69">
        <v>0</v>
      </c>
    </row>
    <row r="33" spans="1:5" x14ac:dyDescent="0.25">
      <c r="A33" t="s">
        <v>1113</v>
      </c>
      <c r="B33" s="22">
        <v>92</v>
      </c>
      <c r="C33" s="23">
        <v>0.13583648681640625</v>
      </c>
      <c r="D33" s="23">
        <v>4.8000000000000001E-2</v>
      </c>
      <c r="E33" s="69">
        <v>0</v>
      </c>
    </row>
    <row r="34" spans="1:5" x14ac:dyDescent="0.25">
      <c r="A34" t="s">
        <v>1113</v>
      </c>
      <c r="B34" s="22">
        <v>97</v>
      </c>
      <c r="C34" s="23">
        <v>0.13257938385009765</v>
      </c>
      <c r="D34" s="23">
        <v>4.8000000000000001E-2</v>
      </c>
      <c r="E34" s="69">
        <v>0</v>
      </c>
    </row>
    <row r="35" spans="1:5" x14ac:dyDescent="0.25">
      <c r="A35" t="s">
        <v>1113</v>
      </c>
      <c r="B35" s="22">
        <v>103</v>
      </c>
      <c r="C35" s="23">
        <v>0.12991669654846191</v>
      </c>
      <c r="D35" s="23">
        <v>4.8000000000000001E-2</v>
      </c>
      <c r="E35" s="69">
        <v>0</v>
      </c>
    </row>
    <row r="36" spans="1:5" x14ac:dyDescent="0.25">
      <c r="A36" t="s">
        <v>1113</v>
      </c>
      <c r="B36" s="22">
        <v>104</v>
      </c>
      <c r="C36" s="23">
        <v>0.1295730209350586</v>
      </c>
      <c r="D36" s="23">
        <v>4.8000000000000001E-2</v>
      </c>
      <c r="E36" s="69">
        <v>0</v>
      </c>
    </row>
    <row r="37" spans="1:5" x14ac:dyDescent="0.25">
      <c r="A37" t="s">
        <v>1113</v>
      </c>
      <c r="B37" s="22">
        <v>105</v>
      </c>
      <c r="C37" s="23">
        <v>0.12915772438049317</v>
      </c>
      <c r="D37" s="23">
        <v>4.8000000000000001E-2</v>
      </c>
      <c r="E37" s="69">
        <v>0</v>
      </c>
    </row>
    <row r="38" spans="1:5" x14ac:dyDescent="0.25">
      <c r="A38" t="s">
        <v>1113</v>
      </c>
      <c r="B38" s="22">
        <v>106</v>
      </c>
      <c r="C38" s="23">
        <v>0.12868121147155762</v>
      </c>
      <c r="D38" s="23">
        <v>4.8000000000000001E-2</v>
      </c>
      <c r="E38" s="69">
        <v>0</v>
      </c>
    </row>
    <row r="39" spans="1:5" x14ac:dyDescent="0.25">
      <c r="A39" t="s">
        <v>1113</v>
      </c>
      <c r="B39" s="22">
        <v>107</v>
      </c>
      <c r="C39" s="23">
        <v>0.12815252304077149</v>
      </c>
      <c r="D39" s="23">
        <v>4.8000000000000001E-2</v>
      </c>
      <c r="E39" s="69">
        <v>0</v>
      </c>
    </row>
    <row r="40" spans="1:5" x14ac:dyDescent="0.25">
      <c r="A40" t="s">
        <v>1113</v>
      </c>
      <c r="B40" s="22">
        <v>110</v>
      </c>
      <c r="C40" s="23">
        <v>0.126326847076416</v>
      </c>
      <c r="D40" s="23">
        <v>4.8000000000000001E-2</v>
      </c>
      <c r="E40" s="69">
        <v>0</v>
      </c>
    </row>
    <row r="41" spans="1:5" x14ac:dyDescent="0.25">
      <c r="A41" t="s">
        <v>1113</v>
      </c>
      <c r="B41" s="22">
        <v>111</v>
      </c>
      <c r="C41" s="23">
        <v>0.12565835952758789</v>
      </c>
      <c r="D41" s="23">
        <v>4.8000000000000001E-2</v>
      </c>
      <c r="E41" s="69">
        <v>0</v>
      </c>
    </row>
    <row r="42" spans="1:5" x14ac:dyDescent="0.25">
      <c r="A42" t="s">
        <v>1113</v>
      </c>
      <c r="B42" s="22">
        <v>112</v>
      </c>
      <c r="C42" s="23">
        <v>0.12496803283691406</v>
      </c>
      <c r="D42" s="23">
        <v>4.8000000000000001E-2</v>
      </c>
      <c r="E42" s="69">
        <v>0</v>
      </c>
    </row>
    <row r="43" spans="1:5" x14ac:dyDescent="0.25">
      <c r="A43" t="s">
        <v>1113</v>
      </c>
      <c r="B43" s="22">
        <v>116</v>
      </c>
      <c r="C43" s="23">
        <v>0.12437797546386718</v>
      </c>
      <c r="D43" s="23">
        <v>4.8000000000000001E-2</v>
      </c>
      <c r="E43" s="69">
        <v>0</v>
      </c>
    </row>
    <row r="44" spans="1:5" x14ac:dyDescent="0.25">
      <c r="A44" t="s">
        <v>1113</v>
      </c>
      <c r="B44" s="22">
        <v>121</v>
      </c>
      <c r="C44" s="23">
        <v>0.12232645988464355</v>
      </c>
      <c r="D44" s="23">
        <v>4.8000000000000001E-2</v>
      </c>
      <c r="E44" s="69">
        <v>0</v>
      </c>
    </row>
    <row r="45" spans="1:5" x14ac:dyDescent="0.25">
      <c r="A45" t="s">
        <v>1113</v>
      </c>
      <c r="B45" s="22">
        <v>125</v>
      </c>
      <c r="C45" s="23">
        <v>0.12026348114013671</v>
      </c>
      <c r="D45" s="23">
        <v>4.8000000000000001E-2</v>
      </c>
      <c r="E45" s="69">
        <v>0</v>
      </c>
    </row>
    <row r="46" spans="1:5" x14ac:dyDescent="0.25">
      <c r="A46" t="s">
        <v>1113</v>
      </c>
      <c r="B46" s="22">
        <v>133</v>
      </c>
      <c r="C46" s="23">
        <v>0.11838937759399414</v>
      </c>
      <c r="D46" s="23">
        <v>4.8000000000000001E-2</v>
      </c>
      <c r="E46" s="69">
        <v>0</v>
      </c>
    </row>
    <row r="47" spans="1:5" x14ac:dyDescent="0.25">
      <c r="A47" t="s">
        <v>1113</v>
      </c>
      <c r="B47" s="22">
        <v>139</v>
      </c>
      <c r="C47" s="23">
        <v>0.1162148380279541</v>
      </c>
      <c r="D47" s="23">
        <v>4.8000000000000001E-2</v>
      </c>
      <c r="E47" s="69">
        <v>0</v>
      </c>
    </row>
    <row r="48" spans="1:5" x14ac:dyDescent="0.25">
      <c r="A48" t="s">
        <v>1113</v>
      </c>
      <c r="B48" s="22">
        <v>146</v>
      </c>
      <c r="C48" s="23">
        <v>0.11464258193969727</v>
      </c>
      <c r="D48" s="23">
        <v>4.8000000000000001E-2</v>
      </c>
      <c r="E48" s="69">
        <v>3.0510189011692998E-4</v>
      </c>
    </row>
    <row r="49" spans="1:5" x14ac:dyDescent="0.25">
      <c r="A49" t="s">
        <v>1113</v>
      </c>
      <c r="B49" s="22">
        <v>154</v>
      </c>
      <c r="C49" s="23">
        <v>0.11253620147705078</v>
      </c>
      <c r="D49" s="23">
        <v>4.8000000000000001E-2</v>
      </c>
      <c r="E49" s="69">
        <v>8.1003062427043916E-4</v>
      </c>
    </row>
    <row r="50" spans="1:5" x14ac:dyDescent="0.25">
      <c r="A50" t="s">
        <v>1113</v>
      </c>
      <c r="B50" s="22">
        <v>161</v>
      </c>
      <c r="C50" s="23">
        <v>0.11078835487365722</v>
      </c>
      <c r="D50" s="23">
        <v>4.8000000000000001E-2</v>
      </c>
      <c r="E50" s="69">
        <v>1.3608381152153016E-3</v>
      </c>
    </row>
    <row r="51" spans="1:5" x14ac:dyDescent="0.25">
      <c r="A51" t="s">
        <v>1113</v>
      </c>
      <c r="B51" s="22">
        <v>163</v>
      </c>
      <c r="C51" s="23">
        <v>0.11008266448974609</v>
      </c>
      <c r="D51" s="23">
        <v>4.8000000000000001E-2</v>
      </c>
      <c r="E51" s="69">
        <v>1.5422789752483367E-3</v>
      </c>
    </row>
    <row r="52" spans="1:5" x14ac:dyDescent="0.25">
      <c r="A52" t="s">
        <v>1113</v>
      </c>
      <c r="B52" s="22">
        <v>174</v>
      </c>
      <c r="C52" s="23">
        <v>0.10807371139526367</v>
      </c>
      <c r="D52" s="23">
        <v>4.8000000000000001E-2</v>
      </c>
      <c r="E52" s="69">
        <v>2.797245979309082E-3</v>
      </c>
    </row>
    <row r="53" spans="1:5" x14ac:dyDescent="0.25">
      <c r="A53" t="s">
        <v>1113</v>
      </c>
      <c r="B53" s="22">
        <v>178</v>
      </c>
      <c r="C53" s="23">
        <v>0.10690145492553711</v>
      </c>
      <c r="D53" s="23">
        <v>4.8000000000000001E-2</v>
      </c>
      <c r="E53" s="69">
        <v>3.391198515892029E-3</v>
      </c>
    </row>
    <row r="54" spans="1:5" x14ac:dyDescent="0.25">
      <c r="A54" t="s">
        <v>1113</v>
      </c>
      <c r="B54" s="22">
        <v>180</v>
      </c>
      <c r="C54" s="23">
        <v>0.10683554649353028</v>
      </c>
      <c r="D54" s="23">
        <v>4.8000000000000001E-2</v>
      </c>
      <c r="E54" s="69">
        <v>3.7228852510452271E-3</v>
      </c>
    </row>
    <row r="55" spans="1:5" x14ac:dyDescent="0.25">
      <c r="A55" t="s">
        <v>1113</v>
      </c>
      <c r="B55" s="22">
        <v>183</v>
      </c>
      <c r="C55" s="23">
        <v>0.10648606300354004</v>
      </c>
      <c r="D55" s="23">
        <v>4.8000000000000001E-2</v>
      </c>
      <c r="E55" s="69">
        <v>4.2696022987365719E-3</v>
      </c>
    </row>
    <row r="56" spans="1:5" x14ac:dyDescent="0.25">
      <c r="A56" t="s">
        <v>1113</v>
      </c>
      <c r="B56" s="22">
        <v>193</v>
      </c>
      <c r="C56" s="23">
        <v>0.10442534446716309</v>
      </c>
      <c r="D56" s="23">
        <v>4.8000000000000001E-2</v>
      </c>
      <c r="E56" s="69">
        <v>5.4782491922378542E-3</v>
      </c>
    </row>
    <row r="57" spans="1:5" x14ac:dyDescent="0.25">
      <c r="A57" t="s">
        <v>1113</v>
      </c>
      <c r="B57" s="22">
        <v>195</v>
      </c>
      <c r="C57" s="23">
        <v>0.1042903995513916</v>
      </c>
      <c r="D57" s="23">
        <v>4.8000000000000001E-2</v>
      </c>
      <c r="E57" s="69">
        <v>5.5534160137176514E-3</v>
      </c>
    </row>
    <row r="58" spans="1:5" x14ac:dyDescent="0.25">
      <c r="A58" t="s">
        <v>1113</v>
      </c>
      <c r="B58" s="22">
        <v>205</v>
      </c>
      <c r="C58" s="23">
        <v>0.10234278678894043</v>
      </c>
      <c r="D58" s="23">
        <v>4.8000000000000001E-2</v>
      </c>
      <c r="E58" s="69">
        <v>6.0623657703399655E-3</v>
      </c>
    </row>
    <row r="59" spans="1:5" x14ac:dyDescent="0.25">
      <c r="A59" t="s">
        <v>1113</v>
      </c>
      <c r="B59" s="22">
        <v>207</v>
      </c>
      <c r="C59" s="23">
        <v>0.10221342086791992</v>
      </c>
      <c r="D59" s="23">
        <v>4.8000000000000001E-2</v>
      </c>
      <c r="E59" s="69">
        <v>6.1957424879074095E-3</v>
      </c>
    </row>
    <row r="60" spans="1:5" x14ac:dyDescent="0.25">
      <c r="A60" t="s">
        <v>1113</v>
      </c>
      <c r="B60" s="22">
        <v>208</v>
      </c>
      <c r="C60" s="23">
        <v>0.10216513633728028</v>
      </c>
      <c r="D60" s="23">
        <v>4.8000000000000001E-2</v>
      </c>
      <c r="E60" s="69">
        <v>6.2670439481735231E-3</v>
      </c>
    </row>
    <row r="61" spans="1:5" x14ac:dyDescent="0.25">
      <c r="A61" t="s">
        <v>1113</v>
      </c>
      <c r="B61" s="22">
        <v>214</v>
      </c>
      <c r="C61" s="23">
        <v>0.10140727043151855</v>
      </c>
      <c r="D61" s="23">
        <v>4.8000000000000001E-2</v>
      </c>
      <c r="E61" s="69">
        <v>6.7671781778335573E-3</v>
      </c>
    </row>
    <row r="62" spans="1:5" x14ac:dyDescent="0.25">
      <c r="A62" t="s">
        <v>1113</v>
      </c>
      <c r="B62" s="22">
        <v>232</v>
      </c>
      <c r="C62" s="23">
        <v>9.8772163391113277E-2</v>
      </c>
      <c r="D62" s="23">
        <v>4.8000000000000001E-2</v>
      </c>
      <c r="E62" s="69">
        <v>8.7971043586730965E-3</v>
      </c>
    </row>
    <row r="63" spans="1:5" x14ac:dyDescent="0.25">
      <c r="A63" t="s">
        <v>1113</v>
      </c>
      <c r="B63" s="22">
        <v>238</v>
      </c>
      <c r="C63" s="23">
        <v>9.8241996765136716E-2</v>
      </c>
      <c r="D63" s="23">
        <v>4.8000000000000001E-2</v>
      </c>
      <c r="E63" s="69">
        <v>8.9700424671173094E-3</v>
      </c>
    </row>
    <row r="64" spans="1:5" x14ac:dyDescent="0.25">
      <c r="A64" t="s">
        <v>1113</v>
      </c>
      <c r="B64" s="22">
        <v>253</v>
      </c>
      <c r="C64" s="23">
        <v>9.6540632247924807E-2</v>
      </c>
      <c r="D64" s="23">
        <v>4.8000000000000001E-2</v>
      </c>
      <c r="E64" s="69">
        <v>9.7860574722290032E-3</v>
      </c>
    </row>
    <row r="65" spans="1:5" x14ac:dyDescent="0.25">
      <c r="A65" t="s">
        <v>1113</v>
      </c>
      <c r="B65" s="22">
        <v>269</v>
      </c>
      <c r="C65" s="23">
        <v>9.489918708801269E-2</v>
      </c>
      <c r="D65" s="23">
        <v>4.8000000000000001E-2</v>
      </c>
      <c r="E65" s="69">
        <v>1.1283540725708007E-2</v>
      </c>
    </row>
    <row r="66" spans="1:5" x14ac:dyDescent="0.25">
      <c r="A66" t="s">
        <v>1113</v>
      </c>
      <c r="B66" s="22">
        <v>272</v>
      </c>
      <c r="C66" s="23">
        <v>9.4565706253051759E-2</v>
      </c>
      <c r="D66" s="23">
        <v>4.8000000000000001E-2</v>
      </c>
      <c r="E66" s="69">
        <v>1.1341761350631713E-2</v>
      </c>
    </row>
    <row r="67" spans="1:5" x14ac:dyDescent="0.25">
      <c r="A67" t="s">
        <v>1113</v>
      </c>
      <c r="B67" s="22">
        <v>287</v>
      </c>
      <c r="C67" s="23">
        <v>9.3163661956787103E-2</v>
      </c>
      <c r="D67" s="23">
        <v>4.8000000000000001E-2</v>
      </c>
      <c r="E67" s="69">
        <v>1.1919666528701783E-2</v>
      </c>
    </row>
    <row r="68" spans="1:5" x14ac:dyDescent="0.25">
      <c r="A68" t="s">
        <v>1113</v>
      </c>
      <c r="B68" s="22">
        <v>292</v>
      </c>
      <c r="C68" s="23">
        <v>9.247382164001465E-2</v>
      </c>
      <c r="D68" s="23">
        <v>4.8000000000000001E-2</v>
      </c>
      <c r="E68" s="69">
        <v>1.2248334884643554E-2</v>
      </c>
    </row>
    <row r="69" spans="1:5" x14ac:dyDescent="0.25">
      <c r="A69" t="s">
        <v>1113</v>
      </c>
      <c r="B69" s="22">
        <v>297</v>
      </c>
      <c r="C69" s="23">
        <v>9.2322301864624021E-2</v>
      </c>
      <c r="D69" s="23">
        <v>4.8000000000000001E-2</v>
      </c>
      <c r="E69" s="69">
        <v>1.2665902376174926E-2</v>
      </c>
    </row>
    <row r="70" spans="1:5" x14ac:dyDescent="0.25">
      <c r="A70" t="s">
        <v>1113</v>
      </c>
      <c r="B70" s="22">
        <v>308</v>
      </c>
      <c r="C70" s="23">
        <v>9.1254043579101565E-2</v>
      </c>
      <c r="D70" s="23">
        <v>4.8000000000000001E-2</v>
      </c>
      <c r="E70" s="69">
        <v>1.3311433792114257E-2</v>
      </c>
    </row>
    <row r="71" spans="1:5" x14ac:dyDescent="0.25">
      <c r="A71" t="s">
        <v>1113</v>
      </c>
      <c r="B71" s="22">
        <v>397</v>
      </c>
      <c r="C71" s="23">
        <v>8.5526657104492185E-2</v>
      </c>
      <c r="D71" s="23">
        <v>4.8000000000000001E-2</v>
      </c>
      <c r="E71" s="69">
        <v>1.7068095207214355E-2</v>
      </c>
    </row>
    <row r="72" spans="1:5" x14ac:dyDescent="0.25">
      <c r="A72" t="s">
        <v>1113</v>
      </c>
      <c r="B72" s="22">
        <v>400</v>
      </c>
      <c r="C72" s="23">
        <v>8.5426082611083989E-2</v>
      </c>
      <c r="D72" s="23">
        <v>4.8000000000000001E-2</v>
      </c>
      <c r="E72" s="69">
        <v>1.726859450340271E-2</v>
      </c>
    </row>
  </sheetData>
  <sortState ref="A2:D87">
    <sortCondition ref="B2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workbookViewId="0">
      <selection activeCell="E57" sqref="E57"/>
    </sheetView>
  </sheetViews>
  <sheetFormatPr defaultRowHeight="15" x14ac:dyDescent="0.25"/>
  <cols>
    <col min="1" max="1" width="15.28515625" bestFit="1" customWidth="1"/>
    <col min="2" max="2" width="11" bestFit="1" customWidth="1"/>
    <col min="3" max="3" width="9" bestFit="1" customWidth="1"/>
    <col min="4" max="4" width="8.5703125" bestFit="1" customWidth="1"/>
    <col min="5" max="5" width="11" bestFit="1" customWidth="1"/>
  </cols>
  <sheetData>
    <row r="1" spans="1:5" x14ac:dyDescent="0.25">
      <c r="A1" t="s">
        <v>841</v>
      </c>
      <c r="B1" t="s">
        <v>842</v>
      </c>
      <c r="C1" t="s">
        <v>844</v>
      </c>
      <c r="D1" t="s">
        <v>845</v>
      </c>
      <c r="E1" t="s">
        <v>1150</v>
      </c>
    </row>
    <row r="2" spans="1:5" x14ac:dyDescent="0.25">
      <c r="A2" t="s">
        <v>1107</v>
      </c>
      <c r="B2">
        <v>0</v>
      </c>
      <c r="C2" s="69">
        <v>0.5</v>
      </c>
      <c r="D2" s="23">
        <v>2.6000000000000002E-2</v>
      </c>
      <c r="E2" s="69">
        <v>0</v>
      </c>
    </row>
    <row r="3" spans="1:5" x14ac:dyDescent="0.25">
      <c r="A3" t="s">
        <v>1107</v>
      </c>
      <c r="B3" s="10">
        <v>9</v>
      </c>
      <c r="C3" s="69">
        <v>0.3632803</v>
      </c>
      <c r="D3" s="23">
        <v>2.6000000000000002E-2</v>
      </c>
      <c r="E3" s="69">
        <v>0</v>
      </c>
    </row>
    <row r="4" spans="1:5" x14ac:dyDescent="0.25">
      <c r="A4" t="s">
        <v>1107</v>
      </c>
      <c r="B4" s="10">
        <v>15</v>
      </c>
      <c r="C4" s="69">
        <v>0.2612468</v>
      </c>
      <c r="D4" s="23">
        <v>2.6000000000000002E-2</v>
      </c>
      <c r="E4" s="69">
        <v>0</v>
      </c>
    </row>
    <row r="5" spans="1:5" x14ac:dyDescent="0.25">
      <c r="A5" t="s">
        <v>1107</v>
      </c>
      <c r="B5" s="10">
        <v>19</v>
      </c>
      <c r="C5" s="69">
        <v>0.22507629999999998</v>
      </c>
      <c r="D5" s="23">
        <v>2.6000000000000002E-2</v>
      </c>
      <c r="E5" s="69">
        <v>0</v>
      </c>
    </row>
    <row r="6" spans="1:5" x14ac:dyDescent="0.25">
      <c r="A6" t="s">
        <v>1107</v>
      </c>
      <c r="B6" s="19">
        <v>21</v>
      </c>
      <c r="C6" s="69">
        <v>0.21645539999999999</v>
      </c>
      <c r="D6" s="23">
        <v>2.6000000000000002E-2</v>
      </c>
      <c r="E6" s="69">
        <v>0</v>
      </c>
    </row>
    <row r="7" spans="1:5" x14ac:dyDescent="0.25">
      <c r="A7" t="s">
        <v>1107</v>
      </c>
      <c r="B7" s="10">
        <v>25</v>
      </c>
      <c r="C7" s="69">
        <v>0.19332540000000001</v>
      </c>
      <c r="D7" s="23">
        <v>2.6000000000000002E-2</v>
      </c>
      <c r="E7" s="69">
        <v>0</v>
      </c>
    </row>
    <row r="8" spans="1:5" x14ac:dyDescent="0.25">
      <c r="A8" t="s">
        <v>1107</v>
      </c>
      <c r="B8" s="10">
        <v>30</v>
      </c>
      <c r="C8" s="69">
        <v>0.1676279</v>
      </c>
      <c r="D8" s="23">
        <v>2.6000000000000002E-2</v>
      </c>
      <c r="E8" s="69">
        <v>0</v>
      </c>
    </row>
    <row r="9" spans="1:5" x14ac:dyDescent="0.25">
      <c r="A9" t="s">
        <v>1107</v>
      </c>
      <c r="B9" s="10">
        <v>32</v>
      </c>
      <c r="C9" s="69">
        <v>0.16617280000000001</v>
      </c>
      <c r="D9" s="23">
        <v>2.6000000000000002E-2</v>
      </c>
      <c r="E9" s="69">
        <v>0</v>
      </c>
    </row>
    <row r="10" spans="1:5" x14ac:dyDescent="0.25">
      <c r="A10" t="s">
        <v>1107</v>
      </c>
      <c r="B10" s="10">
        <v>50</v>
      </c>
      <c r="C10" s="69">
        <v>0.13155020000000001</v>
      </c>
      <c r="D10" s="23">
        <v>2.6000000000000002E-2</v>
      </c>
      <c r="E10" s="69">
        <v>0</v>
      </c>
    </row>
    <row r="11" spans="1:5" x14ac:dyDescent="0.25">
      <c r="A11" t="s">
        <v>1107</v>
      </c>
      <c r="B11" s="10">
        <v>54</v>
      </c>
      <c r="C11" s="69">
        <v>0.12582309999999999</v>
      </c>
      <c r="D11" s="23">
        <v>2.6000000000000002E-2</v>
      </c>
      <c r="E11" s="69">
        <v>0</v>
      </c>
    </row>
    <row r="12" spans="1:5" x14ac:dyDescent="0.25">
      <c r="A12" t="s">
        <v>1107</v>
      </c>
      <c r="B12" s="10">
        <v>56</v>
      </c>
      <c r="C12" s="69">
        <v>0.1227437</v>
      </c>
      <c r="D12" s="23">
        <v>2.6000000000000002E-2</v>
      </c>
      <c r="E12" s="69">
        <v>0</v>
      </c>
    </row>
    <row r="13" spans="1:5" x14ac:dyDescent="0.25">
      <c r="A13" t="s">
        <v>1107</v>
      </c>
      <c r="B13" s="10">
        <v>57</v>
      </c>
      <c r="C13" s="69">
        <v>0.1211933</v>
      </c>
      <c r="D13" s="23">
        <v>2.6000000000000002E-2</v>
      </c>
      <c r="E13" s="69">
        <v>0</v>
      </c>
    </row>
    <row r="14" spans="1:5" x14ac:dyDescent="0.25">
      <c r="A14" t="s">
        <v>1107</v>
      </c>
      <c r="B14" s="10">
        <v>69</v>
      </c>
      <c r="C14" s="69">
        <v>0.11148999999999999</v>
      </c>
      <c r="D14" s="23">
        <v>2.6000000000000002E-2</v>
      </c>
      <c r="E14" s="69">
        <v>0</v>
      </c>
    </row>
    <row r="15" spans="1:5" x14ac:dyDescent="0.25">
      <c r="A15" t="s">
        <v>1107</v>
      </c>
      <c r="B15" s="10">
        <v>77</v>
      </c>
      <c r="C15" s="69">
        <v>0.1036837</v>
      </c>
      <c r="D15" s="23">
        <v>2.6000000000000002E-2</v>
      </c>
      <c r="E15" s="69">
        <v>0</v>
      </c>
    </row>
    <row r="16" spans="1:5" x14ac:dyDescent="0.25">
      <c r="A16" t="s">
        <v>1107</v>
      </c>
      <c r="B16" s="10">
        <v>86</v>
      </c>
      <c r="C16" s="69">
        <v>0.10031739999999999</v>
      </c>
      <c r="D16" s="23">
        <v>2.6000000000000002E-2</v>
      </c>
      <c r="E16" s="69">
        <v>0</v>
      </c>
    </row>
    <row r="17" spans="1:5" x14ac:dyDescent="0.25">
      <c r="A17" t="s">
        <v>1107</v>
      </c>
      <c r="B17" s="10">
        <v>89</v>
      </c>
      <c r="C17" s="69">
        <v>9.8489050000000009E-2</v>
      </c>
      <c r="D17" s="23">
        <v>2.6000000000000002E-2</v>
      </c>
      <c r="E17" s="69">
        <v>0</v>
      </c>
    </row>
    <row r="18" spans="1:5" x14ac:dyDescent="0.25">
      <c r="A18" t="s">
        <v>1107</v>
      </c>
      <c r="B18" s="10">
        <v>93</v>
      </c>
      <c r="C18" s="69">
        <v>9.5793230000000007E-2</v>
      </c>
      <c r="D18" s="23">
        <v>2.6000000000000002E-2</v>
      </c>
      <c r="E18" s="69">
        <v>0</v>
      </c>
    </row>
    <row r="19" spans="1:5" x14ac:dyDescent="0.25">
      <c r="A19" t="s">
        <v>1107</v>
      </c>
      <c r="B19" s="10">
        <v>96</v>
      </c>
      <c r="C19" s="69">
        <v>9.3686469999999994E-2</v>
      </c>
      <c r="D19" s="23">
        <v>2.6000000000000002E-2</v>
      </c>
      <c r="E19" s="69">
        <v>0</v>
      </c>
    </row>
    <row r="20" spans="1:5" x14ac:dyDescent="0.25">
      <c r="A20" t="s">
        <v>1107</v>
      </c>
      <c r="B20" s="10">
        <v>101</v>
      </c>
      <c r="C20" s="69">
        <v>9.2890479999999997E-2</v>
      </c>
      <c r="D20" s="23">
        <v>2.6000000000000002E-2</v>
      </c>
      <c r="E20" s="69">
        <v>0</v>
      </c>
    </row>
    <row r="21" spans="1:5" x14ac:dyDescent="0.25">
      <c r="A21" t="s">
        <v>1107</v>
      </c>
      <c r="B21" s="10">
        <v>112</v>
      </c>
      <c r="C21" s="69">
        <v>8.8309460000000006E-2</v>
      </c>
      <c r="D21" s="23">
        <v>2.6000000000000002E-2</v>
      </c>
      <c r="E21" s="69">
        <v>0</v>
      </c>
    </row>
    <row r="22" spans="1:5" x14ac:dyDescent="0.25">
      <c r="A22" t="s">
        <v>1107</v>
      </c>
      <c r="B22" s="10">
        <v>118</v>
      </c>
      <c r="C22" s="69">
        <v>8.6250060000000003E-2</v>
      </c>
      <c r="D22" s="23">
        <v>2.6000000000000002E-2</v>
      </c>
      <c r="E22" s="69">
        <v>0</v>
      </c>
    </row>
    <row r="23" spans="1:5" x14ac:dyDescent="0.25">
      <c r="A23" t="s">
        <v>1107</v>
      </c>
      <c r="B23" s="10">
        <v>123</v>
      </c>
      <c r="C23" s="69">
        <v>8.5365699999999989E-2</v>
      </c>
      <c r="D23" s="23">
        <v>2.6000000000000002E-2</v>
      </c>
      <c r="E23" s="69">
        <v>0</v>
      </c>
    </row>
    <row r="24" spans="1:5" x14ac:dyDescent="0.25">
      <c r="A24" t="s">
        <v>1107</v>
      </c>
      <c r="B24" s="10">
        <v>126</v>
      </c>
      <c r="C24" s="69">
        <v>8.4513549999999993E-2</v>
      </c>
      <c r="D24" s="23">
        <v>2.6000000000000002E-2</v>
      </c>
      <c r="E24" s="69">
        <v>0</v>
      </c>
    </row>
    <row r="25" spans="1:5" x14ac:dyDescent="0.25">
      <c r="A25" t="s">
        <v>1107</v>
      </c>
      <c r="B25" s="10">
        <v>129</v>
      </c>
      <c r="C25" s="69">
        <v>8.3508540000000006E-2</v>
      </c>
      <c r="D25" s="23">
        <v>2.6000000000000002E-2</v>
      </c>
      <c r="E25" s="69">
        <v>0</v>
      </c>
    </row>
    <row r="26" spans="1:5" x14ac:dyDescent="0.25">
      <c r="A26" t="s">
        <v>1107</v>
      </c>
      <c r="B26" s="10">
        <v>132</v>
      </c>
      <c r="C26" s="69">
        <v>8.2400550000000003E-2</v>
      </c>
      <c r="D26" s="23">
        <v>2.6000000000000002E-2</v>
      </c>
      <c r="E26" s="69">
        <v>0</v>
      </c>
    </row>
    <row r="27" spans="1:5" x14ac:dyDescent="0.25">
      <c r="A27" t="s">
        <v>1107</v>
      </c>
      <c r="B27" s="10">
        <v>135</v>
      </c>
      <c r="C27" s="69">
        <v>8.1226220000000002E-2</v>
      </c>
      <c r="D27" s="23">
        <v>2.6000000000000002E-2</v>
      </c>
      <c r="E27" s="69">
        <v>0</v>
      </c>
    </row>
    <row r="28" spans="1:5" x14ac:dyDescent="0.25">
      <c r="A28" t="s">
        <v>1107</v>
      </c>
      <c r="B28" s="10">
        <v>142</v>
      </c>
      <c r="C28" s="69">
        <v>8.0252149999999994E-2</v>
      </c>
      <c r="D28" s="23">
        <v>2.6000000000000002E-2</v>
      </c>
      <c r="E28" s="69">
        <v>0</v>
      </c>
    </row>
    <row r="29" spans="1:5" x14ac:dyDescent="0.25">
      <c r="A29" t="s">
        <v>1107</v>
      </c>
      <c r="B29" s="10">
        <v>149</v>
      </c>
      <c r="C29" s="69">
        <v>7.8724479999999999E-2</v>
      </c>
      <c r="D29" s="23">
        <v>2.6000000000000002E-2</v>
      </c>
      <c r="E29" s="69">
        <v>0</v>
      </c>
    </row>
    <row r="30" spans="1:5" x14ac:dyDescent="0.25">
      <c r="A30" t="s">
        <v>1107</v>
      </c>
      <c r="B30" s="10">
        <v>152</v>
      </c>
      <c r="C30" s="69">
        <v>7.7884010000000004E-2</v>
      </c>
      <c r="D30" s="23">
        <v>2.6000000000000002E-2</v>
      </c>
      <c r="E30" s="69">
        <v>0</v>
      </c>
    </row>
    <row r="31" spans="1:5" x14ac:dyDescent="0.25">
      <c r="A31" t="s">
        <v>1107</v>
      </c>
      <c r="B31" s="10">
        <v>157</v>
      </c>
      <c r="C31" s="69">
        <v>7.6347670000000006E-2</v>
      </c>
      <c r="D31" s="23">
        <v>2.6000000000000002E-2</v>
      </c>
      <c r="E31" s="69">
        <v>0</v>
      </c>
    </row>
    <row r="32" spans="1:5" x14ac:dyDescent="0.25">
      <c r="A32" t="s">
        <v>1107</v>
      </c>
      <c r="B32" s="10">
        <v>158</v>
      </c>
      <c r="C32" s="69">
        <v>7.6184360000000007E-2</v>
      </c>
      <c r="D32" s="23">
        <v>2.6000000000000002E-2</v>
      </c>
      <c r="E32" s="69">
        <v>0</v>
      </c>
    </row>
    <row r="33" spans="1:5" x14ac:dyDescent="0.25">
      <c r="A33" t="s">
        <v>1107</v>
      </c>
      <c r="B33" s="10">
        <v>161</v>
      </c>
      <c r="C33" s="69">
        <v>7.6060749999999996E-2</v>
      </c>
      <c r="D33" s="23">
        <v>2.6000000000000002E-2</v>
      </c>
      <c r="E33" s="69">
        <v>0</v>
      </c>
    </row>
    <row r="34" spans="1:5" x14ac:dyDescent="0.25">
      <c r="A34" t="s">
        <v>1107</v>
      </c>
      <c r="B34" s="10">
        <v>163</v>
      </c>
      <c r="C34" s="69">
        <v>7.5867680000000007E-2</v>
      </c>
      <c r="D34" s="23">
        <v>2.6000000000000002E-2</v>
      </c>
      <c r="E34" s="69">
        <v>0</v>
      </c>
    </row>
    <row r="35" spans="1:5" x14ac:dyDescent="0.25">
      <c r="A35" t="s">
        <v>1107</v>
      </c>
      <c r="B35" s="10">
        <v>165</v>
      </c>
      <c r="C35" s="69">
        <v>7.5603230000000007E-2</v>
      </c>
      <c r="D35" s="23">
        <v>2.6000000000000002E-2</v>
      </c>
      <c r="E35" s="69">
        <v>0</v>
      </c>
    </row>
    <row r="36" spans="1:5" x14ac:dyDescent="0.25">
      <c r="A36" t="s">
        <v>1107</v>
      </c>
      <c r="B36" s="10">
        <v>169</v>
      </c>
      <c r="C36" s="69">
        <v>7.4906829999999994E-2</v>
      </c>
      <c r="D36" s="23">
        <v>2.6000000000000002E-2</v>
      </c>
      <c r="E36" s="69">
        <v>0</v>
      </c>
    </row>
    <row r="37" spans="1:5" x14ac:dyDescent="0.25">
      <c r="A37" t="s">
        <v>1107</v>
      </c>
      <c r="B37" s="10">
        <v>174</v>
      </c>
      <c r="C37" s="69">
        <v>7.3814149999999995E-2</v>
      </c>
      <c r="D37" s="23">
        <v>2.6000000000000002E-2</v>
      </c>
      <c r="E37" s="69">
        <v>0</v>
      </c>
    </row>
    <row r="38" spans="1:5" x14ac:dyDescent="0.25">
      <c r="A38" t="s">
        <v>1107</v>
      </c>
      <c r="B38" s="10">
        <v>176</v>
      </c>
      <c r="C38" s="69">
        <v>7.3329800000000001E-2</v>
      </c>
      <c r="D38" s="23">
        <v>2.6000000000000002E-2</v>
      </c>
      <c r="E38" s="69">
        <v>0</v>
      </c>
    </row>
    <row r="39" spans="1:5" x14ac:dyDescent="0.25">
      <c r="A39" t="s">
        <v>1107</v>
      </c>
      <c r="B39" s="10">
        <v>177</v>
      </c>
      <c r="C39" s="69">
        <v>7.3080140000000002E-2</v>
      </c>
      <c r="D39" s="23">
        <v>2.6000000000000002E-2</v>
      </c>
      <c r="E39" s="69">
        <v>0</v>
      </c>
    </row>
    <row r="40" spans="1:5" x14ac:dyDescent="0.25">
      <c r="A40" t="s">
        <v>1107</v>
      </c>
      <c r="B40" s="10">
        <v>179</v>
      </c>
      <c r="C40" s="69">
        <v>7.2568510000000003E-2</v>
      </c>
      <c r="D40" s="23">
        <v>2.6000000000000002E-2</v>
      </c>
      <c r="E40" s="69">
        <v>0</v>
      </c>
    </row>
    <row r="41" spans="1:5" x14ac:dyDescent="0.25">
      <c r="A41" t="s">
        <v>1107</v>
      </c>
      <c r="B41" s="10">
        <v>189</v>
      </c>
      <c r="C41" s="69">
        <v>7.1740760000000001E-2</v>
      </c>
      <c r="D41" s="23">
        <v>2.6000000000000002E-2</v>
      </c>
      <c r="E41" s="69">
        <v>0</v>
      </c>
    </row>
    <row r="42" spans="1:5" x14ac:dyDescent="0.25">
      <c r="A42" t="s">
        <v>1107</v>
      </c>
      <c r="B42" s="10">
        <v>190</v>
      </c>
      <c r="C42" s="69">
        <v>7.1595880000000001E-2</v>
      </c>
      <c r="D42" s="23">
        <v>2.6000000000000002E-2</v>
      </c>
      <c r="E42" s="69">
        <v>0</v>
      </c>
    </row>
    <row r="43" spans="1:5" x14ac:dyDescent="0.25">
      <c r="A43" t="s">
        <v>1107</v>
      </c>
      <c r="B43" s="10">
        <v>193</v>
      </c>
      <c r="C43" s="69">
        <v>7.1108919999999992E-2</v>
      </c>
      <c r="D43" s="23">
        <v>2.6000000000000002E-2</v>
      </c>
      <c r="E43" s="69">
        <v>0</v>
      </c>
    </row>
    <row r="44" spans="1:5" x14ac:dyDescent="0.25">
      <c r="A44" t="s">
        <v>1107</v>
      </c>
      <c r="B44" s="10">
        <v>197</v>
      </c>
      <c r="C44" s="69">
        <v>7.0363110000000006E-2</v>
      </c>
      <c r="D44" s="23">
        <v>2.6000000000000002E-2</v>
      </c>
      <c r="E44" s="69">
        <v>0</v>
      </c>
    </row>
    <row r="45" spans="1:5" x14ac:dyDescent="0.25">
      <c r="A45" t="s">
        <v>1107</v>
      </c>
      <c r="B45" s="10">
        <v>198</v>
      </c>
      <c r="C45" s="69">
        <v>7.0163260000000005E-2</v>
      </c>
      <c r="D45" s="23">
        <v>2.6000000000000002E-2</v>
      </c>
      <c r="E45" s="69">
        <v>0</v>
      </c>
    </row>
    <row r="46" spans="1:5" x14ac:dyDescent="0.25">
      <c r="A46" t="s">
        <v>1107</v>
      </c>
      <c r="B46" s="10">
        <v>199</v>
      </c>
      <c r="C46" s="69">
        <v>6.9959010000000002E-2</v>
      </c>
      <c r="D46" s="23">
        <v>2.6000000000000002E-2</v>
      </c>
      <c r="E46" s="69">
        <v>0</v>
      </c>
    </row>
    <row r="47" spans="1:5" x14ac:dyDescent="0.25">
      <c r="A47" t="s">
        <v>1107</v>
      </c>
      <c r="B47" s="10">
        <v>203</v>
      </c>
      <c r="C47" s="69">
        <v>6.9349900000000006E-2</v>
      </c>
      <c r="D47" s="23">
        <v>2.6000000000000002E-2</v>
      </c>
      <c r="E47" s="69">
        <v>0</v>
      </c>
    </row>
    <row r="48" spans="1:5" x14ac:dyDescent="0.25">
      <c r="A48" t="s">
        <v>1107</v>
      </c>
      <c r="B48" s="10">
        <v>206</v>
      </c>
      <c r="C48" s="69">
        <v>6.9245299999999996E-2</v>
      </c>
      <c r="D48" s="23">
        <v>2.6000000000000002E-2</v>
      </c>
      <c r="E48" s="69">
        <v>0</v>
      </c>
    </row>
    <row r="49" spans="1:6" x14ac:dyDescent="0.25">
      <c r="A49" t="s">
        <v>1107</v>
      </c>
      <c r="B49" s="10">
        <v>209</v>
      </c>
      <c r="C49" s="69">
        <v>6.9023979999999999E-2</v>
      </c>
      <c r="D49" s="23">
        <v>2.6000000000000002E-2</v>
      </c>
      <c r="E49" s="69">
        <v>0</v>
      </c>
    </row>
    <row r="50" spans="1:6" x14ac:dyDescent="0.25">
      <c r="A50" t="s">
        <v>1107</v>
      </c>
      <c r="B50" s="10">
        <v>218</v>
      </c>
      <c r="C50" s="69">
        <v>6.7877450000000006E-2</v>
      </c>
      <c r="D50" s="23">
        <v>2.6000000000000002E-2</v>
      </c>
      <c r="E50" s="69">
        <v>0</v>
      </c>
    </row>
    <row r="51" spans="1:6" x14ac:dyDescent="0.25">
      <c r="A51" t="s">
        <v>1107</v>
      </c>
      <c r="B51" s="10">
        <v>222</v>
      </c>
      <c r="C51" s="69">
        <v>6.7215930000000007E-2</v>
      </c>
      <c r="D51" s="23">
        <v>2.6000000000000002E-2</v>
      </c>
      <c r="E51" s="69">
        <v>0</v>
      </c>
    </row>
    <row r="52" spans="1:6" x14ac:dyDescent="0.25">
      <c r="A52" t="s">
        <v>1107</v>
      </c>
      <c r="B52" s="10">
        <v>226</v>
      </c>
      <c r="C52" s="69">
        <v>6.6703200000000004E-2</v>
      </c>
      <c r="D52" s="23">
        <v>2.6000000000000002E-2</v>
      </c>
      <c r="E52" s="69">
        <v>0</v>
      </c>
    </row>
    <row r="53" spans="1:6" x14ac:dyDescent="0.25">
      <c r="A53" t="s">
        <v>1107</v>
      </c>
      <c r="B53" s="10">
        <v>236</v>
      </c>
      <c r="C53" s="69">
        <v>6.6078499999999998E-2</v>
      </c>
      <c r="D53" s="23">
        <v>2.6000000000000002E-2</v>
      </c>
      <c r="E53" s="69">
        <v>0</v>
      </c>
    </row>
    <row r="54" spans="1:6" x14ac:dyDescent="0.25">
      <c r="A54" t="s">
        <v>1107</v>
      </c>
      <c r="B54" s="10">
        <v>240</v>
      </c>
      <c r="C54" s="69">
        <v>6.5615510000000002E-2</v>
      </c>
      <c r="D54" s="23">
        <v>2.6000000000000002E-2</v>
      </c>
      <c r="E54" s="69">
        <v>0</v>
      </c>
    </row>
    <row r="55" spans="1:6" x14ac:dyDescent="0.25">
      <c r="A55" t="s">
        <v>1107</v>
      </c>
      <c r="B55" s="10">
        <v>249</v>
      </c>
      <c r="C55" s="69">
        <v>6.4425039999999989E-2</v>
      </c>
      <c r="D55" s="23">
        <v>2.6000000000000002E-2</v>
      </c>
      <c r="E55" s="69">
        <v>0</v>
      </c>
    </row>
    <row r="56" spans="1:6" x14ac:dyDescent="0.25">
      <c r="A56" t="s">
        <v>1107</v>
      </c>
      <c r="B56" s="19">
        <v>258</v>
      </c>
      <c r="C56" s="69">
        <v>6.4025070000000003E-2</v>
      </c>
      <c r="D56" s="23">
        <v>2.6000000000000002E-2</v>
      </c>
      <c r="E56" s="69">
        <v>0</v>
      </c>
    </row>
    <row r="57" spans="1:6" x14ac:dyDescent="0.25">
      <c r="A57" t="s">
        <v>1107</v>
      </c>
      <c r="B57" s="10">
        <v>262</v>
      </c>
      <c r="C57" s="69">
        <v>6.3665059999999996E-2</v>
      </c>
      <c r="D57" s="23">
        <v>2.6000000000000002E-2</v>
      </c>
      <c r="E57" s="104">
        <v>3.4404000000023417E-5</v>
      </c>
      <c r="F57" s="105"/>
    </row>
    <row r="58" spans="1:6" x14ac:dyDescent="0.25">
      <c r="A58" t="s">
        <v>1107</v>
      </c>
      <c r="B58" s="10">
        <v>276</v>
      </c>
      <c r="C58" s="69">
        <v>6.2388649999999997E-2</v>
      </c>
      <c r="D58" s="23">
        <v>2.6000000000000002E-2</v>
      </c>
      <c r="E58" s="69">
        <v>2.6472499999997013E-4</v>
      </c>
      <c r="F58" s="105"/>
    </row>
    <row r="59" spans="1:6" x14ac:dyDescent="0.25">
      <c r="A59" t="s">
        <v>1107</v>
      </c>
      <c r="B59" s="10">
        <v>311</v>
      </c>
      <c r="C59" s="69">
        <v>6.0078950000000006E-2</v>
      </c>
      <c r="D59" s="23">
        <v>2.6000000000000002E-2</v>
      </c>
      <c r="E59" s="69">
        <v>1.1185050000000274E-3</v>
      </c>
      <c r="F59" s="105"/>
    </row>
    <row r="60" spans="1:6" x14ac:dyDescent="0.25">
      <c r="A60" t="s">
        <v>1107</v>
      </c>
      <c r="B60" s="10">
        <v>314</v>
      </c>
      <c r="C60" s="69">
        <v>5.9833689999999995E-2</v>
      </c>
      <c r="D60" s="23">
        <v>2.6000000000000002E-2</v>
      </c>
      <c r="E60" s="69">
        <v>1.2196400000000552E-3</v>
      </c>
      <c r="F60" s="105"/>
    </row>
    <row r="61" spans="1:6" x14ac:dyDescent="0.25">
      <c r="A61" t="s">
        <v>1107</v>
      </c>
      <c r="B61" s="10">
        <v>319</v>
      </c>
      <c r="C61" s="69">
        <v>5.9368290000000004E-2</v>
      </c>
      <c r="D61" s="23">
        <v>2.6000000000000002E-2</v>
      </c>
      <c r="E61" s="69">
        <v>1.4016680000000293E-3</v>
      </c>
      <c r="F61" s="105"/>
    </row>
    <row r="62" spans="1:6" x14ac:dyDescent="0.25">
      <c r="A62" t="s">
        <v>1107</v>
      </c>
      <c r="B62" s="10">
        <v>328</v>
      </c>
      <c r="C62" s="69">
        <v>5.9014629999999998E-2</v>
      </c>
      <c r="D62" s="23">
        <v>2.6000000000000002E-2</v>
      </c>
      <c r="E62" s="69">
        <v>1.7776979999999298E-3</v>
      </c>
      <c r="F62" s="105"/>
    </row>
    <row r="63" spans="1:6" x14ac:dyDescent="0.25">
      <c r="A63" t="s">
        <v>1107</v>
      </c>
      <c r="B63" s="10">
        <v>330</v>
      </c>
      <c r="C63" s="69">
        <v>5.8932169999999999E-2</v>
      </c>
      <c r="D63" s="23">
        <v>2.6000000000000002E-2</v>
      </c>
      <c r="E63" s="69">
        <v>1.8707919999999944E-3</v>
      </c>
      <c r="F63" s="105"/>
    </row>
    <row r="64" spans="1:6" x14ac:dyDescent="0.25">
      <c r="A64" t="s">
        <v>1107</v>
      </c>
      <c r="B64" s="10">
        <v>336</v>
      </c>
      <c r="C64" s="69">
        <v>5.8587350000000003E-2</v>
      </c>
      <c r="D64" s="23">
        <v>2.6000000000000002E-2</v>
      </c>
      <c r="E64" s="69">
        <v>2.1737140000000466E-3</v>
      </c>
      <c r="F64" s="105"/>
    </row>
    <row r="65" spans="1:6" x14ac:dyDescent="0.25">
      <c r="A65" t="s">
        <v>1107</v>
      </c>
      <c r="B65" s="10">
        <v>340</v>
      </c>
      <c r="C65" s="69">
        <v>5.8292469999999999E-2</v>
      </c>
      <c r="D65" s="23">
        <v>2.6000000000000002E-2</v>
      </c>
      <c r="E65" s="69">
        <v>2.3972329999999431E-3</v>
      </c>
      <c r="F65" s="105"/>
    </row>
    <row r="66" spans="1:6" x14ac:dyDescent="0.25">
      <c r="A66" t="s">
        <v>1107</v>
      </c>
      <c r="B66" s="10">
        <v>341</v>
      </c>
      <c r="C66" s="69">
        <v>5.8212200000000006E-2</v>
      </c>
      <c r="D66" s="23">
        <v>2.6000000000000002E-2</v>
      </c>
      <c r="E66" s="69">
        <v>2.4560390000000609E-3</v>
      </c>
      <c r="F66" s="105"/>
    </row>
    <row r="67" spans="1:6" x14ac:dyDescent="0.25">
      <c r="A67" t="s">
        <v>1107</v>
      </c>
      <c r="B67" s="10">
        <v>349</v>
      </c>
      <c r="C67" s="69">
        <v>5.7734090000000002E-2</v>
      </c>
      <c r="D67" s="23">
        <v>2.6000000000000002E-2</v>
      </c>
      <c r="E67" s="69">
        <v>2.8882839999999988E-3</v>
      </c>
      <c r="F67" s="105"/>
    </row>
    <row r="68" spans="1:6" x14ac:dyDescent="0.25">
      <c r="A68" t="s">
        <v>1107</v>
      </c>
      <c r="B68" s="10">
        <v>367</v>
      </c>
      <c r="C68" s="69">
        <v>5.686687E-2</v>
      </c>
      <c r="D68" s="23">
        <v>2.6000000000000002E-2</v>
      </c>
      <c r="E68" s="69">
        <v>3.0864350000000228E-3</v>
      </c>
      <c r="F68" s="105"/>
    </row>
    <row r="69" spans="1:6" x14ac:dyDescent="0.25">
      <c r="A69" t="s">
        <v>1107</v>
      </c>
      <c r="B69" s="10">
        <v>409</v>
      </c>
      <c r="C69" s="69">
        <v>5.5126109999999999E-2</v>
      </c>
      <c r="D69" s="23">
        <v>2.6000000000000002E-2</v>
      </c>
      <c r="E69" s="69">
        <v>4.100981999999931E-3</v>
      </c>
      <c r="F69" s="105"/>
    </row>
    <row r="70" spans="1:6" x14ac:dyDescent="0.25">
      <c r="A70" t="s">
        <v>1107</v>
      </c>
      <c r="B70" s="10">
        <v>449</v>
      </c>
      <c r="C70" s="69">
        <v>5.3426790000000002E-2</v>
      </c>
      <c r="D70" s="23">
        <v>2.6000000000000002E-2</v>
      </c>
      <c r="E70" s="69">
        <v>4.967723000000035E-3</v>
      </c>
      <c r="F70" s="105"/>
    </row>
    <row r="71" spans="1:6" x14ac:dyDescent="0.25">
      <c r="A71" t="s">
        <v>1107</v>
      </c>
      <c r="B71" s="10">
        <v>459</v>
      </c>
      <c r="C71" s="69">
        <v>5.3267910000000002E-2</v>
      </c>
      <c r="D71" s="23">
        <v>2.6000000000000002E-2</v>
      </c>
      <c r="E71" s="69">
        <v>5.1282220000000225E-3</v>
      </c>
      <c r="F71" s="105"/>
    </row>
    <row r="72" spans="1:6" x14ac:dyDescent="0.25">
      <c r="A72" t="s">
        <v>1107</v>
      </c>
      <c r="B72" s="10">
        <v>460</v>
      </c>
      <c r="C72" s="69">
        <v>5.323949E-2</v>
      </c>
      <c r="D72" s="23">
        <v>2.6000000000000002E-2</v>
      </c>
      <c r="E72" s="69">
        <v>5.1468359999999793E-3</v>
      </c>
      <c r="F72" s="105"/>
    </row>
    <row r="73" spans="1:6" x14ac:dyDescent="0.25">
      <c r="A73" t="s">
        <v>1107</v>
      </c>
      <c r="B73" s="10">
        <v>539</v>
      </c>
      <c r="C73" s="69">
        <v>5.0903700000000003E-2</v>
      </c>
      <c r="D73" s="23">
        <v>2.6000000000000002E-2</v>
      </c>
      <c r="E73" s="69">
        <v>6.6333290000000038E-3</v>
      </c>
      <c r="F73" s="105"/>
    </row>
    <row r="74" spans="1:6" x14ac:dyDescent="0.25">
      <c r="A74" t="s">
        <v>1107</v>
      </c>
      <c r="B74" s="19">
        <v>563</v>
      </c>
      <c r="C74" s="69">
        <v>5.027744E-2</v>
      </c>
      <c r="D74" s="23">
        <v>2.6000000000000002E-2</v>
      </c>
      <c r="E74" s="69">
        <v>7.1841569999999419E-3</v>
      </c>
      <c r="F74" s="105"/>
    </row>
    <row r="75" spans="1:6" x14ac:dyDescent="0.25">
      <c r="A75" t="s">
        <v>1107</v>
      </c>
      <c r="B75" s="10">
        <v>584</v>
      </c>
      <c r="C75" s="69">
        <v>4.968235E-2</v>
      </c>
      <c r="D75" s="23">
        <v>2.6000000000000002E-2</v>
      </c>
      <c r="E75" s="69">
        <v>7.3379429999999961E-3</v>
      </c>
      <c r="F75" s="105"/>
    </row>
    <row r="76" spans="1:6" x14ac:dyDescent="0.25">
      <c r="A76" t="s">
        <v>1107</v>
      </c>
      <c r="B76" s="10">
        <v>603</v>
      </c>
      <c r="C76" s="69">
        <v>4.9365949999999999E-2</v>
      </c>
      <c r="D76" s="23">
        <v>2.6000000000000002E-2</v>
      </c>
      <c r="E76" s="69">
        <v>7.6158399999999918E-3</v>
      </c>
      <c r="F76" s="105"/>
    </row>
    <row r="77" spans="1:6" x14ac:dyDescent="0.25">
      <c r="A77" t="s">
        <v>1107</v>
      </c>
      <c r="B77" s="10">
        <v>625</v>
      </c>
      <c r="C77" s="69">
        <v>4.8930639999999997E-2</v>
      </c>
      <c r="D77" s="23">
        <v>2.6000000000000002E-2</v>
      </c>
      <c r="E77" s="69">
        <v>8.0618300000000424E-3</v>
      </c>
      <c r="F77" s="105"/>
    </row>
    <row r="78" spans="1:6" x14ac:dyDescent="0.25">
      <c r="A78" t="s">
        <v>1107</v>
      </c>
      <c r="B78" s="10">
        <v>654</v>
      </c>
      <c r="C78" s="69">
        <v>4.8356519999999993E-2</v>
      </c>
      <c r="D78" s="23">
        <v>2.6000000000000002E-2</v>
      </c>
      <c r="E78" s="69">
        <v>8.2783840000000448E-3</v>
      </c>
      <c r="F78" s="105"/>
    </row>
    <row r="79" spans="1:6" x14ac:dyDescent="0.25">
      <c r="A79" t="s">
        <v>1107</v>
      </c>
      <c r="B79" s="68">
        <v>700</v>
      </c>
      <c r="C79" s="69">
        <v>4.7496379999999998E-2</v>
      </c>
      <c r="D79" s="23">
        <v>2.6000000000000002E-2</v>
      </c>
      <c r="E79" s="69">
        <v>8.8723160000000693E-3</v>
      </c>
      <c r="F79" s="105"/>
    </row>
  </sheetData>
  <sortState ref="A2:D83">
    <sortCondition ref="B2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opLeftCell="A37" workbookViewId="0">
      <selection activeCell="D2" sqref="D2"/>
    </sheetView>
  </sheetViews>
  <sheetFormatPr defaultRowHeight="15" x14ac:dyDescent="0.25"/>
  <cols>
    <col min="1" max="1" width="15.28515625" bestFit="1" customWidth="1"/>
    <col min="2" max="2" width="11" bestFit="1" customWidth="1"/>
    <col min="3" max="3" width="9.140625" customWidth="1"/>
    <col min="4" max="4" width="8.5703125" bestFit="1" customWidth="1"/>
  </cols>
  <sheetData>
    <row r="1" spans="1:5" x14ac:dyDescent="0.25">
      <c r="A1" t="s">
        <v>841</v>
      </c>
      <c r="B1" t="s">
        <v>842</v>
      </c>
      <c r="C1" t="s">
        <v>844</v>
      </c>
      <c r="D1" t="s">
        <v>845</v>
      </c>
      <c r="E1" t="s">
        <v>1150</v>
      </c>
    </row>
    <row r="2" spans="1:5" x14ac:dyDescent="0.25">
      <c r="A2" t="s">
        <v>1111</v>
      </c>
      <c r="B2" s="22">
        <v>0</v>
      </c>
      <c r="C2" s="69">
        <v>0.5</v>
      </c>
      <c r="D2" s="23">
        <v>1.6E-2</v>
      </c>
      <c r="E2" s="69">
        <v>0</v>
      </c>
    </row>
    <row r="3" spans="1:5" x14ac:dyDescent="0.25">
      <c r="A3" t="s">
        <v>1111</v>
      </c>
      <c r="B3" s="22">
        <v>11</v>
      </c>
      <c r="C3" s="69">
        <v>0.27026870727539065</v>
      </c>
      <c r="D3" s="23">
        <v>1.6E-2</v>
      </c>
      <c r="E3" s="69">
        <v>0</v>
      </c>
    </row>
    <row r="4" spans="1:5" x14ac:dyDescent="0.25">
      <c r="A4" t="s">
        <v>1111</v>
      </c>
      <c r="B4" s="22">
        <v>13</v>
      </c>
      <c r="C4" s="69">
        <v>0.23871959686279298</v>
      </c>
      <c r="D4" s="23">
        <v>1.6E-2</v>
      </c>
      <c r="E4" s="69">
        <v>0</v>
      </c>
    </row>
    <row r="5" spans="1:5" x14ac:dyDescent="0.25">
      <c r="A5" t="s">
        <v>1111</v>
      </c>
      <c r="B5" s="22">
        <v>14</v>
      </c>
      <c r="C5" s="69">
        <v>0.23548892974853516</v>
      </c>
      <c r="D5" s="23">
        <v>1.6E-2</v>
      </c>
      <c r="E5" s="69">
        <v>0</v>
      </c>
    </row>
    <row r="6" spans="1:5" x14ac:dyDescent="0.25">
      <c r="A6" t="s">
        <v>1111</v>
      </c>
      <c r="B6" s="22">
        <v>16</v>
      </c>
      <c r="C6" s="69">
        <v>0.22200819015502929</v>
      </c>
      <c r="D6" s="23">
        <v>1.6E-2</v>
      </c>
      <c r="E6" s="69">
        <v>0</v>
      </c>
    </row>
    <row r="7" spans="1:5" x14ac:dyDescent="0.25">
      <c r="A7" t="s">
        <v>1111</v>
      </c>
      <c r="B7" s="22">
        <v>20</v>
      </c>
      <c r="C7" s="69">
        <v>0.19050464630126954</v>
      </c>
      <c r="D7" s="23">
        <v>1.6E-2</v>
      </c>
      <c r="E7" s="69">
        <v>0</v>
      </c>
    </row>
    <row r="8" spans="1:5" x14ac:dyDescent="0.25">
      <c r="A8" t="s">
        <v>1111</v>
      </c>
      <c r="B8" s="22">
        <v>23</v>
      </c>
      <c r="C8" s="69">
        <v>0.16999164581298828</v>
      </c>
      <c r="D8" s="23">
        <v>1.6E-2</v>
      </c>
      <c r="E8" s="69">
        <v>0</v>
      </c>
    </row>
    <row r="9" spans="1:5" x14ac:dyDescent="0.25">
      <c r="A9" t="s">
        <v>1111</v>
      </c>
      <c r="B9" s="22">
        <v>25</v>
      </c>
      <c r="C9" s="69">
        <v>0.15823599815368652</v>
      </c>
      <c r="D9" s="23">
        <v>1.6E-2</v>
      </c>
      <c r="E9" s="69">
        <v>0</v>
      </c>
    </row>
    <row r="10" spans="1:5" x14ac:dyDescent="0.25">
      <c r="A10" t="s">
        <v>1111</v>
      </c>
      <c r="B10" s="22">
        <v>26</v>
      </c>
      <c r="C10" s="69">
        <v>0.15288707733154297</v>
      </c>
      <c r="D10" s="23">
        <v>1.6E-2</v>
      </c>
      <c r="E10" s="69">
        <v>0</v>
      </c>
    </row>
    <row r="11" spans="1:5" x14ac:dyDescent="0.25">
      <c r="A11" t="s">
        <v>1111</v>
      </c>
      <c r="B11" s="22">
        <v>27</v>
      </c>
      <c r="C11" s="69">
        <v>0.1478615665435791</v>
      </c>
      <c r="D11" s="23">
        <v>1.6E-2</v>
      </c>
      <c r="E11" s="69">
        <v>0</v>
      </c>
    </row>
    <row r="12" spans="1:5" x14ac:dyDescent="0.25">
      <c r="A12" t="s">
        <v>1111</v>
      </c>
      <c r="B12" s="22">
        <v>28</v>
      </c>
      <c r="C12" s="69">
        <v>0.14554805755615235</v>
      </c>
      <c r="D12" s="23">
        <v>1.6E-2</v>
      </c>
      <c r="E12" s="69">
        <v>0</v>
      </c>
    </row>
    <row r="13" spans="1:5" x14ac:dyDescent="0.25">
      <c r="A13" t="s">
        <v>1111</v>
      </c>
      <c r="B13" s="22">
        <v>29</v>
      </c>
      <c r="C13" s="69">
        <v>0.1449643325805664</v>
      </c>
      <c r="D13" s="23">
        <v>1.6E-2</v>
      </c>
      <c r="E13" s="69">
        <v>0</v>
      </c>
    </row>
    <row r="14" spans="1:5" x14ac:dyDescent="0.25">
      <c r="A14" t="s">
        <v>1111</v>
      </c>
      <c r="B14" s="22">
        <v>30</v>
      </c>
      <c r="C14" s="69">
        <v>0.14376820564270021</v>
      </c>
      <c r="D14" s="23">
        <v>1.6E-2</v>
      </c>
      <c r="E14" s="69">
        <v>0</v>
      </c>
    </row>
    <row r="15" spans="1:5" x14ac:dyDescent="0.25">
      <c r="A15" t="s">
        <v>1111</v>
      </c>
      <c r="B15" s="22">
        <v>35</v>
      </c>
      <c r="C15" s="69">
        <v>0.13340332984924316</v>
      </c>
      <c r="D15" s="23">
        <v>1.6E-2</v>
      </c>
      <c r="E15" s="69">
        <v>0</v>
      </c>
    </row>
    <row r="16" spans="1:5" x14ac:dyDescent="0.25">
      <c r="A16" t="s">
        <v>1111</v>
      </c>
      <c r="B16" s="22">
        <v>39</v>
      </c>
      <c r="C16" s="69">
        <v>0.12376840591430664</v>
      </c>
      <c r="D16" s="23">
        <v>1.6E-2</v>
      </c>
      <c r="E16" s="69">
        <v>0</v>
      </c>
    </row>
    <row r="17" spans="1:5" x14ac:dyDescent="0.25">
      <c r="A17" t="s">
        <v>1111</v>
      </c>
      <c r="B17" s="22">
        <v>40</v>
      </c>
      <c r="C17" s="69">
        <v>0.12141650199890136</v>
      </c>
      <c r="D17" s="23">
        <v>1.6E-2</v>
      </c>
      <c r="E17" s="69">
        <v>0</v>
      </c>
    </row>
    <row r="18" spans="1:5" x14ac:dyDescent="0.25">
      <c r="A18" t="s">
        <v>1111</v>
      </c>
      <c r="B18" s="22">
        <v>41</v>
      </c>
      <c r="C18" s="69">
        <v>0.11911007881164551</v>
      </c>
      <c r="D18" s="23">
        <v>1.6E-2</v>
      </c>
      <c r="E18" s="69">
        <v>0</v>
      </c>
    </row>
    <row r="19" spans="1:5" x14ac:dyDescent="0.25">
      <c r="A19" t="s">
        <v>1111</v>
      </c>
      <c r="B19" s="22">
        <v>42</v>
      </c>
      <c r="C19" s="69">
        <v>0.11685508728027344</v>
      </c>
      <c r="D19" s="23">
        <v>1.6E-2</v>
      </c>
      <c r="E19" s="69">
        <v>0</v>
      </c>
    </row>
    <row r="20" spans="1:5" x14ac:dyDescent="0.25">
      <c r="A20" t="s">
        <v>1111</v>
      </c>
      <c r="B20" s="22">
        <v>51</v>
      </c>
      <c r="C20" s="69">
        <v>0.10528561592102051</v>
      </c>
      <c r="D20" s="23">
        <v>1.6E-2</v>
      </c>
      <c r="E20" s="69">
        <v>0</v>
      </c>
    </row>
    <row r="21" spans="1:5" x14ac:dyDescent="0.25">
      <c r="A21" t="s">
        <v>1111</v>
      </c>
      <c r="B21" s="22">
        <v>52</v>
      </c>
      <c r="C21" s="69">
        <v>0.10453355789184571</v>
      </c>
      <c r="D21" s="23">
        <v>1.6E-2</v>
      </c>
      <c r="E21" s="69">
        <v>0</v>
      </c>
    </row>
    <row r="22" spans="1:5" x14ac:dyDescent="0.25">
      <c r="A22" t="s">
        <v>1111</v>
      </c>
      <c r="B22" s="22">
        <v>55</v>
      </c>
      <c r="C22" s="69">
        <v>0.10179985046386719</v>
      </c>
      <c r="D22" s="23">
        <v>1.6E-2</v>
      </c>
      <c r="E22" s="69">
        <v>0</v>
      </c>
    </row>
    <row r="23" spans="1:5" x14ac:dyDescent="0.25">
      <c r="A23" t="s">
        <v>1111</v>
      </c>
      <c r="B23" s="22">
        <v>75</v>
      </c>
      <c r="C23" s="69">
        <v>8.5137672424316413E-2</v>
      </c>
      <c r="D23" s="23">
        <v>1.6E-2</v>
      </c>
      <c r="E23" s="69">
        <v>0</v>
      </c>
    </row>
    <row r="24" spans="1:5" x14ac:dyDescent="0.25">
      <c r="A24" t="s">
        <v>1111</v>
      </c>
      <c r="B24" s="22">
        <v>78</v>
      </c>
      <c r="C24" s="69">
        <v>8.3806600570678708E-2</v>
      </c>
      <c r="D24" s="23">
        <v>1.6E-2</v>
      </c>
      <c r="E24" s="69">
        <v>0</v>
      </c>
    </row>
    <row r="25" spans="1:5" x14ac:dyDescent="0.25">
      <c r="A25" t="s">
        <v>1111</v>
      </c>
      <c r="B25" s="22">
        <v>81</v>
      </c>
      <c r="C25" s="69">
        <v>8.2202644348144532E-2</v>
      </c>
      <c r="D25" s="23">
        <v>1.6E-2</v>
      </c>
      <c r="E25" s="69">
        <v>0</v>
      </c>
    </row>
    <row r="26" spans="1:5" x14ac:dyDescent="0.25">
      <c r="A26" t="s">
        <v>1111</v>
      </c>
      <c r="B26" s="22">
        <v>87</v>
      </c>
      <c r="C26" s="69">
        <v>7.8605041503906251E-2</v>
      </c>
      <c r="D26" s="23">
        <v>1.6E-2</v>
      </c>
      <c r="E26" s="69">
        <v>0</v>
      </c>
    </row>
    <row r="27" spans="1:5" x14ac:dyDescent="0.25">
      <c r="A27" t="s">
        <v>1111</v>
      </c>
      <c r="B27" s="22">
        <v>91</v>
      </c>
      <c r="C27" s="69">
        <v>7.6120333671569826E-2</v>
      </c>
      <c r="D27" s="23">
        <v>1.6E-2</v>
      </c>
      <c r="E27" s="69">
        <v>0</v>
      </c>
    </row>
    <row r="28" spans="1:5" x14ac:dyDescent="0.25">
      <c r="A28" t="s">
        <v>1111</v>
      </c>
      <c r="B28" s="22">
        <v>101</v>
      </c>
      <c r="C28" s="69">
        <v>7.2923874855041509E-2</v>
      </c>
      <c r="D28" s="23">
        <v>1.6E-2</v>
      </c>
      <c r="E28" s="69">
        <v>0</v>
      </c>
    </row>
    <row r="29" spans="1:5" x14ac:dyDescent="0.25">
      <c r="A29" t="s">
        <v>1111</v>
      </c>
      <c r="B29" s="22">
        <v>107</v>
      </c>
      <c r="C29" s="69">
        <v>7.121423721313476E-2</v>
      </c>
      <c r="D29" s="23">
        <v>1.6E-2</v>
      </c>
      <c r="E29" s="69">
        <v>0</v>
      </c>
    </row>
    <row r="30" spans="1:5" x14ac:dyDescent="0.25">
      <c r="A30" t="s">
        <v>1111</v>
      </c>
      <c r="B30" s="22">
        <v>122</v>
      </c>
      <c r="C30" s="69">
        <v>6.5452508926391595E-2</v>
      </c>
      <c r="D30" s="23">
        <v>1.6E-2</v>
      </c>
      <c r="E30" s="69">
        <v>0</v>
      </c>
    </row>
    <row r="31" spans="1:5" x14ac:dyDescent="0.25">
      <c r="A31" t="s">
        <v>1111</v>
      </c>
      <c r="B31" s="22">
        <v>126</v>
      </c>
      <c r="C31" s="69">
        <v>6.4986391067504881E-2</v>
      </c>
      <c r="D31" s="23">
        <v>1.6E-2</v>
      </c>
      <c r="E31" s="69">
        <v>0</v>
      </c>
    </row>
    <row r="32" spans="1:5" x14ac:dyDescent="0.25">
      <c r="A32" t="s">
        <v>1111</v>
      </c>
      <c r="B32" s="22">
        <v>140</v>
      </c>
      <c r="C32" s="69">
        <v>6.2406964302062988E-2</v>
      </c>
      <c r="D32" s="23">
        <v>1.6E-2</v>
      </c>
      <c r="E32" s="69">
        <v>0</v>
      </c>
    </row>
    <row r="33" spans="1:5" x14ac:dyDescent="0.25">
      <c r="A33" t="s">
        <v>1111</v>
      </c>
      <c r="B33" s="22">
        <v>146</v>
      </c>
      <c r="C33" s="69">
        <v>6.0819363594055174E-2</v>
      </c>
      <c r="D33" s="23">
        <v>1.6E-2</v>
      </c>
      <c r="E33" s="69">
        <v>0</v>
      </c>
    </row>
    <row r="34" spans="1:5" x14ac:dyDescent="0.25">
      <c r="A34" t="s">
        <v>1111</v>
      </c>
      <c r="B34" s="22">
        <v>149</v>
      </c>
      <c r="C34" s="69">
        <v>5.9989271163940427E-2</v>
      </c>
      <c r="D34" s="23">
        <v>1.6E-2</v>
      </c>
      <c r="E34" s="69">
        <v>0</v>
      </c>
    </row>
    <row r="35" spans="1:5" x14ac:dyDescent="0.25">
      <c r="A35" t="s">
        <v>1111</v>
      </c>
      <c r="B35" s="22">
        <v>158</v>
      </c>
      <c r="C35" s="69">
        <v>5.8768935203552246E-2</v>
      </c>
      <c r="D35" s="23">
        <v>1.6E-2</v>
      </c>
      <c r="E35" s="69">
        <v>0</v>
      </c>
    </row>
    <row r="36" spans="1:5" x14ac:dyDescent="0.25">
      <c r="A36" t="s">
        <v>1111</v>
      </c>
      <c r="B36" s="22">
        <v>175</v>
      </c>
      <c r="C36" s="69">
        <v>5.6187109947204592E-2</v>
      </c>
      <c r="D36" s="23">
        <v>1.6E-2</v>
      </c>
      <c r="E36" s="69">
        <v>0</v>
      </c>
    </row>
    <row r="37" spans="1:5" x14ac:dyDescent="0.25">
      <c r="A37" t="s">
        <v>1111</v>
      </c>
      <c r="B37" s="22">
        <v>184</v>
      </c>
      <c r="C37" s="69">
        <v>5.4390549659729004E-2</v>
      </c>
      <c r="D37" s="23">
        <v>1.6E-2</v>
      </c>
      <c r="E37" s="69">
        <v>0</v>
      </c>
    </row>
    <row r="38" spans="1:5" x14ac:dyDescent="0.25">
      <c r="A38" t="s">
        <v>1111</v>
      </c>
      <c r="B38" s="22">
        <v>186</v>
      </c>
      <c r="C38" s="69">
        <v>5.4371161460876463E-2</v>
      </c>
      <c r="D38" s="23">
        <v>1.6E-2</v>
      </c>
      <c r="E38" s="69">
        <v>0</v>
      </c>
    </row>
    <row r="39" spans="1:5" x14ac:dyDescent="0.25">
      <c r="A39" t="s">
        <v>1111</v>
      </c>
      <c r="B39" s="22">
        <v>215</v>
      </c>
      <c r="C39" s="69">
        <v>5.1046023368835451E-2</v>
      </c>
      <c r="D39" s="23">
        <v>1.6E-2</v>
      </c>
      <c r="E39" s="69">
        <v>0</v>
      </c>
    </row>
    <row r="40" spans="1:5" x14ac:dyDescent="0.25">
      <c r="A40" t="s">
        <v>1111</v>
      </c>
      <c r="B40" s="22">
        <v>218</v>
      </c>
      <c r="C40" s="69">
        <v>5.07985782623291E-2</v>
      </c>
      <c r="D40" s="23">
        <v>1.6E-2</v>
      </c>
      <c r="E40" s="69">
        <v>0</v>
      </c>
    </row>
    <row r="41" spans="1:5" x14ac:dyDescent="0.25">
      <c r="A41" t="s">
        <v>1111</v>
      </c>
      <c r="B41" s="22">
        <v>222</v>
      </c>
      <c r="C41" s="69">
        <v>5.069413185119629E-2</v>
      </c>
      <c r="D41" s="23">
        <v>1.6E-2</v>
      </c>
      <c r="E41" s="69">
        <v>0</v>
      </c>
    </row>
    <row r="42" spans="1:5" x14ac:dyDescent="0.25">
      <c r="A42" t="s">
        <v>1111</v>
      </c>
      <c r="B42" s="22">
        <v>226</v>
      </c>
      <c r="C42" s="69">
        <v>5.0480093955993649E-2</v>
      </c>
      <c r="D42" s="23">
        <v>1.6E-2</v>
      </c>
      <c r="E42" s="69">
        <v>0</v>
      </c>
    </row>
    <row r="43" spans="1:5" x14ac:dyDescent="0.25">
      <c r="A43" t="s">
        <v>1111</v>
      </c>
      <c r="B43" s="22">
        <v>227</v>
      </c>
      <c r="C43" s="69">
        <v>5.0412487983703611E-2</v>
      </c>
      <c r="D43" s="23">
        <v>1.6E-2</v>
      </c>
      <c r="E43" s="69">
        <v>0</v>
      </c>
    </row>
    <row r="44" spans="1:5" x14ac:dyDescent="0.25">
      <c r="A44" t="s">
        <v>1111</v>
      </c>
      <c r="B44" s="22">
        <v>246</v>
      </c>
      <c r="C44" s="69">
        <v>4.8473024368286134E-2</v>
      </c>
      <c r="D44" s="23">
        <v>1.6E-2</v>
      </c>
      <c r="E44" s="69">
        <v>0</v>
      </c>
    </row>
    <row r="45" spans="1:5" x14ac:dyDescent="0.25">
      <c r="A45" t="s">
        <v>1111</v>
      </c>
      <c r="B45" s="22">
        <v>251</v>
      </c>
      <c r="C45" s="69">
        <v>4.7924547195434569E-2</v>
      </c>
      <c r="D45" s="23">
        <v>1.6E-2</v>
      </c>
      <c r="E45" s="69">
        <v>0</v>
      </c>
    </row>
    <row r="46" spans="1:5" x14ac:dyDescent="0.25">
      <c r="A46" t="s">
        <v>1111</v>
      </c>
      <c r="B46" s="22">
        <v>266</v>
      </c>
      <c r="C46" s="69">
        <v>4.7307367324829104E-2</v>
      </c>
      <c r="D46" s="23">
        <v>1.6E-2</v>
      </c>
      <c r="E46" s="69">
        <v>0</v>
      </c>
    </row>
    <row r="47" spans="1:5" x14ac:dyDescent="0.25">
      <c r="A47" t="s">
        <v>1111</v>
      </c>
      <c r="B47" s="22">
        <v>284</v>
      </c>
      <c r="C47" s="69">
        <v>4.5697026252746582E-2</v>
      </c>
      <c r="D47" s="23">
        <v>1.6E-2</v>
      </c>
      <c r="E47" s="69">
        <v>0</v>
      </c>
    </row>
    <row r="48" spans="1:5" x14ac:dyDescent="0.25">
      <c r="A48" t="s">
        <v>1111</v>
      </c>
      <c r="B48" s="22">
        <v>319</v>
      </c>
      <c r="C48" s="69">
        <v>4.3770408630371092E-2</v>
      </c>
      <c r="D48" s="23">
        <v>1.6E-2</v>
      </c>
      <c r="E48" s="69">
        <v>0</v>
      </c>
    </row>
    <row r="49" spans="1:5" x14ac:dyDescent="0.25">
      <c r="A49" t="s">
        <v>1111</v>
      </c>
      <c r="B49" s="22">
        <v>364</v>
      </c>
      <c r="C49" s="69">
        <v>4.1851053237915041E-2</v>
      </c>
      <c r="D49" s="23">
        <v>1.6E-2</v>
      </c>
      <c r="E49" s="69">
        <v>0</v>
      </c>
    </row>
    <row r="50" spans="1:5" x14ac:dyDescent="0.25">
      <c r="A50" t="s">
        <v>1111</v>
      </c>
      <c r="B50" s="22">
        <v>367</v>
      </c>
      <c r="C50" s="69">
        <v>4.1789031028747557E-2</v>
      </c>
      <c r="D50" s="23">
        <v>1.6E-2</v>
      </c>
      <c r="E50" s="69">
        <v>0</v>
      </c>
    </row>
    <row r="51" spans="1:5" x14ac:dyDescent="0.25">
      <c r="A51" t="s">
        <v>1111</v>
      </c>
      <c r="B51" s="22">
        <v>374</v>
      </c>
      <c r="C51" s="69">
        <v>4.156722068786621E-2</v>
      </c>
      <c r="D51" s="23">
        <v>1.6E-2</v>
      </c>
      <c r="E51" s="69">
        <v>0</v>
      </c>
    </row>
    <row r="52" spans="1:5" x14ac:dyDescent="0.25">
      <c r="A52" t="s">
        <v>1111</v>
      </c>
      <c r="B52" s="22">
        <v>405</v>
      </c>
      <c r="C52" s="69">
        <v>4.0350852012634275E-2</v>
      </c>
      <c r="D52" s="23">
        <v>1.6E-2</v>
      </c>
      <c r="E52" s="69">
        <v>0</v>
      </c>
    </row>
    <row r="53" spans="1:5" x14ac:dyDescent="0.25">
      <c r="A53" t="s">
        <v>1111</v>
      </c>
      <c r="B53" s="22">
        <v>406</v>
      </c>
      <c r="C53" s="69">
        <v>4.0328798294067381E-2</v>
      </c>
      <c r="D53" s="23">
        <v>1.6E-2</v>
      </c>
      <c r="E53" s="69">
        <v>0</v>
      </c>
    </row>
    <row r="54" spans="1:5" x14ac:dyDescent="0.25">
      <c r="A54" t="s">
        <v>1111</v>
      </c>
      <c r="B54" s="22">
        <v>410</v>
      </c>
      <c r="C54" s="69">
        <v>4.0222859382629393E-2</v>
      </c>
      <c r="D54" s="23">
        <v>1.6E-2</v>
      </c>
      <c r="E54" s="69">
        <v>0</v>
      </c>
    </row>
    <row r="55" spans="1:5" x14ac:dyDescent="0.25">
      <c r="A55" t="s">
        <v>1111</v>
      </c>
      <c r="B55" s="22">
        <v>414</v>
      </c>
      <c r="C55" s="69">
        <v>4.0091857910156251E-2</v>
      </c>
      <c r="D55" s="23">
        <v>1.6E-2</v>
      </c>
      <c r="E55" s="69">
        <v>0</v>
      </c>
    </row>
    <row r="56" spans="1:5" x14ac:dyDescent="0.25">
      <c r="A56" t="s">
        <v>1111</v>
      </c>
      <c r="B56" s="22">
        <v>478</v>
      </c>
      <c r="C56" s="69">
        <v>3.8060302734375002E-2</v>
      </c>
      <c r="D56" s="23">
        <v>1.6E-2</v>
      </c>
      <c r="E56" s="105">
        <v>4.4010000000000105E-4</v>
      </c>
    </row>
    <row r="57" spans="1:5" x14ac:dyDescent="0.25">
      <c r="A57" t="s">
        <v>1111</v>
      </c>
      <c r="B57" s="22">
        <v>492</v>
      </c>
      <c r="C57" s="69">
        <v>3.779904127120972E-2</v>
      </c>
      <c r="D57" s="23">
        <v>1.6E-2</v>
      </c>
      <c r="E57" s="105">
        <v>5.8796000000000954E-4</v>
      </c>
    </row>
    <row r="58" spans="1:5" x14ac:dyDescent="0.25">
      <c r="A58" t="s">
        <v>1111</v>
      </c>
      <c r="B58" s="22">
        <v>524</v>
      </c>
      <c r="C58" s="69">
        <v>3.7002429962158204E-2</v>
      </c>
      <c r="D58" s="23">
        <v>1.6E-2</v>
      </c>
      <c r="E58" s="105">
        <v>1.0313999999999623E-3</v>
      </c>
    </row>
    <row r="59" spans="1:5" x14ac:dyDescent="0.25">
      <c r="A59" t="s">
        <v>1111</v>
      </c>
      <c r="B59" s="22">
        <v>559</v>
      </c>
      <c r="C59" s="69">
        <v>3.6192872524261475E-2</v>
      </c>
      <c r="D59" s="23">
        <v>1.6E-2</v>
      </c>
      <c r="E59" s="105">
        <v>1.765489999999943E-3</v>
      </c>
    </row>
    <row r="60" spans="1:5" x14ac:dyDescent="0.25">
      <c r="A60" t="s">
        <v>1111</v>
      </c>
      <c r="B60" s="22">
        <v>568</v>
      </c>
      <c r="C60" s="69">
        <v>3.6073698997497558E-2</v>
      </c>
      <c r="D60" s="23">
        <v>1.6E-2</v>
      </c>
      <c r="E60" s="105">
        <v>1.8142100000000027E-3</v>
      </c>
    </row>
    <row r="61" spans="1:5" x14ac:dyDescent="0.25">
      <c r="A61" t="s">
        <v>1111</v>
      </c>
      <c r="B61" s="22">
        <v>634</v>
      </c>
      <c r="C61" s="69">
        <v>3.4715030193328861E-2</v>
      </c>
      <c r="D61" s="23">
        <v>1.6E-2</v>
      </c>
      <c r="E61" s="105">
        <v>2.2459700000000281E-3</v>
      </c>
    </row>
    <row r="62" spans="1:5" x14ac:dyDescent="0.25">
      <c r="A62" t="s">
        <v>1111</v>
      </c>
      <c r="B62" s="22">
        <v>635</v>
      </c>
      <c r="C62" s="69">
        <v>3.4714646339416504E-2</v>
      </c>
      <c r="D62" s="23">
        <v>1.6E-2</v>
      </c>
      <c r="E62" s="105">
        <v>2.2563700000000609E-3</v>
      </c>
    </row>
    <row r="63" spans="1:5" x14ac:dyDescent="0.25">
      <c r="A63" t="s">
        <v>1111</v>
      </c>
      <c r="B63" s="22">
        <v>639</v>
      </c>
      <c r="C63" s="69">
        <v>3.4702553749084472E-2</v>
      </c>
      <c r="D63" s="23">
        <v>1.6E-2</v>
      </c>
      <c r="E63" s="105">
        <v>2.2994799999999315E-3</v>
      </c>
    </row>
    <row r="64" spans="1:5" x14ac:dyDescent="0.25">
      <c r="A64" t="s">
        <v>1111</v>
      </c>
      <c r="B64" s="22">
        <v>680</v>
      </c>
      <c r="C64" s="69">
        <v>3.4055225849151612E-2</v>
      </c>
      <c r="D64" s="23">
        <v>1.6E-2</v>
      </c>
      <c r="E64" s="105">
        <v>2.9130200000000175E-3</v>
      </c>
    </row>
    <row r="65" spans="1:5" x14ac:dyDescent="0.25">
      <c r="A65" t="s">
        <v>1111</v>
      </c>
      <c r="B65" s="22">
        <v>695</v>
      </c>
      <c r="C65" s="69">
        <v>3.3908395767211913E-2</v>
      </c>
      <c r="D65" s="23">
        <v>1.6E-2</v>
      </c>
      <c r="E65" s="105">
        <v>2.9715600000000107E-3</v>
      </c>
    </row>
    <row r="66" spans="1:5" x14ac:dyDescent="0.25">
      <c r="A66" t="s">
        <v>1111</v>
      </c>
      <c r="B66" s="22">
        <v>718</v>
      </c>
      <c r="C66" s="69">
        <v>3.3469398021697995E-2</v>
      </c>
      <c r="D66" s="23">
        <v>1.6E-2</v>
      </c>
      <c r="E66" s="105">
        <v>3.0621899999999868E-3</v>
      </c>
    </row>
    <row r="67" spans="1:5" x14ac:dyDescent="0.25">
      <c r="A67" t="s">
        <v>1111</v>
      </c>
      <c r="B67" s="22">
        <v>773</v>
      </c>
      <c r="C67" s="69">
        <v>3.286144256591797E-2</v>
      </c>
      <c r="D67" s="23">
        <v>1.6E-2</v>
      </c>
      <c r="E67" s="105">
        <v>3.5089000000000682E-3</v>
      </c>
    </row>
    <row r="68" spans="1:5" x14ac:dyDescent="0.25">
      <c r="A68" t="s">
        <v>1111</v>
      </c>
      <c r="B68" s="22">
        <v>807</v>
      </c>
      <c r="C68" s="69">
        <v>3.2412748336791995E-2</v>
      </c>
      <c r="D68" s="23">
        <v>1.6E-2</v>
      </c>
      <c r="E68" s="105">
        <v>3.8130300000000263E-3</v>
      </c>
    </row>
    <row r="69" spans="1:5" x14ac:dyDescent="0.25">
      <c r="A69" t="s">
        <v>1111</v>
      </c>
      <c r="B69" s="22">
        <v>882</v>
      </c>
      <c r="C69" s="69">
        <v>3.1625103950500486E-2</v>
      </c>
      <c r="D69" s="23">
        <v>1.6E-2</v>
      </c>
      <c r="E69" s="105">
        <v>4.2612099999999485E-3</v>
      </c>
    </row>
    <row r="70" spans="1:5" x14ac:dyDescent="0.25">
      <c r="A70" t="s">
        <v>1111</v>
      </c>
      <c r="B70" s="22">
        <v>885</v>
      </c>
      <c r="C70" s="69">
        <v>3.1576952934265136E-2</v>
      </c>
      <c r="D70" s="23">
        <v>1.6E-2</v>
      </c>
      <c r="E70" s="105">
        <v>4.2936299999999502E-3</v>
      </c>
    </row>
    <row r="71" spans="1:5" x14ac:dyDescent="0.25">
      <c r="A71" t="s">
        <v>1111</v>
      </c>
      <c r="B71" s="22">
        <v>1023</v>
      </c>
      <c r="C71" s="69">
        <v>3.0390653610229492E-2</v>
      </c>
      <c r="D71" s="23">
        <v>1.6E-2</v>
      </c>
      <c r="E71" s="105">
        <v>5.0436000000000543E-3</v>
      </c>
    </row>
    <row r="72" spans="1:5" x14ac:dyDescent="0.25">
      <c r="A72" t="s">
        <v>1111</v>
      </c>
      <c r="B72" s="22">
        <v>1086</v>
      </c>
      <c r="C72" s="69">
        <v>2.9980592727661133E-2</v>
      </c>
      <c r="D72" s="23">
        <v>1.6E-2</v>
      </c>
      <c r="E72" s="105">
        <v>5.367020000000053E-3</v>
      </c>
    </row>
    <row r="73" spans="1:5" x14ac:dyDescent="0.25">
      <c r="A73" t="s">
        <v>1111</v>
      </c>
      <c r="B73" s="22">
        <v>1437</v>
      </c>
      <c r="C73" s="69">
        <v>2.7993726730346679E-2</v>
      </c>
      <c r="D73" s="23">
        <v>1.6E-2</v>
      </c>
      <c r="E73" s="105">
        <v>6.6614099999999614E-3</v>
      </c>
    </row>
    <row r="74" spans="1:5" x14ac:dyDescent="0.25">
      <c r="A74" t="s">
        <v>1111</v>
      </c>
      <c r="B74" s="22">
        <v>1500</v>
      </c>
      <c r="C74" s="69">
        <v>2.7736506462097167E-2</v>
      </c>
      <c r="D74" s="23">
        <v>1.6E-2</v>
      </c>
      <c r="E74" s="105">
        <v>6.8568999999999393E-3</v>
      </c>
    </row>
  </sheetData>
  <sortState ref="A2:E93">
    <sortCondition ref="B2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5" x14ac:dyDescent="0.25"/>
  <cols>
    <col min="1" max="1" width="12.140625" customWidth="1"/>
    <col min="2" max="2" width="63.7109375" bestFit="1" customWidth="1"/>
    <col min="3" max="3" width="11.42578125" customWidth="1"/>
    <col min="4" max="4" width="12.5703125" bestFit="1" customWidth="1"/>
    <col min="5" max="5" width="16.28515625" customWidth="1"/>
    <col min="6" max="6" width="19.85546875" customWidth="1"/>
    <col min="7" max="7" width="20.85546875" customWidth="1"/>
    <col min="8" max="8" width="19.5703125" customWidth="1"/>
    <col min="9" max="9" width="22.28515625" customWidth="1"/>
    <col min="10" max="10" width="13.5703125" customWidth="1"/>
    <col min="11" max="11" width="12.140625" customWidth="1"/>
    <col min="12" max="12" width="9.140625" style="25"/>
  </cols>
  <sheetData>
    <row r="1" spans="1:11" ht="45" x14ac:dyDescent="0.25">
      <c r="A1" s="7" t="s">
        <v>189</v>
      </c>
      <c r="B1" s="7" t="s">
        <v>183</v>
      </c>
      <c r="C1" s="8" t="s">
        <v>190</v>
      </c>
      <c r="D1" s="7" t="s">
        <v>195</v>
      </c>
      <c r="E1" s="8" t="s">
        <v>191</v>
      </c>
      <c r="F1" s="8" t="s">
        <v>192</v>
      </c>
      <c r="G1" s="8" t="s">
        <v>193</v>
      </c>
      <c r="H1" s="7" t="s">
        <v>587</v>
      </c>
      <c r="I1" s="7" t="s">
        <v>196</v>
      </c>
      <c r="J1" s="7" t="s">
        <v>194</v>
      </c>
      <c r="K1" s="7" t="s">
        <v>189</v>
      </c>
    </row>
    <row r="2" spans="1:11" x14ac:dyDescent="0.25">
      <c r="A2" s="4" t="s">
        <v>9</v>
      </c>
      <c r="B2" s="4" t="s">
        <v>10</v>
      </c>
      <c r="C2" s="6">
        <v>42</v>
      </c>
      <c r="D2" s="6">
        <v>40</v>
      </c>
      <c r="E2" s="9">
        <v>0.57999999999999996</v>
      </c>
      <c r="F2" s="9">
        <v>0.55000000000000004</v>
      </c>
      <c r="G2" s="9">
        <v>0.55000000000000004</v>
      </c>
      <c r="H2" s="26">
        <v>3.2000000000000001E-2</v>
      </c>
      <c r="I2" s="28" t="s">
        <v>218</v>
      </c>
      <c r="J2" s="10" t="s">
        <v>527</v>
      </c>
      <c r="K2" s="4" t="s">
        <v>9</v>
      </c>
    </row>
    <row r="3" spans="1:11" x14ac:dyDescent="0.25">
      <c r="A3" s="4" t="s">
        <v>120</v>
      </c>
      <c r="B3" s="4" t="s">
        <v>121</v>
      </c>
      <c r="C3" s="6">
        <v>35</v>
      </c>
      <c r="D3" s="6">
        <v>33</v>
      </c>
      <c r="E3" s="9">
        <v>0.82</v>
      </c>
      <c r="F3" s="9">
        <v>0.37</v>
      </c>
      <c r="G3" s="9">
        <v>0.57999999999999996</v>
      </c>
      <c r="H3" s="26">
        <v>0.02</v>
      </c>
      <c r="I3" s="28" t="s">
        <v>566</v>
      </c>
      <c r="J3" s="10" t="s">
        <v>567</v>
      </c>
      <c r="K3" s="4" t="s">
        <v>120</v>
      </c>
    </row>
    <row r="4" spans="1:11" x14ac:dyDescent="0.25">
      <c r="A4" s="4" t="s">
        <v>48</v>
      </c>
      <c r="B4" s="4" t="s">
        <v>49</v>
      </c>
      <c r="C4" s="6">
        <v>43</v>
      </c>
      <c r="D4" s="6">
        <v>43</v>
      </c>
      <c r="E4" s="9">
        <v>0.41</v>
      </c>
      <c r="F4" s="9">
        <v>0.28000000000000003</v>
      </c>
      <c r="G4" s="9">
        <v>0.28999999999999998</v>
      </c>
      <c r="H4" s="26">
        <v>3.1E-2</v>
      </c>
      <c r="I4" s="28" t="s">
        <v>433</v>
      </c>
      <c r="J4" s="10" t="s">
        <v>279</v>
      </c>
      <c r="K4" s="4" t="s">
        <v>48</v>
      </c>
    </row>
    <row r="5" spans="1:11" x14ac:dyDescent="0.25">
      <c r="A5" s="4" t="s">
        <v>13</v>
      </c>
      <c r="B5" s="4" t="s">
        <v>14</v>
      </c>
      <c r="C5" s="6">
        <v>31</v>
      </c>
      <c r="D5" s="6">
        <v>27</v>
      </c>
      <c r="E5" s="9">
        <v>0.85</v>
      </c>
      <c r="F5" s="9">
        <v>0.52</v>
      </c>
      <c r="G5" s="9">
        <v>0.74</v>
      </c>
      <c r="H5" s="26">
        <v>3.4000000000000002E-2</v>
      </c>
      <c r="I5" s="28" t="s">
        <v>528</v>
      </c>
      <c r="J5" s="10" t="s">
        <v>529</v>
      </c>
      <c r="K5" s="4" t="s">
        <v>13</v>
      </c>
    </row>
    <row r="6" spans="1:11" x14ac:dyDescent="0.25">
      <c r="A6" s="4" t="s">
        <v>37</v>
      </c>
      <c r="B6" s="4" t="s">
        <v>38</v>
      </c>
      <c r="C6" s="6">
        <v>14</v>
      </c>
      <c r="D6" s="6">
        <v>11</v>
      </c>
      <c r="E6" s="9">
        <v>0.73</v>
      </c>
      <c r="F6" s="9">
        <v>0.71</v>
      </c>
      <c r="G6" s="9">
        <v>0.82</v>
      </c>
      <c r="H6" s="26">
        <v>3.9E-2</v>
      </c>
      <c r="I6" s="28" t="s">
        <v>538</v>
      </c>
      <c r="J6" s="10" t="s">
        <v>341</v>
      </c>
      <c r="K6" s="4" t="s">
        <v>37</v>
      </c>
    </row>
    <row r="7" spans="1:11" x14ac:dyDescent="0.25">
      <c r="A7" s="4" t="s">
        <v>33</v>
      </c>
      <c r="B7" s="4" t="s">
        <v>34</v>
      </c>
      <c r="C7" s="6">
        <v>50</v>
      </c>
      <c r="D7" s="6">
        <v>42</v>
      </c>
      <c r="E7" s="9">
        <v>0.64</v>
      </c>
      <c r="F7" s="9">
        <v>0.16</v>
      </c>
      <c r="G7" s="9">
        <v>0.38</v>
      </c>
      <c r="H7" s="26">
        <v>0</v>
      </c>
      <c r="I7" s="28" t="s">
        <v>536</v>
      </c>
      <c r="J7" s="10" t="s">
        <v>527</v>
      </c>
      <c r="K7" s="4" t="s">
        <v>33</v>
      </c>
    </row>
    <row r="8" spans="1:11" x14ac:dyDescent="0.25">
      <c r="A8" s="4" t="s">
        <v>180</v>
      </c>
      <c r="B8" s="4" t="s">
        <v>181</v>
      </c>
      <c r="C8" s="6">
        <v>163</v>
      </c>
      <c r="D8" s="6">
        <v>158</v>
      </c>
      <c r="E8" s="9">
        <v>0.66</v>
      </c>
      <c r="F8" s="9">
        <v>0.4</v>
      </c>
      <c r="G8" s="9">
        <v>0.43</v>
      </c>
      <c r="H8" s="26">
        <v>2.1000000000000001E-2</v>
      </c>
      <c r="I8" s="28" t="s">
        <v>586</v>
      </c>
      <c r="J8" s="10" t="s">
        <v>261</v>
      </c>
      <c r="K8" s="4" t="s">
        <v>180</v>
      </c>
    </row>
    <row r="9" spans="1:11" x14ac:dyDescent="0.25">
      <c r="A9" s="4" t="s">
        <v>0</v>
      </c>
      <c r="B9" s="4" t="s">
        <v>1</v>
      </c>
      <c r="C9" s="6">
        <v>18</v>
      </c>
      <c r="D9" s="6">
        <v>18</v>
      </c>
      <c r="E9" s="9">
        <v>0.56000000000000005</v>
      </c>
      <c r="F9" s="9">
        <v>0.44</v>
      </c>
      <c r="G9" s="9">
        <v>0.5</v>
      </c>
      <c r="H9" s="26">
        <v>2.8000000000000001E-2</v>
      </c>
      <c r="I9" s="28" t="s">
        <v>695</v>
      </c>
      <c r="J9" s="10" t="s">
        <v>515</v>
      </c>
      <c r="K9" s="4" t="s">
        <v>0</v>
      </c>
    </row>
    <row r="10" spans="1:11" x14ac:dyDescent="0.25">
      <c r="A10" s="4" t="s">
        <v>19</v>
      </c>
      <c r="B10" s="4" t="s">
        <v>20</v>
      </c>
      <c r="C10" s="6">
        <v>47</v>
      </c>
      <c r="D10" s="6">
        <v>43</v>
      </c>
      <c r="E10" s="9">
        <v>0.91</v>
      </c>
      <c r="F10" s="9">
        <v>0.36</v>
      </c>
      <c r="G10" s="9">
        <v>0.72</v>
      </c>
      <c r="H10" s="26">
        <v>1.2999999999999999E-2</v>
      </c>
      <c r="I10" s="28" t="s">
        <v>413</v>
      </c>
      <c r="J10" s="10" t="s">
        <v>518</v>
      </c>
      <c r="K10" s="4" t="s">
        <v>19</v>
      </c>
    </row>
    <row r="11" spans="1:11" x14ac:dyDescent="0.25">
      <c r="A11" s="4" t="s">
        <v>148</v>
      </c>
      <c r="B11" s="4" t="s">
        <v>149</v>
      </c>
      <c r="C11" s="6">
        <v>45</v>
      </c>
      <c r="D11" s="6">
        <v>45</v>
      </c>
      <c r="E11" s="9">
        <v>0.67</v>
      </c>
      <c r="F11" s="9">
        <v>0.6</v>
      </c>
      <c r="G11" s="9">
        <v>0.67</v>
      </c>
      <c r="H11" s="26">
        <v>0</v>
      </c>
      <c r="I11" s="28" t="s">
        <v>576</v>
      </c>
      <c r="J11" s="10" t="s">
        <v>515</v>
      </c>
      <c r="K11" s="4" t="s">
        <v>148</v>
      </c>
    </row>
    <row r="12" spans="1:11" x14ac:dyDescent="0.25">
      <c r="A12" s="4" t="s">
        <v>142</v>
      </c>
      <c r="B12" s="4" t="s">
        <v>143</v>
      </c>
      <c r="C12" s="6">
        <v>39</v>
      </c>
      <c r="D12" s="6">
        <v>35</v>
      </c>
      <c r="E12" s="9">
        <v>0.83</v>
      </c>
      <c r="F12" s="9">
        <v>0.49</v>
      </c>
      <c r="G12" s="9">
        <v>0.71</v>
      </c>
      <c r="H12" s="26">
        <v>0</v>
      </c>
      <c r="I12" s="28" t="s">
        <v>575</v>
      </c>
      <c r="J12" s="10" t="s">
        <v>299</v>
      </c>
      <c r="K12" s="4" t="s">
        <v>142</v>
      </c>
    </row>
    <row r="13" spans="1:11" x14ac:dyDescent="0.25">
      <c r="A13" s="4" t="s">
        <v>54</v>
      </c>
      <c r="B13" s="4" t="s">
        <v>55</v>
      </c>
      <c r="C13" s="6">
        <v>108</v>
      </c>
      <c r="D13" s="6">
        <v>97</v>
      </c>
      <c r="E13" s="9">
        <v>0.68</v>
      </c>
      <c r="F13" s="9">
        <v>0.56000000000000005</v>
      </c>
      <c r="G13" s="9">
        <v>0.59</v>
      </c>
      <c r="H13" s="26">
        <v>4.0000000000000001E-3</v>
      </c>
      <c r="I13" s="28" t="s">
        <v>543</v>
      </c>
      <c r="J13" s="10" t="s">
        <v>278</v>
      </c>
      <c r="K13" s="4" t="s">
        <v>54</v>
      </c>
    </row>
    <row r="14" spans="1:11" x14ac:dyDescent="0.25">
      <c r="A14" s="4" t="s">
        <v>5</v>
      </c>
      <c r="B14" s="4" t="s">
        <v>6</v>
      </c>
      <c r="C14" s="6">
        <v>7</v>
      </c>
      <c r="D14" s="6">
        <v>7</v>
      </c>
      <c r="E14" s="9">
        <v>0.56999999999999995</v>
      </c>
      <c r="F14" s="9">
        <v>0.28999999999999998</v>
      </c>
      <c r="G14" s="9">
        <v>0.43</v>
      </c>
      <c r="H14" s="26">
        <v>2.3E-2</v>
      </c>
      <c r="I14" s="28" t="s">
        <v>525</v>
      </c>
      <c r="J14" s="10" t="s">
        <v>299</v>
      </c>
      <c r="K14" s="4" t="s">
        <v>5</v>
      </c>
    </row>
    <row r="15" spans="1:11" x14ac:dyDescent="0.25">
      <c r="A15" s="4" t="s">
        <v>81</v>
      </c>
      <c r="B15" s="4" t="s">
        <v>82</v>
      </c>
      <c r="C15" s="6">
        <v>29</v>
      </c>
      <c r="D15" s="6">
        <v>28</v>
      </c>
      <c r="E15" s="9">
        <v>0.82</v>
      </c>
      <c r="F15" s="9">
        <v>0.31</v>
      </c>
      <c r="G15" s="9">
        <v>0.68</v>
      </c>
      <c r="H15" s="26">
        <v>2.8000000000000001E-2</v>
      </c>
      <c r="I15" s="28" t="s">
        <v>700</v>
      </c>
      <c r="J15" s="10" t="s">
        <v>527</v>
      </c>
      <c r="K15" s="4" t="s">
        <v>81</v>
      </c>
    </row>
    <row r="16" spans="1:11" x14ac:dyDescent="0.25">
      <c r="A16" s="4" t="s">
        <v>72</v>
      </c>
      <c r="B16" s="4" t="s">
        <v>73</v>
      </c>
      <c r="C16" s="6">
        <v>101</v>
      </c>
      <c r="D16" s="6">
        <v>97</v>
      </c>
      <c r="E16" s="9">
        <v>0.76</v>
      </c>
      <c r="F16" s="9">
        <v>0.05</v>
      </c>
      <c r="G16" s="9">
        <v>0.16</v>
      </c>
      <c r="H16" s="26">
        <v>1.2E-2</v>
      </c>
      <c r="I16" s="28" t="s">
        <v>548</v>
      </c>
      <c r="J16" s="10" t="s">
        <v>515</v>
      </c>
      <c r="K16" s="4" t="s">
        <v>72</v>
      </c>
    </row>
    <row r="17" spans="1:11" x14ac:dyDescent="0.25">
      <c r="A17" s="4" t="s">
        <v>7</v>
      </c>
      <c r="B17" s="4" t="s">
        <v>8</v>
      </c>
      <c r="C17" s="6">
        <v>21</v>
      </c>
      <c r="D17" s="6">
        <v>21</v>
      </c>
      <c r="E17" s="9">
        <v>0.86</v>
      </c>
      <c r="F17" s="9">
        <v>0.76</v>
      </c>
      <c r="G17" s="9">
        <v>0.86</v>
      </c>
      <c r="H17" s="26">
        <v>1.4E-2</v>
      </c>
      <c r="I17" s="28" t="s">
        <v>526</v>
      </c>
      <c r="J17" s="10" t="s">
        <v>299</v>
      </c>
      <c r="K17" s="4" t="s">
        <v>7</v>
      </c>
    </row>
    <row r="18" spans="1:11" x14ac:dyDescent="0.25">
      <c r="A18" s="4" t="s">
        <v>93</v>
      </c>
      <c r="B18" s="4" t="s">
        <v>94</v>
      </c>
      <c r="C18" s="6">
        <v>46</v>
      </c>
      <c r="D18" s="6">
        <v>45</v>
      </c>
      <c r="E18" s="9">
        <v>0.6</v>
      </c>
      <c r="F18" s="9">
        <v>0.63</v>
      </c>
      <c r="G18" s="9">
        <v>0.6</v>
      </c>
      <c r="H18" s="26">
        <v>0</v>
      </c>
      <c r="I18" s="28" t="s">
        <v>556</v>
      </c>
      <c r="J18" s="10" t="s">
        <v>272</v>
      </c>
      <c r="K18" s="4" t="s">
        <v>93</v>
      </c>
    </row>
    <row r="19" spans="1:11" x14ac:dyDescent="0.25">
      <c r="A19" s="4" t="s">
        <v>138</v>
      </c>
      <c r="B19" s="4" t="s">
        <v>139</v>
      </c>
      <c r="C19" s="6">
        <v>43</v>
      </c>
      <c r="D19" s="6">
        <v>38</v>
      </c>
      <c r="E19" s="9">
        <v>0.84</v>
      </c>
      <c r="F19" s="9">
        <v>0.74</v>
      </c>
      <c r="G19" s="9">
        <v>0.92</v>
      </c>
      <c r="H19" s="26">
        <v>2.4E-2</v>
      </c>
      <c r="I19" s="28" t="s">
        <v>573</v>
      </c>
      <c r="J19" s="10" t="s">
        <v>341</v>
      </c>
      <c r="K19" s="4" t="s">
        <v>138</v>
      </c>
    </row>
    <row r="20" spans="1:11" x14ac:dyDescent="0.25">
      <c r="A20" s="4" t="s">
        <v>126</v>
      </c>
      <c r="B20" s="4" t="s">
        <v>127</v>
      </c>
      <c r="C20" s="6">
        <v>46</v>
      </c>
      <c r="D20" s="6">
        <v>41</v>
      </c>
      <c r="E20" s="9">
        <v>0.73</v>
      </c>
      <c r="F20" s="9">
        <v>0.67</v>
      </c>
      <c r="G20" s="9">
        <v>0.73</v>
      </c>
      <c r="H20" s="26">
        <v>2.5999999999999999E-2</v>
      </c>
      <c r="I20" s="28" t="s">
        <v>560</v>
      </c>
      <c r="J20" s="10" t="s">
        <v>274</v>
      </c>
      <c r="K20" s="4" t="s">
        <v>126</v>
      </c>
    </row>
    <row r="21" spans="1:11" x14ac:dyDescent="0.25">
      <c r="A21" s="4" t="s">
        <v>154</v>
      </c>
      <c r="B21" s="4" t="s">
        <v>155</v>
      </c>
      <c r="C21" s="6">
        <v>61</v>
      </c>
      <c r="D21" s="6">
        <v>50</v>
      </c>
      <c r="E21" s="9">
        <v>0.7</v>
      </c>
      <c r="F21" s="9">
        <v>0.51</v>
      </c>
      <c r="G21" s="9">
        <v>0.62</v>
      </c>
      <c r="H21" s="26">
        <v>3.3000000000000002E-2</v>
      </c>
      <c r="I21" s="28" t="s">
        <v>577</v>
      </c>
      <c r="J21" s="10" t="s">
        <v>578</v>
      </c>
      <c r="K21" s="4" t="s">
        <v>154</v>
      </c>
    </row>
    <row r="22" spans="1:11" x14ac:dyDescent="0.25">
      <c r="A22" s="4" t="s">
        <v>39</v>
      </c>
      <c r="B22" s="4" t="s">
        <v>216</v>
      </c>
      <c r="C22" s="6">
        <v>56</v>
      </c>
      <c r="D22" s="6">
        <v>49</v>
      </c>
      <c r="E22" s="9">
        <v>0.71</v>
      </c>
      <c r="F22" s="9">
        <v>0.35</v>
      </c>
      <c r="G22" s="9">
        <v>0.47</v>
      </c>
      <c r="H22" s="26">
        <v>3.4000000000000002E-2</v>
      </c>
      <c r="I22" s="28" t="s">
        <v>539</v>
      </c>
      <c r="J22" s="10" t="s">
        <v>540</v>
      </c>
      <c r="K22" s="4" t="s">
        <v>39</v>
      </c>
    </row>
    <row r="23" spans="1:11" x14ac:dyDescent="0.25">
      <c r="A23" s="4" t="s">
        <v>40</v>
      </c>
      <c r="B23" s="4" t="s">
        <v>41</v>
      </c>
      <c r="C23" s="6">
        <v>42</v>
      </c>
      <c r="D23" s="6">
        <v>41</v>
      </c>
      <c r="E23" s="9">
        <v>0.68</v>
      </c>
      <c r="F23" s="9">
        <v>0.79</v>
      </c>
      <c r="G23" s="9">
        <v>0.76</v>
      </c>
      <c r="H23" s="26">
        <v>3.7999999999999999E-2</v>
      </c>
      <c r="I23" s="28" t="s">
        <v>541</v>
      </c>
      <c r="J23" s="10" t="s">
        <v>542</v>
      </c>
      <c r="K23" s="4" t="s">
        <v>40</v>
      </c>
    </row>
    <row r="24" spans="1:11" x14ac:dyDescent="0.25">
      <c r="A24" s="4" t="s">
        <v>115</v>
      </c>
      <c r="B24" s="4" t="s">
        <v>116</v>
      </c>
      <c r="C24" s="6">
        <v>63</v>
      </c>
      <c r="D24" s="6">
        <v>60</v>
      </c>
      <c r="E24" s="9">
        <v>0.71</v>
      </c>
      <c r="F24" s="9">
        <v>0.49</v>
      </c>
      <c r="G24" s="9">
        <v>0.6</v>
      </c>
      <c r="H24" s="26">
        <v>1.9E-2</v>
      </c>
      <c r="I24" s="28" t="s">
        <v>702</v>
      </c>
      <c r="J24" s="10" t="s">
        <v>515</v>
      </c>
      <c r="K24" s="4" t="s">
        <v>115</v>
      </c>
    </row>
    <row r="25" spans="1:11" x14ac:dyDescent="0.25">
      <c r="A25" s="4" t="s">
        <v>66</v>
      </c>
      <c r="B25" s="4" t="s">
        <v>67</v>
      </c>
      <c r="C25" s="6">
        <v>57</v>
      </c>
      <c r="D25" s="6">
        <v>49</v>
      </c>
      <c r="E25" s="9">
        <v>0.49</v>
      </c>
      <c r="F25" s="9">
        <v>0.68</v>
      </c>
      <c r="G25" s="9">
        <v>0.71</v>
      </c>
      <c r="H25" s="26">
        <v>0.01</v>
      </c>
      <c r="I25" s="28" t="s">
        <v>546</v>
      </c>
      <c r="J25" s="10" t="s">
        <v>296</v>
      </c>
      <c r="K25" s="4" t="s">
        <v>66</v>
      </c>
    </row>
    <row r="26" spans="1:11" x14ac:dyDescent="0.25">
      <c r="A26" s="4" t="s">
        <v>130</v>
      </c>
      <c r="B26" s="4" t="s">
        <v>131</v>
      </c>
      <c r="C26" s="6">
        <v>75</v>
      </c>
      <c r="D26" s="6">
        <v>68</v>
      </c>
      <c r="E26" s="9">
        <v>0.61</v>
      </c>
      <c r="F26" s="9">
        <v>0.44</v>
      </c>
      <c r="G26" s="9">
        <v>0.44</v>
      </c>
      <c r="H26" s="26">
        <v>0.01</v>
      </c>
      <c r="I26" s="28" t="s">
        <v>570</v>
      </c>
      <c r="J26" s="10" t="s">
        <v>267</v>
      </c>
      <c r="K26" s="4" t="s">
        <v>130</v>
      </c>
    </row>
    <row r="27" spans="1:11" x14ac:dyDescent="0.25">
      <c r="A27" s="4" t="s">
        <v>158</v>
      </c>
      <c r="B27" s="4" t="s">
        <v>159</v>
      </c>
      <c r="C27" s="6">
        <v>47</v>
      </c>
      <c r="D27" s="6">
        <v>43</v>
      </c>
      <c r="E27" s="9">
        <v>0.73</v>
      </c>
      <c r="F27" s="9">
        <v>0.43</v>
      </c>
      <c r="G27" s="9">
        <v>0.42</v>
      </c>
      <c r="H27" s="26">
        <v>1.9E-2</v>
      </c>
      <c r="I27" s="28" t="s">
        <v>580</v>
      </c>
      <c r="J27" s="10" t="s">
        <v>281</v>
      </c>
      <c r="K27" s="4" t="s">
        <v>158</v>
      </c>
    </row>
    <row r="28" spans="1:11" x14ac:dyDescent="0.25">
      <c r="A28" s="4" t="s">
        <v>74</v>
      </c>
      <c r="B28" s="4" t="s">
        <v>75</v>
      </c>
      <c r="C28" s="6">
        <v>76</v>
      </c>
      <c r="D28" s="6">
        <v>58</v>
      </c>
      <c r="E28" s="9">
        <v>0.84</v>
      </c>
      <c r="F28" s="9">
        <v>0.39</v>
      </c>
      <c r="G28" s="9">
        <v>0.66</v>
      </c>
      <c r="H28" s="26">
        <v>1.0999999999999999E-2</v>
      </c>
      <c r="I28" s="28" t="s">
        <v>549</v>
      </c>
      <c r="J28" s="10" t="s">
        <v>266</v>
      </c>
      <c r="K28" s="4" t="s">
        <v>74</v>
      </c>
    </row>
    <row r="29" spans="1:11" x14ac:dyDescent="0.25">
      <c r="A29" s="4" t="s">
        <v>150</v>
      </c>
      <c r="B29" s="4" t="s">
        <v>151</v>
      </c>
      <c r="C29" s="6">
        <v>83</v>
      </c>
      <c r="D29" s="6">
        <v>80</v>
      </c>
      <c r="E29" s="9">
        <v>0.57999999999999996</v>
      </c>
      <c r="F29" s="9">
        <v>0.35</v>
      </c>
      <c r="G29" s="9">
        <v>0.4</v>
      </c>
      <c r="H29" s="26">
        <v>1.2E-2</v>
      </c>
      <c r="I29" s="28" t="s">
        <v>706</v>
      </c>
      <c r="J29" s="10" t="s">
        <v>378</v>
      </c>
      <c r="K29" s="4" t="s">
        <v>150</v>
      </c>
    </row>
    <row r="30" spans="1:11" x14ac:dyDescent="0.25">
      <c r="A30" s="4" t="s">
        <v>105</v>
      </c>
      <c r="B30" s="4" t="s">
        <v>106</v>
      </c>
      <c r="C30" s="6">
        <v>41</v>
      </c>
      <c r="D30" s="6">
        <v>41</v>
      </c>
      <c r="E30" s="9">
        <v>0.76</v>
      </c>
      <c r="F30" s="9">
        <v>0.73</v>
      </c>
      <c r="G30" s="9">
        <v>0.73</v>
      </c>
      <c r="H30" s="26">
        <v>4.1000000000000002E-2</v>
      </c>
      <c r="I30" s="28" t="s">
        <v>560</v>
      </c>
      <c r="J30" s="10" t="s">
        <v>269</v>
      </c>
      <c r="K30" s="4" t="s">
        <v>105</v>
      </c>
    </row>
    <row r="31" spans="1:11" x14ac:dyDescent="0.25">
      <c r="A31" s="4" t="s">
        <v>15</v>
      </c>
      <c r="B31" s="4" t="s">
        <v>16</v>
      </c>
      <c r="C31" s="6">
        <v>47</v>
      </c>
      <c r="D31" s="6">
        <v>44</v>
      </c>
      <c r="E31" s="9">
        <v>0.82</v>
      </c>
      <c r="F31" s="9">
        <v>0.85</v>
      </c>
      <c r="G31" s="9">
        <v>0.89</v>
      </c>
      <c r="H31" s="26">
        <v>3.3000000000000002E-2</v>
      </c>
      <c r="I31" s="28" t="s">
        <v>260</v>
      </c>
      <c r="J31" s="10" t="s">
        <v>530</v>
      </c>
      <c r="K31" s="4" t="s">
        <v>15</v>
      </c>
    </row>
    <row r="32" spans="1:11" x14ac:dyDescent="0.25">
      <c r="A32" s="4" t="s">
        <v>11</v>
      </c>
      <c r="B32" s="4" t="s">
        <v>12</v>
      </c>
      <c r="C32" s="6">
        <v>149</v>
      </c>
      <c r="D32" s="6">
        <v>129</v>
      </c>
      <c r="E32" s="9">
        <v>0.75</v>
      </c>
      <c r="F32" s="9">
        <v>0.52</v>
      </c>
      <c r="G32" s="9">
        <v>0.7</v>
      </c>
      <c r="H32" s="26">
        <v>1.2999999999999999E-2</v>
      </c>
      <c r="I32" s="28" t="s">
        <v>484</v>
      </c>
      <c r="J32" s="10" t="s">
        <v>271</v>
      </c>
      <c r="K32" s="4" t="s">
        <v>11</v>
      </c>
    </row>
    <row r="33" spans="1:11" x14ac:dyDescent="0.25">
      <c r="A33" s="4" t="s">
        <v>95</v>
      </c>
      <c r="B33" s="4" t="s">
        <v>96</v>
      </c>
      <c r="C33" s="6">
        <v>24</v>
      </c>
      <c r="D33" s="6">
        <v>19</v>
      </c>
      <c r="E33" s="9">
        <v>0.63</v>
      </c>
      <c r="F33" s="9">
        <v>0.25</v>
      </c>
      <c r="G33" s="9">
        <v>0.53</v>
      </c>
      <c r="H33" s="26">
        <v>1.9E-2</v>
      </c>
      <c r="I33" s="28" t="s">
        <v>557</v>
      </c>
      <c r="J33" s="10" t="s">
        <v>378</v>
      </c>
      <c r="K33" s="4" t="s">
        <v>95</v>
      </c>
    </row>
    <row r="34" spans="1:11" x14ac:dyDescent="0.25">
      <c r="A34" s="4" t="s">
        <v>99</v>
      </c>
      <c r="B34" s="4" t="s">
        <v>100</v>
      </c>
      <c r="C34" s="6">
        <v>55</v>
      </c>
      <c r="D34" s="6">
        <v>49</v>
      </c>
      <c r="E34" s="9">
        <v>0.77</v>
      </c>
      <c r="F34" s="9">
        <v>0.47</v>
      </c>
      <c r="G34" s="9">
        <v>0.67</v>
      </c>
      <c r="H34" s="26">
        <v>2.3E-2</v>
      </c>
      <c r="I34" s="28" t="s">
        <v>559</v>
      </c>
      <c r="J34" s="10" t="s">
        <v>281</v>
      </c>
      <c r="K34" s="4" t="s">
        <v>99</v>
      </c>
    </row>
    <row r="35" spans="1:11" x14ac:dyDescent="0.25">
      <c r="A35" s="4" t="s">
        <v>113</v>
      </c>
      <c r="B35" s="4" t="s">
        <v>114</v>
      </c>
      <c r="C35" s="6">
        <v>84</v>
      </c>
      <c r="D35" s="6">
        <v>80</v>
      </c>
      <c r="E35" s="9">
        <v>0.81</v>
      </c>
      <c r="F35" s="9">
        <v>0.32</v>
      </c>
      <c r="G35" s="9">
        <v>0.56999999999999995</v>
      </c>
      <c r="H35" s="26">
        <v>8.0000000000000002E-3</v>
      </c>
      <c r="I35" s="28" t="s">
        <v>563</v>
      </c>
      <c r="J35" s="10" t="s">
        <v>540</v>
      </c>
      <c r="K35" s="4" t="s">
        <v>113</v>
      </c>
    </row>
    <row r="36" spans="1:11" x14ac:dyDescent="0.25">
      <c r="A36" s="4" t="s">
        <v>160</v>
      </c>
      <c r="B36" s="4" t="s">
        <v>161</v>
      </c>
      <c r="C36" s="6">
        <v>48</v>
      </c>
      <c r="D36" s="6">
        <v>47</v>
      </c>
      <c r="E36" s="9">
        <v>0.73</v>
      </c>
      <c r="F36" s="9">
        <v>0.52</v>
      </c>
      <c r="G36" s="9">
        <v>0.68</v>
      </c>
      <c r="H36" s="26">
        <v>4.5999999999999999E-2</v>
      </c>
      <c r="I36" s="28" t="s">
        <v>553</v>
      </c>
      <c r="J36" s="10" t="s">
        <v>540</v>
      </c>
      <c r="K36" s="4" t="s">
        <v>160</v>
      </c>
    </row>
    <row r="37" spans="1:11" x14ac:dyDescent="0.25">
      <c r="A37" s="4" t="s">
        <v>178</v>
      </c>
      <c r="B37" s="4" t="s">
        <v>179</v>
      </c>
      <c r="C37" s="6">
        <v>27</v>
      </c>
      <c r="D37" s="6">
        <v>27</v>
      </c>
      <c r="E37" s="9">
        <v>0.7</v>
      </c>
      <c r="F37" s="9">
        <v>0.04</v>
      </c>
      <c r="G37" s="9">
        <v>0.19</v>
      </c>
      <c r="H37" s="26">
        <v>8.0000000000000002E-3</v>
      </c>
      <c r="I37" s="28" t="s">
        <v>585</v>
      </c>
      <c r="J37" s="10" t="s">
        <v>281</v>
      </c>
      <c r="K37" s="4" t="s">
        <v>178</v>
      </c>
    </row>
    <row r="38" spans="1:11" x14ac:dyDescent="0.25">
      <c r="A38" s="4" t="s">
        <v>176</v>
      </c>
      <c r="B38" s="4" t="s">
        <v>177</v>
      </c>
      <c r="C38" s="6">
        <v>18</v>
      </c>
      <c r="D38" s="6">
        <v>18</v>
      </c>
      <c r="E38" s="9">
        <v>0.67</v>
      </c>
      <c r="F38" s="9">
        <v>0.44</v>
      </c>
      <c r="G38" s="9">
        <v>0.56000000000000005</v>
      </c>
      <c r="H38" s="26">
        <v>4.2000000000000003E-2</v>
      </c>
      <c r="I38" s="28" t="s">
        <v>710</v>
      </c>
      <c r="J38" s="10" t="s">
        <v>574</v>
      </c>
      <c r="K38" s="4" t="s">
        <v>176</v>
      </c>
    </row>
    <row r="39" spans="1:11" x14ac:dyDescent="0.25">
      <c r="A39" s="4" t="s">
        <v>170</v>
      </c>
      <c r="B39" s="4" t="s">
        <v>171</v>
      </c>
      <c r="C39" s="6">
        <v>13</v>
      </c>
      <c r="D39" s="6">
        <v>13</v>
      </c>
      <c r="E39" s="9">
        <v>0.62</v>
      </c>
      <c r="F39" s="9">
        <v>0.75</v>
      </c>
      <c r="G39" s="9">
        <v>0.77</v>
      </c>
      <c r="H39" s="26">
        <v>0.02</v>
      </c>
      <c r="I39" s="28" t="s">
        <v>338</v>
      </c>
      <c r="J39" s="10" t="s">
        <v>582</v>
      </c>
      <c r="K39" s="4" t="s">
        <v>170</v>
      </c>
    </row>
    <row r="40" spans="1:11" x14ac:dyDescent="0.25">
      <c r="A40" s="4" t="s">
        <v>164</v>
      </c>
      <c r="B40" s="4" t="s">
        <v>165</v>
      </c>
      <c r="C40" s="6">
        <v>118</v>
      </c>
      <c r="D40" s="6">
        <v>117</v>
      </c>
      <c r="E40" s="9">
        <v>0.63</v>
      </c>
      <c r="F40" s="9">
        <v>0.69</v>
      </c>
      <c r="G40" s="9">
        <v>0.63</v>
      </c>
      <c r="H40" s="26">
        <v>3.2000000000000001E-2</v>
      </c>
      <c r="I40" s="28" t="s">
        <v>707</v>
      </c>
      <c r="J40" s="10" t="s">
        <v>267</v>
      </c>
      <c r="K40" s="4" t="s">
        <v>164</v>
      </c>
    </row>
    <row r="41" spans="1:11" x14ac:dyDescent="0.25">
      <c r="A41" s="4" t="s">
        <v>166</v>
      </c>
      <c r="B41" s="4" t="s">
        <v>167</v>
      </c>
      <c r="C41" s="6">
        <v>28</v>
      </c>
      <c r="D41" s="6">
        <v>28</v>
      </c>
      <c r="E41" s="9">
        <v>0.56999999999999995</v>
      </c>
      <c r="F41" s="9">
        <v>0.25</v>
      </c>
      <c r="G41" s="9">
        <v>0.28999999999999998</v>
      </c>
      <c r="H41" s="26">
        <v>0</v>
      </c>
      <c r="I41" s="28" t="s">
        <v>708</v>
      </c>
      <c r="J41" s="10" t="s">
        <v>281</v>
      </c>
      <c r="K41" s="4" t="s">
        <v>166</v>
      </c>
    </row>
    <row r="42" spans="1:11" x14ac:dyDescent="0.25">
      <c r="A42" s="4" t="s">
        <v>168</v>
      </c>
      <c r="B42" s="4" t="s">
        <v>169</v>
      </c>
      <c r="C42" s="6">
        <v>47</v>
      </c>
      <c r="D42" s="6">
        <v>47</v>
      </c>
      <c r="E42" s="9">
        <v>0.74</v>
      </c>
      <c r="F42" s="9">
        <v>0.38</v>
      </c>
      <c r="G42" s="9">
        <v>0.53</v>
      </c>
      <c r="H42" s="26">
        <v>3.7999999999999999E-2</v>
      </c>
      <c r="I42" s="28" t="s">
        <v>581</v>
      </c>
      <c r="J42" s="10" t="s">
        <v>382</v>
      </c>
      <c r="K42" s="4" t="s">
        <v>168</v>
      </c>
    </row>
    <row r="43" spans="1:11" x14ac:dyDescent="0.25">
      <c r="A43" s="4" t="s">
        <v>172</v>
      </c>
      <c r="B43" s="4" t="s">
        <v>173</v>
      </c>
      <c r="C43" s="6">
        <v>49</v>
      </c>
      <c r="D43" s="6">
        <v>49</v>
      </c>
      <c r="E43" s="9">
        <v>0.67</v>
      </c>
      <c r="F43" s="9">
        <v>0.69</v>
      </c>
      <c r="G43" s="9">
        <v>0.67</v>
      </c>
      <c r="H43" s="26">
        <v>2.5999999999999999E-2</v>
      </c>
      <c r="I43" s="28" t="s">
        <v>583</v>
      </c>
      <c r="J43" s="10" t="s">
        <v>278</v>
      </c>
      <c r="K43" s="4" t="s">
        <v>172</v>
      </c>
    </row>
    <row r="44" spans="1:11" x14ac:dyDescent="0.25">
      <c r="A44" s="4" t="s">
        <v>174</v>
      </c>
      <c r="B44" s="4" t="s">
        <v>175</v>
      </c>
      <c r="C44" s="6">
        <v>14</v>
      </c>
      <c r="D44" s="6">
        <v>14</v>
      </c>
      <c r="E44" s="9">
        <v>0.64</v>
      </c>
      <c r="F44" s="9">
        <v>0.28999999999999998</v>
      </c>
      <c r="G44" s="9">
        <v>0.36</v>
      </c>
      <c r="H44" s="26">
        <v>1.7999999999999999E-2</v>
      </c>
      <c r="I44" s="28" t="s">
        <v>709</v>
      </c>
      <c r="J44" s="10" t="s">
        <v>584</v>
      </c>
      <c r="K44" s="4" t="s">
        <v>174</v>
      </c>
    </row>
    <row r="45" spans="1:11" x14ac:dyDescent="0.25">
      <c r="A45" s="4" t="s">
        <v>83</v>
      </c>
      <c r="B45" s="4" t="s">
        <v>84</v>
      </c>
      <c r="C45" s="6">
        <v>66</v>
      </c>
      <c r="D45" s="6">
        <v>63</v>
      </c>
      <c r="E45" s="9">
        <v>0.82</v>
      </c>
      <c r="F45" s="9">
        <v>0.86</v>
      </c>
      <c r="G45" s="9">
        <v>0.86</v>
      </c>
      <c r="H45" s="26">
        <v>0.03</v>
      </c>
      <c r="I45" s="28" t="s">
        <v>265</v>
      </c>
      <c r="J45" s="10" t="s">
        <v>281</v>
      </c>
      <c r="K45" s="4" t="s">
        <v>83</v>
      </c>
    </row>
    <row r="46" spans="1:11" x14ac:dyDescent="0.25">
      <c r="A46" s="4" t="s">
        <v>124</v>
      </c>
      <c r="B46" s="4" t="s">
        <v>125</v>
      </c>
      <c r="C46" s="6">
        <v>88</v>
      </c>
      <c r="D46" s="6">
        <v>86</v>
      </c>
      <c r="E46" s="9">
        <v>0.8</v>
      </c>
      <c r="F46" s="9">
        <v>0.69</v>
      </c>
      <c r="G46" s="9">
        <v>0.79</v>
      </c>
      <c r="H46" s="26">
        <v>2.8000000000000001E-2</v>
      </c>
      <c r="I46" s="28" t="s">
        <v>568</v>
      </c>
      <c r="J46" s="10" t="s">
        <v>279</v>
      </c>
      <c r="K46" s="4" t="s">
        <v>124</v>
      </c>
    </row>
    <row r="47" spans="1:11" x14ac:dyDescent="0.25">
      <c r="A47" s="4" t="s">
        <v>89</v>
      </c>
      <c r="B47" s="4" t="s">
        <v>90</v>
      </c>
      <c r="C47" s="6">
        <v>32</v>
      </c>
      <c r="D47" s="6">
        <v>29</v>
      </c>
      <c r="E47" s="9">
        <v>0.55000000000000004</v>
      </c>
      <c r="F47" s="9">
        <v>0.63</v>
      </c>
      <c r="G47" s="9">
        <v>0.59</v>
      </c>
      <c r="H47" s="26">
        <v>1.0999999999999999E-2</v>
      </c>
      <c r="I47" s="28" t="s">
        <v>553</v>
      </c>
      <c r="J47" s="10" t="s">
        <v>554</v>
      </c>
      <c r="K47" s="4" t="s">
        <v>89</v>
      </c>
    </row>
    <row r="48" spans="1:11" x14ac:dyDescent="0.25">
      <c r="A48" s="4" t="s">
        <v>91</v>
      </c>
      <c r="B48" s="4" t="s">
        <v>92</v>
      </c>
      <c r="C48" s="6">
        <v>44</v>
      </c>
      <c r="D48" s="6">
        <v>39</v>
      </c>
      <c r="E48" s="9">
        <v>0.55000000000000004</v>
      </c>
      <c r="F48" s="9">
        <v>0.61</v>
      </c>
      <c r="G48" s="9">
        <v>0.54</v>
      </c>
      <c r="H48" s="26">
        <v>1.4999999999999999E-2</v>
      </c>
      <c r="I48" s="28" t="s">
        <v>555</v>
      </c>
      <c r="J48" s="10" t="s">
        <v>552</v>
      </c>
      <c r="K48" s="4" t="s">
        <v>91</v>
      </c>
    </row>
    <row r="49" spans="1:11" x14ac:dyDescent="0.25">
      <c r="A49" s="4" t="s">
        <v>144</v>
      </c>
      <c r="B49" s="4" t="s">
        <v>145</v>
      </c>
      <c r="C49" s="6">
        <v>49</v>
      </c>
      <c r="D49" s="6">
        <v>49</v>
      </c>
      <c r="E49" s="9">
        <v>0.78</v>
      </c>
      <c r="F49" s="9">
        <v>0.9</v>
      </c>
      <c r="G49" s="9">
        <v>0.88</v>
      </c>
      <c r="H49" s="26">
        <v>0.04</v>
      </c>
      <c r="I49" s="28" t="s">
        <v>280</v>
      </c>
      <c r="J49" s="10" t="s">
        <v>515</v>
      </c>
      <c r="K49" s="4" t="s">
        <v>144</v>
      </c>
    </row>
    <row r="50" spans="1:11" x14ac:dyDescent="0.25">
      <c r="A50" s="4" t="s">
        <v>118</v>
      </c>
      <c r="B50" s="4" t="s">
        <v>119</v>
      </c>
      <c r="C50" s="6">
        <v>135</v>
      </c>
      <c r="D50" s="6">
        <v>114</v>
      </c>
      <c r="E50" s="9">
        <v>0.74</v>
      </c>
      <c r="F50" s="9">
        <v>0.46</v>
      </c>
      <c r="G50" s="9">
        <v>0.69</v>
      </c>
      <c r="H50" s="26">
        <v>1.7999999999999999E-2</v>
      </c>
      <c r="I50" s="28" t="s">
        <v>565</v>
      </c>
      <c r="J50" s="10" t="s">
        <v>368</v>
      </c>
      <c r="K50" s="4" t="s">
        <v>118</v>
      </c>
    </row>
    <row r="51" spans="1:11" x14ac:dyDescent="0.25">
      <c r="A51" s="4" t="s">
        <v>128</v>
      </c>
      <c r="B51" s="4" t="s">
        <v>129</v>
      </c>
      <c r="C51" s="6">
        <v>78</v>
      </c>
      <c r="D51" s="6">
        <v>63</v>
      </c>
      <c r="E51" s="9">
        <v>0.75</v>
      </c>
      <c r="F51" s="9">
        <v>0.49</v>
      </c>
      <c r="G51" s="9">
        <v>0.63</v>
      </c>
      <c r="H51" s="26">
        <v>7.0000000000000001E-3</v>
      </c>
      <c r="I51" s="28" t="s">
        <v>569</v>
      </c>
      <c r="J51" s="10" t="s">
        <v>287</v>
      </c>
      <c r="K51" s="4" t="s">
        <v>128</v>
      </c>
    </row>
    <row r="52" spans="1:11" x14ac:dyDescent="0.25">
      <c r="A52" s="4" t="s">
        <v>101</v>
      </c>
      <c r="B52" s="4" t="s">
        <v>102</v>
      </c>
      <c r="C52" s="6" t="s">
        <v>771</v>
      </c>
      <c r="D52" s="6" t="s">
        <v>771</v>
      </c>
      <c r="E52" s="9" t="s">
        <v>772</v>
      </c>
      <c r="F52" s="9" t="s">
        <v>772</v>
      </c>
      <c r="G52" s="9" t="s">
        <v>772</v>
      </c>
      <c r="H52" s="26" t="s">
        <v>772</v>
      </c>
      <c r="I52" s="28" t="s">
        <v>772</v>
      </c>
      <c r="J52" s="10" t="s">
        <v>772</v>
      </c>
      <c r="K52" s="4" t="s">
        <v>101</v>
      </c>
    </row>
    <row r="53" spans="1:11" x14ac:dyDescent="0.25">
      <c r="A53" s="4" t="s">
        <v>42</v>
      </c>
      <c r="B53" s="4" t="s">
        <v>43</v>
      </c>
      <c r="C53" s="6">
        <v>44</v>
      </c>
      <c r="D53" s="6">
        <v>44</v>
      </c>
      <c r="E53" s="9">
        <v>0.76</v>
      </c>
      <c r="F53" s="9">
        <v>0.55000000000000004</v>
      </c>
      <c r="G53" s="9">
        <v>0.66</v>
      </c>
      <c r="H53" s="26">
        <v>8.0000000000000002E-3</v>
      </c>
      <c r="I53" s="28" t="s">
        <v>697</v>
      </c>
      <c r="J53" s="10" t="s">
        <v>527</v>
      </c>
      <c r="K53" s="4" t="s">
        <v>42</v>
      </c>
    </row>
    <row r="54" spans="1:11" x14ac:dyDescent="0.25">
      <c r="A54" s="4" t="s">
        <v>111</v>
      </c>
      <c r="B54" s="4" t="s">
        <v>112</v>
      </c>
      <c r="C54" s="6">
        <v>7</v>
      </c>
      <c r="D54" s="6">
        <v>2</v>
      </c>
      <c r="E54" s="9" t="s">
        <v>772</v>
      </c>
      <c r="F54" s="9" t="s">
        <v>772</v>
      </c>
      <c r="G54" s="9" t="s">
        <v>772</v>
      </c>
      <c r="H54" s="26">
        <v>0</v>
      </c>
      <c r="I54" s="28" t="s">
        <v>772</v>
      </c>
      <c r="J54" s="10" t="s">
        <v>312</v>
      </c>
      <c r="K54" s="4" t="s">
        <v>111</v>
      </c>
    </row>
    <row r="55" spans="1:11" x14ac:dyDescent="0.25">
      <c r="A55" s="4" t="s">
        <v>44</v>
      </c>
      <c r="B55" s="4" t="s">
        <v>45</v>
      </c>
      <c r="C55" s="6">
        <v>42</v>
      </c>
      <c r="D55" s="6">
        <v>40</v>
      </c>
      <c r="E55" s="9">
        <v>0.85</v>
      </c>
      <c r="F55" s="9">
        <v>0.31</v>
      </c>
      <c r="G55" s="9">
        <v>0.45</v>
      </c>
      <c r="H55" s="26">
        <v>0.03</v>
      </c>
      <c r="I55" s="28" t="s">
        <v>698</v>
      </c>
      <c r="J55" s="10" t="s">
        <v>540</v>
      </c>
      <c r="K55" s="4" t="s">
        <v>44</v>
      </c>
    </row>
    <row r="56" spans="1:11" x14ac:dyDescent="0.25">
      <c r="A56" s="4" t="s">
        <v>56</v>
      </c>
      <c r="B56" s="4" t="s">
        <v>57</v>
      </c>
      <c r="C56" s="6">
        <v>37</v>
      </c>
      <c r="D56" s="6">
        <v>35</v>
      </c>
      <c r="E56" s="9">
        <v>0.94</v>
      </c>
      <c r="F56" s="9">
        <v>0.61</v>
      </c>
      <c r="G56" s="9">
        <v>0.8</v>
      </c>
      <c r="H56" s="26">
        <v>1.4E-2</v>
      </c>
      <c r="I56" s="28" t="s">
        <v>544</v>
      </c>
      <c r="J56" s="10" t="s">
        <v>515</v>
      </c>
      <c r="K56" s="4" t="s">
        <v>56</v>
      </c>
    </row>
    <row r="57" spans="1:11" x14ac:dyDescent="0.25">
      <c r="A57" s="4" t="s">
        <v>23</v>
      </c>
      <c r="B57" s="4" t="s">
        <v>24</v>
      </c>
      <c r="C57" s="6">
        <v>24</v>
      </c>
      <c r="D57" s="6">
        <v>23</v>
      </c>
      <c r="E57" s="9">
        <v>0.65</v>
      </c>
      <c r="F57" s="9">
        <v>0.63</v>
      </c>
      <c r="G57" s="9">
        <v>0.65</v>
      </c>
      <c r="H57" s="26">
        <v>4.7E-2</v>
      </c>
      <c r="I57" s="28" t="s">
        <v>533</v>
      </c>
      <c r="J57" s="10" t="s">
        <v>369</v>
      </c>
      <c r="K57" s="4" t="s">
        <v>23</v>
      </c>
    </row>
    <row r="58" spans="1:11" x14ac:dyDescent="0.25">
      <c r="A58" s="4" t="s">
        <v>97</v>
      </c>
      <c r="B58" s="4" t="s">
        <v>98</v>
      </c>
      <c r="C58" s="6">
        <v>111</v>
      </c>
      <c r="D58" s="6">
        <v>106</v>
      </c>
      <c r="E58" s="9">
        <v>0.72</v>
      </c>
      <c r="F58" s="9">
        <v>0.14000000000000001</v>
      </c>
      <c r="G58" s="9">
        <v>0.2</v>
      </c>
      <c r="H58" s="26">
        <v>2.8000000000000001E-2</v>
      </c>
      <c r="I58" s="28" t="s">
        <v>558</v>
      </c>
      <c r="J58" s="10" t="s">
        <v>272</v>
      </c>
      <c r="K58" s="4" t="s">
        <v>97</v>
      </c>
    </row>
    <row r="59" spans="1:11" x14ac:dyDescent="0.25">
      <c r="A59" s="4" t="s">
        <v>60</v>
      </c>
      <c r="B59" s="4" t="s">
        <v>61</v>
      </c>
      <c r="C59" s="6">
        <v>19</v>
      </c>
      <c r="D59" s="6">
        <v>17</v>
      </c>
      <c r="E59" s="9">
        <v>0.76</v>
      </c>
      <c r="F59" s="9">
        <v>0.11</v>
      </c>
      <c r="G59" s="9">
        <v>0.59</v>
      </c>
      <c r="H59" s="26">
        <v>2.1999999999999999E-2</v>
      </c>
      <c r="I59" s="28" t="s">
        <v>545</v>
      </c>
      <c r="J59" s="10" t="s">
        <v>518</v>
      </c>
      <c r="K59" s="4" t="s">
        <v>60</v>
      </c>
    </row>
    <row r="60" spans="1:11" x14ac:dyDescent="0.25">
      <c r="A60" s="4" t="s">
        <v>156</v>
      </c>
      <c r="B60" s="4" t="s">
        <v>157</v>
      </c>
      <c r="C60" s="6">
        <v>36</v>
      </c>
      <c r="D60" s="6">
        <v>34</v>
      </c>
      <c r="E60" s="9">
        <v>0.82</v>
      </c>
      <c r="F60" s="9">
        <v>0.53</v>
      </c>
      <c r="G60" s="9">
        <v>0.79</v>
      </c>
      <c r="H60" s="26">
        <v>0</v>
      </c>
      <c r="I60" s="28" t="s">
        <v>579</v>
      </c>
      <c r="J60" s="10" t="s">
        <v>527</v>
      </c>
      <c r="K60" s="4" t="s">
        <v>156</v>
      </c>
    </row>
    <row r="61" spans="1:11" x14ac:dyDescent="0.25">
      <c r="A61" s="4" t="s">
        <v>122</v>
      </c>
      <c r="B61" s="4" t="s">
        <v>123</v>
      </c>
      <c r="C61" s="6">
        <v>52</v>
      </c>
      <c r="D61" s="6">
        <v>52</v>
      </c>
      <c r="E61" s="9">
        <v>0.63</v>
      </c>
      <c r="F61" s="9">
        <v>0.42</v>
      </c>
      <c r="G61" s="9">
        <v>0.46</v>
      </c>
      <c r="H61" s="26">
        <v>1.2999999999999999E-2</v>
      </c>
      <c r="I61" s="28" t="s">
        <v>703</v>
      </c>
      <c r="J61" s="10" t="s">
        <v>540</v>
      </c>
      <c r="K61" s="4" t="s">
        <v>122</v>
      </c>
    </row>
    <row r="62" spans="1:11" x14ac:dyDescent="0.25">
      <c r="A62" s="4" t="s">
        <v>21</v>
      </c>
      <c r="B62" s="4" t="s">
        <v>22</v>
      </c>
      <c r="C62" s="6">
        <v>26</v>
      </c>
      <c r="D62" s="6">
        <v>25</v>
      </c>
      <c r="E62" s="9">
        <v>0.96</v>
      </c>
      <c r="F62" s="9">
        <v>0.69</v>
      </c>
      <c r="G62" s="9">
        <v>0.96</v>
      </c>
      <c r="H62" s="26">
        <v>3.5000000000000003E-2</v>
      </c>
      <c r="I62" s="28" t="s">
        <v>531</v>
      </c>
      <c r="J62" s="10" t="s">
        <v>532</v>
      </c>
      <c r="K62" s="4" t="s">
        <v>21</v>
      </c>
    </row>
    <row r="63" spans="1:11" x14ac:dyDescent="0.25">
      <c r="A63" s="4" t="s">
        <v>68</v>
      </c>
      <c r="B63" s="4" t="s">
        <v>69</v>
      </c>
      <c r="C63" s="6">
        <v>61</v>
      </c>
      <c r="D63" s="6">
        <v>61</v>
      </c>
      <c r="E63" s="9">
        <v>0.83</v>
      </c>
      <c r="F63" s="9">
        <v>0.89</v>
      </c>
      <c r="G63" s="9">
        <v>0.85</v>
      </c>
      <c r="H63" s="26">
        <v>1.2999999999999999E-2</v>
      </c>
      <c r="I63" s="28" t="s">
        <v>547</v>
      </c>
      <c r="J63" s="10" t="s">
        <v>268</v>
      </c>
      <c r="K63" s="4" t="s">
        <v>68</v>
      </c>
    </row>
    <row r="64" spans="1:11" x14ac:dyDescent="0.25">
      <c r="A64" s="4" t="s">
        <v>4</v>
      </c>
      <c r="B64" s="4" t="s">
        <v>214</v>
      </c>
      <c r="C64" s="6">
        <v>82</v>
      </c>
      <c r="D64" s="6">
        <v>76</v>
      </c>
      <c r="E64" s="9">
        <v>0.59</v>
      </c>
      <c r="F64" s="9">
        <v>0.59</v>
      </c>
      <c r="G64" s="9">
        <v>0.55000000000000004</v>
      </c>
      <c r="H64" s="26">
        <v>2.9000000000000001E-2</v>
      </c>
      <c r="I64" s="28" t="s">
        <v>348</v>
      </c>
      <c r="J64" s="10" t="s">
        <v>287</v>
      </c>
      <c r="K64" s="4" t="s">
        <v>4</v>
      </c>
    </row>
    <row r="65" spans="1:11" x14ac:dyDescent="0.25">
      <c r="A65" s="4" t="s">
        <v>25</v>
      </c>
      <c r="B65" s="4" t="s">
        <v>26</v>
      </c>
      <c r="C65" s="6">
        <v>77</v>
      </c>
      <c r="D65" s="6">
        <v>73</v>
      </c>
      <c r="E65" s="9">
        <v>0.55000000000000004</v>
      </c>
      <c r="F65" s="9">
        <v>0.53</v>
      </c>
      <c r="G65" s="9">
        <v>0.49</v>
      </c>
      <c r="H65" s="26">
        <v>8.9999999999999993E-3</v>
      </c>
      <c r="I65" s="28" t="s">
        <v>534</v>
      </c>
      <c r="J65" s="10" t="s">
        <v>535</v>
      </c>
      <c r="K65" s="4" t="s">
        <v>25</v>
      </c>
    </row>
    <row r="66" spans="1:11" x14ac:dyDescent="0.25">
      <c r="A66" s="4" t="s">
        <v>87</v>
      </c>
      <c r="B66" s="4" t="s">
        <v>88</v>
      </c>
      <c r="C66" s="6">
        <v>41</v>
      </c>
      <c r="D66" s="6">
        <v>41</v>
      </c>
      <c r="E66" s="9">
        <v>0.75</v>
      </c>
      <c r="F66" s="9">
        <v>0.56000000000000005</v>
      </c>
      <c r="G66" s="9">
        <v>0.63</v>
      </c>
      <c r="H66" s="26">
        <v>1.7999999999999999E-2</v>
      </c>
      <c r="I66" s="28" t="s">
        <v>701</v>
      </c>
      <c r="J66" s="10" t="s">
        <v>552</v>
      </c>
      <c r="K66" s="4" t="s">
        <v>87</v>
      </c>
    </row>
    <row r="67" spans="1:11" x14ac:dyDescent="0.25">
      <c r="A67" s="4" t="s">
        <v>17</v>
      </c>
      <c r="B67" s="4" t="s">
        <v>18</v>
      </c>
      <c r="C67" s="6">
        <v>8</v>
      </c>
      <c r="D67" s="6">
        <v>8</v>
      </c>
      <c r="E67" s="9">
        <v>1</v>
      </c>
      <c r="F67" s="9">
        <v>0.63</v>
      </c>
      <c r="G67" s="9">
        <v>0.75</v>
      </c>
      <c r="H67" s="26">
        <v>0</v>
      </c>
      <c r="I67" s="28" t="s">
        <v>696</v>
      </c>
      <c r="J67" s="10" t="s">
        <v>527</v>
      </c>
      <c r="K67" s="4" t="s">
        <v>17</v>
      </c>
    </row>
    <row r="68" spans="1:11" x14ac:dyDescent="0.25">
      <c r="A68" s="4" t="s">
        <v>132</v>
      </c>
      <c r="B68" s="4" t="s">
        <v>133</v>
      </c>
      <c r="C68" s="6">
        <v>42</v>
      </c>
      <c r="D68" s="6">
        <v>42</v>
      </c>
      <c r="E68" s="9">
        <v>0.68</v>
      </c>
      <c r="F68" s="9">
        <v>0.79</v>
      </c>
      <c r="G68" s="9">
        <v>0.7</v>
      </c>
      <c r="H68" s="26">
        <v>2.8000000000000001E-2</v>
      </c>
      <c r="I68" s="28" t="s">
        <v>704</v>
      </c>
      <c r="J68" s="10" t="s">
        <v>515</v>
      </c>
      <c r="K68" s="4" t="s">
        <v>132</v>
      </c>
    </row>
    <row r="69" spans="1:11" x14ac:dyDescent="0.25">
      <c r="A69" s="4" t="s">
        <v>109</v>
      </c>
      <c r="B69" s="4" t="s">
        <v>110</v>
      </c>
      <c r="C69" s="6">
        <v>35</v>
      </c>
      <c r="D69" s="6">
        <v>33</v>
      </c>
      <c r="E69" s="9">
        <v>0.67</v>
      </c>
      <c r="F69" s="9">
        <v>0.4</v>
      </c>
      <c r="G69" s="9">
        <v>0.52</v>
      </c>
      <c r="H69" s="26">
        <v>3.9E-2</v>
      </c>
      <c r="I69" s="28" t="s">
        <v>562</v>
      </c>
      <c r="J69" s="10" t="s">
        <v>378</v>
      </c>
      <c r="K69" s="4" t="s">
        <v>109</v>
      </c>
    </row>
    <row r="70" spans="1:11" x14ac:dyDescent="0.25">
      <c r="A70" s="4" t="s">
        <v>70</v>
      </c>
      <c r="B70" s="4" t="s">
        <v>71</v>
      </c>
      <c r="C70" s="6">
        <v>53</v>
      </c>
      <c r="D70" s="6">
        <v>52</v>
      </c>
      <c r="E70" s="9">
        <v>0.63</v>
      </c>
      <c r="F70" s="9">
        <v>0.47</v>
      </c>
      <c r="G70" s="9">
        <v>0.56000000000000005</v>
      </c>
      <c r="H70" s="26">
        <v>3.5999999999999997E-2</v>
      </c>
      <c r="I70" s="28" t="s">
        <v>699</v>
      </c>
      <c r="J70" s="10" t="s">
        <v>279</v>
      </c>
      <c r="K70" s="4" t="s">
        <v>70</v>
      </c>
    </row>
    <row r="71" spans="1:11" x14ac:dyDescent="0.25">
      <c r="A71" s="4" t="s">
        <v>58</v>
      </c>
      <c r="B71" s="4" t="s">
        <v>59</v>
      </c>
      <c r="C71" s="6">
        <v>69</v>
      </c>
      <c r="D71" s="6">
        <v>69</v>
      </c>
      <c r="E71" s="9">
        <v>0.82</v>
      </c>
      <c r="F71" s="9">
        <v>0.48</v>
      </c>
      <c r="G71" s="9">
        <v>0.82</v>
      </c>
      <c r="H71" s="26">
        <v>0.03</v>
      </c>
      <c r="I71" s="28" t="s">
        <v>579</v>
      </c>
      <c r="J71" s="10" t="s">
        <v>527</v>
      </c>
      <c r="K71" s="4" t="s">
        <v>58</v>
      </c>
    </row>
    <row r="72" spans="1:11" x14ac:dyDescent="0.25">
      <c r="A72" s="4" t="s">
        <v>107</v>
      </c>
      <c r="B72" s="4" t="s">
        <v>108</v>
      </c>
      <c r="C72" s="6">
        <v>70</v>
      </c>
      <c r="D72" s="6">
        <v>64</v>
      </c>
      <c r="E72" s="9">
        <v>0.73</v>
      </c>
      <c r="F72" s="9">
        <v>0.37</v>
      </c>
      <c r="G72" s="9">
        <v>0.56000000000000005</v>
      </c>
      <c r="H72" s="26">
        <v>8.0000000000000002E-3</v>
      </c>
      <c r="I72" s="28" t="s">
        <v>429</v>
      </c>
      <c r="J72" s="10" t="s">
        <v>561</v>
      </c>
      <c r="K72" s="4" t="s">
        <v>107</v>
      </c>
    </row>
    <row r="73" spans="1:11" x14ac:dyDescent="0.25">
      <c r="A73" s="4" t="s">
        <v>77</v>
      </c>
      <c r="B73" s="4" t="s">
        <v>78</v>
      </c>
      <c r="C73" s="6">
        <v>52</v>
      </c>
      <c r="D73" s="6">
        <v>47</v>
      </c>
      <c r="E73" s="9">
        <v>0.6</v>
      </c>
      <c r="F73" s="9">
        <v>0.28999999999999998</v>
      </c>
      <c r="G73" s="9">
        <v>0.36</v>
      </c>
      <c r="H73" s="26">
        <v>0</v>
      </c>
      <c r="I73" s="28" t="s">
        <v>551</v>
      </c>
      <c r="J73" s="10" t="s">
        <v>515</v>
      </c>
      <c r="K73" s="4" t="s">
        <v>77</v>
      </c>
    </row>
    <row r="74" spans="1:11" x14ac:dyDescent="0.25">
      <c r="A74" s="4" t="s">
        <v>117</v>
      </c>
      <c r="B74" s="1" t="s">
        <v>773</v>
      </c>
      <c r="C74" s="6">
        <v>41</v>
      </c>
      <c r="D74" s="6">
        <v>41</v>
      </c>
      <c r="E74" s="9">
        <v>0.83</v>
      </c>
      <c r="F74" s="9">
        <v>0.63</v>
      </c>
      <c r="G74" s="9">
        <v>0.71</v>
      </c>
      <c r="H74" s="26">
        <v>1.9E-2</v>
      </c>
      <c r="I74" s="28" t="s">
        <v>564</v>
      </c>
      <c r="J74" s="10" t="s">
        <v>312</v>
      </c>
      <c r="K74" s="4" t="s">
        <v>117</v>
      </c>
    </row>
    <row r="75" spans="1:11" x14ac:dyDescent="0.25">
      <c r="A75" s="4" t="s">
        <v>134</v>
      </c>
      <c r="B75" s="4" t="s">
        <v>135</v>
      </c>
      <c r="C75" s="6">
        <v>66</v>
      </c>
      <c r="D75" s="6">
        <v>59</v>
      </c>
      <c r="E75" s="9">
        <v>0.83</v>
      </c>
      <c r="F75" s="9">
        <v>0.74</v>
      </c>
      <c r="G75" s="9">
        <v>0.85</v>
      </c>
      <c r="H75" s="26">
        <v>4.0000000000000001E-3</v>
      </c>
      <c r="I75" s="28" t="s">
        <v>297</v>
      </c>
      <c r="J75" s="10" t="s">
        <v>266</v>
      </c>
      <c r="K75" s="4" t="s">
        <v>134</v>
      </c>
    </row>
    <row r="76" spans="1:11" x14ac:dyDescent="0.25">
      <c r="A76" s="4" t="s">
        <v>76</v>
      </c>
      <c r="B76" s="4" t="s">
        <v>215</v>
      </c>
      <c r="C76" s="6">
        <v>71</v>
      </c>
      <c r="D76" s="6">
        <v>64</v>
      </c>
      <c r="E76" s="9">
        <v>0.67</v>
      </c>
      <c r="F76" s="9">
        <v>0.41</v>
      </c>
      <c r="G76" s="9">
        <v>0.46</v>
      </c>
      <c r="H76" s="26">
        <v>1.2E-2</v>
      </c>
      <c r="I76" s="28" t="s">
        <v>550</v>
      </c>
      <c r="J76" s="10" t="s">
        <v>527</v>
      </c>
      <c r="K76" s="4" t="s">
        <v>76</v>
      </c>
    </row>
    <row r="77" spans="1:11" x14ac:dyDescent="0.25">
      <c r="A77" s="4" t="s">
        <v>136</v>
      </c>
      <c r="B77" s="4" t="s">
        <v>137</v>
      </c>
      <c r="C77" s="6">
        <v>31</v>
      </c>
      <c r="D77" s="6">
        <v>31</v>
      </c>
      <c r="E77" s="9">
        <v>0.8</v>
      </c>
      <c r="F77" s="9">
        <v>0.48</v>
      </c>
      <c r="G77" s="9">
        <v>0.6</v>
      </c>
      <c r="H77" s="26">
        <v>2.3E-2</v>
      </c>
      <c r="I77" s="28" t="s">
        <v>571</v>
      </c>
      <c r="J77" s="10" t="s">
        <v>572</v>
      </c>
      <c r="K77" s="4" t="s">
        <v>136</v>
      </c>
    </row>
    <row r="78" spans="1:11" x14ac:dyDescent="0.25">
      <c r="A78" s="4" t="s">
        <v>140</v>
      </c>
      <c r="B78" s="4" t="s">
        <v>141</v>
      </c>
      <c r="C78" s="6">
        <v>63</v>
      </c>
      <c r="D78" s="6">
        <v>63</v>
      </c>
      <c r="E78" s="9">
        <v>0.77</v>
      </c>
      <c r="F78" s="9">
        <v>0.56000000000000005</v>
      </c>
      <c r="G78" s="9">
        <v>0.73</v>
      </c>
      <c r="H78" s="26">
        <v>0.02</v>
      </c>
      <c r="I78" s="28" t="s">
        <v>705</v>
      </c>
      <c r="J78" s="10" t="s">
        <v>574</v>
      </c>
      <c r="K78" s="4" t="s">
        <v>140</v>
      </c>
    </row>
    <row r="79" spans="1:11" x14ac:dyDescent="0.25">
      <c r="A79" s="4" t="s">
        <v>35</v>
      </c>
      <c r="B79" s="4" t="s">
        <v>36</v>
      </c>
      <c r="C79" s="6">
        <v>115</v>
      </c>
      <c r="D79" s="6">
        <v>112</v>
      </c>
      <c r="E79" s="9">
        <v>0.81</v>
      </c>
      <c r="F79" s="9">
        <v>0.94</v>
      </c>
      <c r="G79" s="9">
        <v>0.89</v>
      </c>
      <c r="H79" s="26">
        <v>3.1E-2</v>
      </c>
      <c r="I79" s="28" t="s">
        <v>537</v>
      </c>
      <c r="J79" s="10" t="s">
        <v>278</v>
      </c>
      <c r="K79" s="4" t="s">
        <v>35</v>
      </c>
    </row>
  </sheetData>
  <sortState ref="A2:J79">
    <sortCondition ref="B2"/>
  </sortState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opLeftCell="A38" workbookViewId="0">
      <selection activeCell="B7" sqref="B7"/>
    </sheetView>
  </sheetViews>
  <sheetFormatPr defaultRowHeight="15" x14ac:dyDescent="0.25"/>
  <sheetData>
    <row r="1" spans="1:5" x14ac:dyDescent="0.25">
      <c r="A1" t="s">
        <v>841</v>
      </c>
      <c r="B1" t="s">
        <v>842</v>
      </c>
      <c r="C1" t="s">
        <v>844</v>
      </c>
      <c r="D1" t="s">
        <v>845</v>
      </c>
      <c r="E1" t="s">
        <v>1150</v>
      </c>
    </row>
    <row r="2" spans="1:5" x14ac:dyDescent="0.25">
      <c r="A2" t="s">
        <v>843</v>
      </c>
      <c r="B2">
        <v>0</v>
      </c>
      <c r="C2">
        <v>50</v>
      </c>
      <c r="D2">
        <v>2</v>
      </c>
      <c r="E2">
        <v>0</v>
      </c>
    </row>
    <row r="3" spans="1:5" x14ac:dyDescent="0.25">
      <c r="A3" t="s">
        <v>843</v>
      </c>
      <c r="B3">
        <v>9</v>
      </c>
      <c r="C3">
        <v>33.036429999999996</v>
      </c>
      <c r="D3">
        <v>2</v>
      </c>
      <c r="E3">
        <v>0</v>
      </c>
    </row>
    <row r="4" spans="1:5" x14ac:dyDescent="0.25">
      <c r="A4" t="s">
        <v>843</v>
      </c>
      <c r="B4">
        <v>10</v>
      </c>
      <c r="C4">
        <v>29.948580000000007</v>
      </c>
      <c r="D4">
        <v>2</v>
      </c>
      <c r="E4">
        <v>0</v>
      </c>
    </row>
    <row r="5" spans="1:5" x14ac:dyDescent="0.25">
      <c r="A5" t="s">
        <v>843</v>
      </c>
      <c r="B5">
        <v>14</v>
      </c>
      <c r="C5">
        <v>26.109030000000004</v>
      </c>
      <c r="D5">
        <v>2</v>
      </c>
      <c r="E5">
        <v>0</v>
      </c>
    </row>
    <row r="6" spans="1:5" x14ac:dyDescent="0.25">
      <c r="A6" t="s">
        <v>843</v>
      </c>
      <c r="B6">
        <v>23</v>
      </c>
      <c r="C6">
        <v>17.931110000000004</v>
      </c>
      <c r="D6">
        <v>2</v>
      </c>
      <c r="E6">
        <v>0</v>
      </c>
    </row>
    <row r="7" spans="1:5" x14ac:dyDescent="0.25">
      <c r="A7" t="s">
        <v>843</v>
      </c>
      <c r="B7">
        <v>37</v>
      </c>
      <c r="C7">
        <v>13.466409999999996</v>
      </c>
      <c r="D7">
        <v>2</v>
      </c>
      <c r="E7">
        <v>0</v>
      </c>
    </row>
    <row r="8" spans="1:5" x14ac:dyDescent="0.25">
      <c r="A8" t="s">
        <v>843</v>
      </c>
      <c r="B8">
        <v>39</v>
      </c>
      <c r="C8">
        <v>13.193330000000003</v>
      </c>
      <c r="D8">
        <v>2</v>
      </c>
      <c r="E8">
        <v>0</v>
      </c>
    </row>
    <row r="9" spans="1:5" x14ac:dyDescent="0.25">
      <c r="A9" t="s">
        <v>843</v>
      </c>
      <c r="B9">
        <v>45</v>
      </c>
      <c r="C9">
        <v>12.514030000000005</v>
      </c>
      <c r="D9">
        <v>2</v>
      </c>
      <c r="E9">
        <v>0</v>
      </c>
    </row>
    <row r="10" spans="1:5" x14ac:dyDescent="0.25">
      <c r="A10" t="s">
        <v>843</v>
      </c>
      <c r="B10">
        <v>49</v>
      </c>
      <c r="C10">
        <v>11.855369999999994</v>
      </c>
      <c r="D10">
        <v>2</v>
      </c>
      <c r="E10">
        <v>0</v>
      </c>
    </row>
    <row r="11" spans="1:5" x14ac:dyDescent="0.25">
      <c r="A11" t="s">
        <v>843</v>
      </c>
      <c r="B11">
        <v>58</v>
      </c>
      <c r="C11">
        <v>10.660589999999999</v>
      </c>
      <c r="D11">
        <v>2</v>
      </c>
      <c r="E11">
        <v>0</v>
      </c>
    </row>
    <row r="12" spans="1:5" x14ac:dyDescent="0.25">
      <c r="A12" t="s">
        <v>843</v>
      </c>
      <c r="B12">
        <v>62</v>
      </c>
      <c r="C12">
        <v>10.455799999999996</v>
      </c>
      <c r="D12">
        <v>2</v>
      </c>
      <c r="E12">
        <v>0</v>
      </c>
    </row>
    <row r="13" spans="1:5" x14ac:dyDescent="0.25">
      <c r="A13" t="s">
        <v>843</v>
      </c>
      <c r="B13">
        <v>64</v>
      </c>
      <c r="C13">
        <v>10.303489999999996</v>
      </c>
      <c r="D13">
        <v>2</v>
      </c>
      <c r="E13">
        <v>0</v>
      </c>
    </row>
    <row r="14" spans="1:5" x14ac:dyDescent="0.25">
      <c r="A14" t="s">
        <v>843</v>
      </c>
      <c r="B14">
        <v>71</v>
      </c>
      <c r="C14">
        <v>9.6670349999999985</v>
      </c>
      <c r="D14">
        <v>2</v>
      </c>
      <c r="E14">
        <v>0</v>
      </c>
    </row>
    <row r="15" spans="1:5" x14ac:dyDescent="0.25">
      <c r="A15" t="s">
        <v>843</v>
      </c>
      <c r="B15">
        <v>73</v>
      </c>
      <c r="C15">
        <v>9.4759580000000057</v>
      </c>
      <c r="D15">
        <v>2</v>
      </c>
      <c r="E15">
        <v>0</v>
      </c>
    </row>
    <row r="16" spans="1:5" x14ac:dyDescent="0.25">
      <c r="A16" t="s">
        <v>843</v>
      </c>
      <c r="B16">
        <v>77</v>
      </c>
      <c r="C16">
        <v>9.1267699999999934</v>
      </c>
      <c r="D16">
        <v>2</v>
      </c>
      <c r="E16">
        <v>0</v>
      </c>
    </row>
    <row r="17" spans="1:5" x14ac:dyDescent="0.25">
      <c r="A17" t="s">
        <v>843</v>
      </c>
      <c r="B17">
        <v>81</v>
      </c>
      <c r="C17">
        <v>9.0596100000000064</v>
      </c>
      <c r="D17">
        <v>2</v>
      </c>
      <c r="E17">
        <v>0</v>
      </c>
    </row>
    <row r="18" spans="1:5" x14ac:dyDescent="0.25">
      <c r="A18" t="s">
        <v>843</v>
      </c>
      <c r="B18">
        <v>84</v>
      </c>
      <c r="C18">
        <v>8.9443040000000025</v>
      </c>
      <c r="D18">
        <v>2</v>
      </c>
      <c r="E18">
        <v>0</v>
      </c>
    </row>
    <row r="19" spans="1:5" x14ac:dyDescent="0.25">
      <c r="A19" t="s">
        <v>843</v>
      </c>
      <c r="B19">
        <v>87</v>
      </c>
      <c r="C19">
        <v>8.7960659999999962</v>
      </c>
      <c r="D19">
        <v>2</v>
      </c>
      <c r="E19">
        <v>0</v>
      </c>
    </row>
    <row r="20" spans="1:5" x14ac:dyDescent="0.25">
      <c r="A20" t="s">
        <v>843</v>
      </c>
      <c r="B20">
        <v>92</v>
      </c>
      <c r="C20">
        <v>8.5095290000000006</v>
      </c>
      <c r="D20">
        <v>2</v>
      </c>
      <c r="E20">
        <v>0</v>
      </c>
    </row>
    <row r="21" spans="1:5" x14ac:dyDescent="0.25">
      <c r="A21" t="s">
        <v>843</v>
      </c>
      <c r="B21">
        <v>98</v>
      </c>
      <c r="C21">
        <v>8.141727000000003</v>
      </c>
      <c r="D21">
        <v>2</v>
      </c>
      <c r="E21">
        <v>0</v>
      </c>
    </row>
    <row r="22" spans="1:5" x14ac:dyDescent="0.25">
      <c r="A22" t="s">
        <v>843</v>
      </c>
      <c r="B22">
        <v>104</v>
      </c>
      <c r="C22">
        <v>8.0255779999999959</v>
      </c>
      <c r="D22">
        <v>2</v>
      </c>
      <c r="E22">
        <v>0</v>
      </c>
    </row>
    <row r="23" spans="1:5" x14ac:dyDescent="0.25">
      <c r="A23" t="s">
        <v>843</v>
      </c>
      <c r="B23">
        <v>105</v>
      </c>
      <c r="C23">
        <v>8.0029150000000016</v>
      </c>
      <c r="D23">
        <v>2</v>
      </c>
      <c r="E23">
        <v>0</v>
      </c>
    </row>
    <row r="24" spans="1:5" x14ac:dyDescent="0.25">
      <c r="A24" t="s">
        <v>843</v>
      </c>
      <c r="B24">
        <v>106</v>
      </c>
      <c r="C24">
        <v>7.977248000000003</v>
      </c>
      <c r="D24">
        <v>2</v>
      </c>
      <c r="E24">
        <v>0</v>
      </c>
    </row>
    <row r="25" spans="1:5" x14ac:dyDescent="0.25">
      <c r="A25" t="s">
        <v>843</v>
      </c>
      <c r="B25">
        <v>108</v>
      </c>
      <c r="C25">
        <v>7.9182930000000056</v>
      </c>
      <c r="D25">
        <v>2</v>
      </c>
      <c r="E25">
        <v>0</v>
      </c>
    </row>
    <row r="26" spans="1:5" x14ac:dyDescent="0.25">
      <c r="A26" t="s">
        <v>843</v>
      </c>
      <c r="B26">
        <v>110</v>
      </c>
      <c r="C26">
        <v>7.8511429999999933</v>
      </c>
      <c r="D26">
        <v>2</v>
      </c>
      <c r="E26">
        <v>0</v>
      </c>
    </row>
    <row r="27" spans="1:5" x14ac:dyDescent="0.25">
      <c r="A27" t="s">
        <v>843</v>
      </c>
      <c r="B27">
        <v>113</v>
      </c>
      <c r="C27">
        <v>7.7392130000000066</v>
      </c>
      <c r="D27">
        <v>2</v>
      </c>
      <c r="E27">
        <v>0</v>
      </c>
    </row>
    <row r="28" spans="1:5" x14ac:dyDescent="0.25">
      <c r="A28" t="s">
        <v>843</v>
      </c>
      <c r="B28">
        <v>118</v>
      </c>
      <c r="C28">
        <v>7.5343199999999939</v>
      </c>
      <c r="D28">
        <v>2</v>
      </c>
      <c r="E28">
        <v>0</v>
      </c>
    </row>
    <row r="29" spans="1:5" x14ac:dyDescent="0.25">
      <c r="A29" t="s">
        <v>843</v>
      </c>
      <c r="B29">
        <v>119</v>
      </c>
      <c r="C29">
        <v>7.4917460000000062</v>
      </c>
      <c r="D29">
        <v>2</v>
      </c>
      <c r="E29">
        <v>0</v>
      </c>
    </row>
    <row r="30" spans="1:5" x14ac:dyDescent="0.25">
      <c r="A30" t="s">
        <v>843</v>
      </c>
      <c r="B30">
        <v>121</v>
      </c>
      <c r="C30">
        <v>7.4057669999999973</v>
      </c>
      <c r="D30">
        <v>2</v>
      </c>
      <c r="E30">
        <v>0</v>
      </c>
    </row>
    <row r="31" spans="1:5" x14ac:dyDescent="0.25">
      <c r="A31" t="s">
        <v>843</v>
      </c>
      <c r="B31">
        <v>124</v>
      </c>
      <c r="C31">
        <v>7.3239460000000065</v>
      </c>
      <c r="D31">
        <v>2</v>
      </c>
      <c r="E31">
        <v>0</v>
      </c>
    </row>
    <row r="32" spans="1:5" x14ac:dyDescent="0.25">
      <c r="A32" t="s">
        <v>843</v>
      </c>
      <c r="B32">
        <v>126</v>
      </c>
      <c r="C32">
        <v>7.3119379999999978</v>
      </c>
      <c r="D32">
        <v>2</v>
      </c>
      <c r="E32">
        <v>0</v>
      </c>
    </row>
    <row r="33" spans="1:5" x14ac:dyDescent="0.25">
      <c r="A33" t="s">
        <v>843</v>
      </c>
      <c r="B33">
        <v>128</v>
      </c>
      <c r="C33">
        <v>7.2885550000000023</v>
      </c>
      <c r="D33">
        <v>2</v>
      </c>
      <c r="E33">
        <v>0</v>
      </c>
    </row>
    <row r="34" spans="1:5" x14ac:dyDescent="0.25">
      <c r="A34" t="s">
        <v>843</v>
      </c>
      <c r="B34">
        <v>129</v>
      </c>
      <c r="C34">
        <v>7.2732780000000048</v>
      </c>
      <c r="D34">
        <v>2</v>
      </c>
      <c r="E34">
        <v>0</v>
      </c>
    </row>
    <row r="35" spans="1:5" x14ac:dyDescent="0.25">
      <c r="A35" t="s">
        <v>843</v>
      </c>
      <c r="B35">
        <v>130</v>
      </c>
      <c r="C35">
        <v>7.2559229999999957</v>
      </c>
      <c r="D35">
        <v>2</v>
      </c>
      <c r="E35">
        <v>0</v>
      </c>
    </row>
    <row r="36" spans="1:5" x14ac:dyDescent="0.25">
      <c r="A36" t="s">
        <v>843</v>
      </c>
      <c r="B36">
        <v>131</v>
      </c>
      <c r="C36">
        <v>7.2367009999999965</v>
      </c>
      <c r="D36">
        <v>2</v>
      </c>
      <c r="E36">
        <v>0</v>
      </c>
    </row>
    <row r="37" spans="1:5" x14ac:dyDescent="0.25">
      <c r="A37" t="s">
        <v>843</v>
      </c>
      <c r="B37">
        <v>134</v>
      </c>
      <c r="C37">
        <v>7.169635999999997</v>
      </c>
      <c r="D37">
        <v>2</v>
      </c>
      <c r="E37">
        <v>0</v>
      </c>
    </row>
    <row r="38" spans="1:5" x14ac:dyDescent="0.25">
      <c r="A38" t="s">
        <v>843</v>
      </c>
      <c r="B38">
        <v>135</v>
      </c>
      <c r="C38">
        <v>7.1446739999999949</v>
      </c>
      <c r="D38">
        <v>2</v>
      </c>
      <c r="E38">
        <v>0</v>
      </c>
    </row>
    <row r="39" spans="1:5" x14ac:dyDescent="0.25">
      <c r="A39" t="s">
        <v>843</v>
      </c>
      <c r="B39">
        <v>136</v>
      </c>
      <c r="C39">
        <v>7.1186380000000042</v>
      </c>
      <c r="D39">
        <v>2</v>
      </c>
      <c r="E39">
        <v>0</v>
      </c>
    </row>
    <row r="40" spans="1:5" x14ac:dyDescent="0.25">
      <c r="A40" t="s">
        <v>843</v>
      </c>
      <c r="B40">
        <v>143</v>
      </c>
      <c r="C40">
        <v>6.9150769999999966</v>
      </c>
      <c r="D40">
        <v>2</v>
      </c>
      <c r="E40">
        <v>0</v>
      </c>
    </row>
    <row r="41" spans="1:5" x14ac:dyDescent="0.25">
      <c r="A41" t="s">
        <v>843</v>
      </c>
      <c r="B41">
        <v>144</v>
      </c>
      <c r="C41">
        <v>6.8839540000000028</v>
      </c>
      <c r="D41">
        <v>2</v>
      </c>
      <c r="E41">
        <v>0</v>
      </c>
    </row>
    <row r="42" spans="1:5" x14ac:dyDescent="0.25">
      <c r="A42" t="s">
        <v>843</v>
      </c>
      <c r="B42">
        <v>146</v>
      </c>
      <c r="C42">
        <v>6.8208269999999942</v>
      </c>
      <c r="D42">
        <v>2</v>
      </c>
      <c r="E42">
        <v>0</v>
      </c>
    </row>
    <row r="43" spans="1:5" x14ac:dyDescent="0.25">
      <c r="A43" t="s">
        <v>843</v>
      </c>
      <c r="B43">
        <v>148</v>
      </c>
      <c r="C43">
        <v>6.7570699999999988</v>
      </c>
      <c r="D43">
        <v>2</v>
      </c>
      <c r="E43">
        <v>0</v>
      </c>
    </row>
    <row r="44" spans="1:5" x14ac:dyDescent="0.25">
      <c r="A44" t="s">
        <v>843</v>
      </c>
      <c r="B44">
        <v>151</v>
      </c>
      <c r="C44">
        <v>6.7490939999999995</v>
      </c>
      <c r="D44">
        <v>2</v>
      </c>
      <c r="E44">
        <v>0</v>
      </c>
    </row>
    <row r="45" spans="1:5" x14ac:dyDescent="0.25">
      <c r="A45" t="s">
        <v>843</v>
      </c>
      <c r="B45">
        <v>160</v>
      </c>
      <c r="C45">
        <v>6.6320929999999976</v>
      </c>
      <c r="D45">
        <v>2</v>
      </c>
      <c r="E45">
        <v>0</v>
      </c>
    </row>
    <row r="46" spans="1:5" x14ac:dyDescent="0.25">
      <c r="A46" t="s">
        <v>843</v>
      </c>
      <c r="B46">
        <v>167</v>
      </c>
      <c r="C46">
        <v>6.4863990000000058</v>
      </c>
      <c r="D46">
        <v>2</v>
      </c>
      <c r="E46">
        <v>0</v>
      </c>
    </row>
    <row r="47" spans="1:5" x14ac:dyDescent="0.25">
      <c r="A47" t="s">
        <v>843</v>
      </c>
      <c r="B47">
        <v>169</v>
      </c>
      <c r="C47">
        <v>6.4401189999999957</v>
      </c>
      <c r="D47">
        <v>2</v>
      </c>
      <c r="E47">
        <v>0</v>
      </c>
    </row>
    <row r="48" spans="1:5" x14ac:dyDescent="0.25">
      <c r="A48" t="s">
        <v>843</v>
      </c>
      <c r="B48">
        <v>178</v>
      </c>
      <c r="C48">
        <v>6.3042920000000038</v>
      </c>
      <c r="D48">
        <v>2</v>
      </c>
      <c r="E48">
        <v>0</v>
      </c>
    </row>
    <row r="49" spans="1:5" x14ac:dyDescent="0.25">
      <c r="A49" t="s">
        <v>843</v>
      </c>
      <c r="B49">
        <v>181</v>
      </c>
      <c r="C49">
        <v>6.2823180000000036</v>
      </c>
      <c r="D49">
        <v>2</v>
      </c>
      <c r="E49">
        <v>0</v>
      </c>
    </row>
    <row r="50" spans="1:5" x14ac:dyDescent="0.25">
      <c r="A50" t="s">
        <v>843</v>
      </c>
      <c r="B50">
        <v>183</v>
      </c>
      <c r="C50">
        <v>6.2620359999999948</v>
      </c>
      <c r="D50">
        <v>2</v>
      </c>
      <c r="E50">
        <v>0</v>
      </c>
    </row>
    <row r="51" spans="1:5" x14ac:dyDescent="0.25">
      <c r="A51" t="s">
        <v>843</v>
      </c>
      <c r="B51">
        <v>188</v>
      </c>
      <c r="C51">
        <v>6.196234000000004</v>
      </c>
      <c r="D51">
        <v>2</v>
      </c>
      <c r="E51">
        <v>0</v>
      </c>
    </row>
    <row r="52" spans="1:5" x14ac:dyDescent="0.25">
      <c r="A52" t="s">
        <v>843</v>
      </c>
      <c r="B52">
        <v>191</v>
      </c>
      <c r="C52">
        <v>6.1489040000000017</v>
      </c>
      <c r="D52">
        <v>2</v>
      </c>
      <c r="E52">
        <v>0</v>
      </c>
    </row>
    <row r="53" spans="1:5" x14ac:dyDescent="0.25">
      <c r="A53" t="s">
        <v>843</v>
      </c>
      <c r="B53">
        <v>202</v>
      </c>
      <c r="C53">
        <v>5.9576950000000011</v>
      </c>
      <c r="D53">
        <v>2</v>
      </c>
      <c r="E53">
        <v>0</v>
      </c>
    </row>
    <row r="54" spans="1:5" x14ac:dyDescent="0.25">
      <c r="A54" t="s">
        <v>843</v>
      </c>
      <c r="B54">
        <v>204</v>
      </c>
      <c r="C54">
        <v>5.9546559999999999</v>
      </c>
      <c r="D54">
        <v>2</v>
      </c>
      <c r="E54">
        <v>0</v>
      </c>
    </row>
    <row r="55" spans="1:5" x14ac:dyDescent="0.25">
      <c r="A55" t="s">
        <v>843</v>
      </c>
      <c r="B55">
        <v>207</v>
      </c>
      <c r="C55">
        <v>5.9416279999999944</v>
      </c>
      <c r="D55">
        <v>2</v>
      </c>
      <c r="E55">
        <v>0</v>
      </c>
    </row>
    <row r="56" spans="1:5" x14ac:dyDescent="0.25">
      <c r="A56" t="s">
        <v>843</v>
      </c>
      <c r="B56">
        <v>208</v>
      </c>
      <c r="C56">
        <v>5.9353279999999984</v>
      </c>
      <c r="D56">
        <v>2</v>
      </c>
      <c r="E56">
        <v>0</v>
      </c>
    </row>
    <row r="57" spans="1:5" x14ac:dyDescent="0.25">
      <c r="A57" t="s">
        <v>843</v>
      </c>
      <c r="B57">
        <v>210</v>
      </c>
      <c r="C57">
        <v>5.9201819999999969</v>
      </c>
      <c r="D57">
        <v>2</v>
      </c>
      <c r="E57">
        <v>0</v>
      </c>
    </row>
    <row r="58" spans="1:5" x14ac:dyDescent="0.25">
      <c r="A58" t="s">
        <v>843</v>
      </c>
      <c r="B58">
        <v>215</v>
      </c>
      <c r="C58">
        <v>5.8700290000000024</v>
      </c>
      <c r="D58">
        <v>2</v>
      </c>
      <c r="E58">
        <v>0</v>
      </c>
    </row>
    <row r="59" spans="1:5" x14ac:dyDescent="0.25">
      <c r="A59" t="s">
        <v>843</v>
      </c>
      <c r="B59">
        <v>231</v>
      </c>
      <c r="C59">
        <v>5.6644660000000044</v>
      </c>
      <c r="D59">
        <v>2</v>
      </c>
      <c r="E59">
        <v>0</v>
      </c>
    </row>
    <row r="60" spans="1:5" x14ac:dyDescent="0.25">
      <c r="A60" t="s">
        <v>843</v>
      </c>
      <c r="B60">
        <v>232</v>
      </c>
      <c r="C60">
        <v>5.6628730000000047</v>
      </c>
      <c r="D60">
        <v>2</v>
      </c>
      <c r="E60">
        <v>0</v>
      </c>
    </row>
    <row r="61" spans="1:5" x14ac:dyDescent="0.25">
      <c r="A61" t="s">
        <v>843</v>
      </c>
      <c r="B61">
        <v>239</v>
      </c>
      <c r="C61">
        <v>5.6294039999999939</v>
      </c>
      <c r="D61">
        <v>2</v>
      </c>
      <c r="E61">
        <v>0</v>
      </c>
    </row>
    <row r="62" spans="1:5" x14ac:dyDescent="0.25">
      <c r="A62" t="s">
        <v>843</v>
      </c>
      <c r="B62">
        <v>252</v>
      </c>
      <c r="C62">
        <v>5.4999410000000069</v>
      </c>
      <c r="D62">
        <v>2</v>
      </c>
      <c r="E62">
        <v>0</v>
      </c>
    </row>
    <row r="63" spans="1:5" x14ac:dyDescent="0.25">
      <c r="A63" t="s">
        <v>843</v>
      </c>
      <c r="B63">
        <v>253</v>
      </c>
      <c r="C63">
        <v>5.4877720000000068</v>
      </c>
      <c r="D63">
        <v>2</v>
      </c>
      <c r="E63">
        <v>0</v>
      </c>
    </row>
    <row r="64" spans="1:5" x14ac:dyDescent="0.25">
      <c r="A64" t="s">
        <v>843</v>
      </c>
      <c r="B64">
        <v>262</v>
      </c>
      <c r="C64">
        <v>5.4160169999999965</v>
      </c>
      <c r="D64">
        <v>2</v>
      </c>
      <c r="E64">
        <v>0</v>
      </c>
    </row>
    <row r="65" spans="1:5" x14ac:dyDescent="0.25">
      <c r="A65" t="s">
        <v>843</v>
      </c>
      <c r="B65">
        <v>278</v>
      </c>
      <c r="C65">
        <v>5.3130759999999952</v>
      </c>
      <c r="D65">
        <v>2</v>
      </c>
      <c r="E65">
        <v>0</v>
      </c>
    </row>
    <row r="66" spans="1:5" x14ac:dyDescent="0.25">
      <c r="A66" t="s">
        <v>843</v>
      </c>
      <c r="B66">
        <v>291</v>
      </c>
      <c r="C66">
        <v>5.2095379999999949</v>
      </c>
      <c r="D66">
        <v>2</v>
      </c>
      <c r="E66">
        <v>0</v>
      </c>
    </row>
    <row r="67" spans="1:5" x14ac:dyDescent="0.25">
      <c r="A67" t="s">
        <v>843</v>
      </c>
      <c r="B67">
        <v>300</v>
      </c>
      <c r="C67">
        <v>5.1747660000000053</v>
      </c>
      <c r="D67">
        <v>2</v>
      </c>
      <c r="E67">
        <v>0</v>
      </c>
    </row>
    <row r="68" spans="1:5" x14ac:dyDescent="0.25">
      <c r="A68" t="s">
        <v>843</v>
      </c>
      <c r="B68">
        <v>308</v>
      </c>
      <c r="C68">
        <v>5.1197250000000025</v>
      </c>
      <c r="D68">
        <v>2</v>
      </c>
      <c r="E68">
        <v>0</v>
      </c>
    </row>
    <row r="69" spans="1:5" x14ac:dyDescent="0.25">
      <c r="A69" t="s">
        <v>843</v>
      </c>
      <c r="B69">
        <v>311</v>
      </c>
      <c r="C69">
        <v>5.0951280000000025</v>
      </c>
      <c r="D69">
        <v>2</v>
      </c>
      <c r="E69">
        <v>0</v>
      </c>
    </row>
    <row r="70" spans="1:5" x14ac:dyDescent="0.25">
      <c r="A70" t="s">
        <v>843</v>
      </c>
      <c r="B70">
        <v>328</v>
      </c>
      <c r="C70">
        <v>5.0111490000000032</v>
      </c>
      <c r="D70">
        <v>2</v>
      </c>
      <c r="E70">
        <v>0</v>
      </c>
    </row>
    <row r="71" spans="1:5" x14ac:dyDescent="0.25">
      <c r="A71" t="s">
        <v>843</v>
      </c>
      <c r="B71">
        <v>362</v>
      </c>
      <c r="C71">
        <v>4.8453679999999935</v>
      </c>
      <c r="D71">
        <v>2</v>
      </c>
      <c r="E71">
        <v>2.7654999999995766E-2</v>
      </c>
    </row>
    <row r="72" spans="1:5" x14ac:dyDescent="0.25">
      <c r="A72" t="s">
        <v>843</v>
      </c>
      <c r="B72">
        <v>373</v>
      </c>
      <c r="C72">
        <v>4.7853900000000067</v>
      </c>
      <c r="D72">
        <v>2</v>
      </c>
      <c r="E72">
        <v>4.1470399999994356E-2</v>
      </c>
    </row>
    <row r="73" spans="1:5" x14ac:dyDescent="0.25">
      <c r="A73" t="s">
        <v>843</v>
      </c>
      <c r="B73">
        <v>381</v>
      </c>
      <c r="C73">
        <v>4.7389090000000067</v>
      </c>
      <c r="D73">
        <v>2</v>
      </c>
      <c r="E73">
        <v>5.2812500000001705E-2</v>
      </c>
    </row>
    <row r="74" spans="1:5" x14ac:dyDescent="0.25">
      <c r="A74" t="s">
        <v>843</v>
      </c>
      <c r="B74">
        <v>499</v>
      </c>
      <c r="C74">
        <v>4.3630880000000047</v>
      </c>
      <c r="D74">
        <v>2</v>
      </c>
      <c r="E74">
        <v>0.26815510000000131</v>
      </c>
    </row>
    <row r="75" spans="1:5" x14ac:dyDescent="0.25">
      <c r="A75" t="s">
        <v>843</v>
      </c>
      <c r="B75">
        <v>500</v>
      </c>
      <c r="C75">
        <v>4.3593620000000044</v>
      </c>
      <c r="D75">
        <v>2</v>
      </c>
      <c r="E75">
        <v>0.26955259999999726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workbookViewId="0">
      <selection activeCell="A2" sqref="A2"/>
    </sheetView>
  </sheetViews>
  <sheetFormatPr defaultRowHeight="15" x14ac:dyDescent="0.25"/>
  <cols>
    <col min="1" max="1" width="10.42578125" bestFit="1" customWidth="1"/>
    <col min="2" max="2" width="9.7109375" bestFit="1" customWidth="1"/>
    <col min="3" max="3" width="5.28515625" bestFit="1" customWidth="1"/>
  </cols>
  <sheetData>
    <row r="1" spans="1:3" x14ac:dyDescent="0.25">
      <c r="A1" t="s">
        <v>846</v>
      </c>
      <c r="B1" t="s">
        <v>847</v>
      </c>
      <c r="C1" t="s">
        <v>848</v>
      </c>
    </row>
    <row r="2" spans="1:3" x14ac:dyDescent="0.25">
      <c r="A2" t="s">
        <v>0</v>
      </c>
      <c r="B2">
        <v>84</v>
      </c>
      <c r="C2">
        <v>2.7999999999999972</v>
      </c>
    </row>
    <row r="3" spans="1:3" x14ac:dyDescent="0.25">
      <c r="A3" t="s">
        <v>4</v>
      </c>
      <c r="B3">
        <v>291</v>
      </c>
      <c r="C3">
        <v>2.9000000000000057</v>
      </c>
    </row>
    <row r="4" spans="1:3" x14ac:dyDescent="0.25">
      <c r="A4" t="s">
        <v>5</v>
      </c>
      <c r="B4">
        <v>58</v>
      </c>
      <c r="C4">
        <v>2.2999999999999972</v>
      </c>
    </row>
    <row r="5" spans="1:3" x14ac:dyDescent="0.25">
      <c r="A5" t="s">
        <v>7</v>
      </c>
      <c r="B5">
        <v>64</v>
      </c>
      <c r="C5">
        <v>1.4000000000000057</v>
      </c>
    </row>
    <row r="6" spans="1:3" x14ac:dyDescent="0.25">
      <c r="A6" t="s">
        <v>9</v>
      </c>
      <c r="B6">
        <v>144</v>
      </c>
      <c r="C6">
        <v>3.2000000000000028</v>
      </c>
    </row>
    <row r="7" spans="1:3" x14ac:dyDescent="0.25">
      <c r="A7" t="s">
        <v>11</v>
      </c>
      <c r="B7">
        <v>362</v>
      </c>
      <c r="C7">
        <v>1.2999999999999972</v>
      </c>
    </row>
    <row r="8" spans="1:3" x14ac:dyDescent="0.25">
      <c r="A8" t="s">
        <v>13</v>
      </c>
      <c r="B8">
        <v>108</v>
      </c>
      <c r="C8">
        <v>3.4000000000000057</v>
      </c>
    </row>
    <row r="9" spans="1:3" x14ac:dyDescent="0.25">
      <c r="A9" t="s">
        <v>15</v>
      </c>
      <c r="B9">
        <v>121</v>
      </c>
      <c r="C9">
        <v>3.2999999999999972</v>
      </c>
    </row>
    <row r="10" spans="1:3" x14ac:dyDescent="0.25">
      <c r="A10" t="s">
        <v>17</v>
      </c>
      <c r="B10">
        <v>37</v>
      </c>
      <c r="C10">
        <v>0</v>
      </c>
    </row>
    <row r="11" spans="1:3" x14ac:dyDescent="0.25">
      <c r="A11" t="s">
        <v>19</v>
      </c>
      <c r="B11">
        <v>151</v>
      </c>
      <c r="C11">
        <v>1.2999999999999972</v>
      </c>
    </row>
    <row r="12" spans="1:3" x14ac:dyDescent="0.25">
      <c r="A12" t="s">
        <v>21</v>
      </c>
      <c r="B12">
        <v>81</v>
      </c>
      <c r="C12">
        <v>3.5</v>
      </c>
    </row>
    <row r="13" spans="1:3" x14ac:dyDescent="0.25">
      <c r="A13" t="s">
        <v>23</v>
      </c>
      <c r="B13">
        <v>73</v>
      </c>
      <c r="C13">
        <v>4.7000000000000028</v>
      </c>
    </row>
    <row r="14" spans="1:3" x14ac:dyDescent="0.25">
      <c r="A14" t="s">
        <v>25</v>
      </c>
      <c r="B14">
        <v>208</v>
      </c>
      <c r="C14">
        <v>0.90000000000000568</v>
      </c>
    </row>
    <row r="15" spans="1:3" x14ac:dyDescent="0.25">
      <c r="A15" t="s">
        <v>33</v>
      </c>
      <c r="B15">
        <v>105</v>
      </c>
      <c r="C15">
        <v>0</v>
      </c>
    </row>
    <row r="16" spans="1:3" x14ac:dyDescent="0.25">
      <c r="A16" t="s">
        <v>35</v>
      </c>
      <c r="B16">
        <v>373</v>
      </c>
      <c r="C16">
        <v>3.2000000000000028</v>
      </c>
    </row>
    <row r="17" spans="1:3" x14ac:dyDescent="0.25">
      <c r="A17" t="s">
        <v>37</v>
      </c>
      <c r="B17">
        <v>49</v>
      </c>
      <c r="C17">
        <v>4</v>
      </c>
    </row>
    <row r="18" spans="1:3" x14ac:dyDescent="0.25">
      <c r="A18" t="s">
        <v>39</v>
      </c>
      <c r="B18">
        <v>210</v>
      </c>
      <c r="C18">
        <v>3.4000000000000057</v>
      </c>
    </row>
    <row r="19" spans="1:3" x14ac:dyDescent="0.25">
      <c r="A19" t="s">
        <v>40</v>
      </c>
      <c r="B19">
        <v>131</v>
      </c>
      <c r="C19">
        <v>3.7999999999999972</v>
      </c>
    </row>
    <row r="20" spans="1:3" x14ac:dyDescent="0.25">
      <c r="A20" t="s">
        <v>42</v>
      </c>
      <c r="B20">
        <v>143</v>
      </c>
      <c r="C20">
        <v>0.79999999999999716</v>
      </c>
    </row>
    <row r="21" spans="1:3" x14ac:dyDescent="0.25">
      <c r="A21" t="s">
        <v>44</v>
      </c>
      <c r="B21">
        <v>135</v>
      </c>
      <c r="C21">
        <v>3</v>
      </c>
    </row>
    <row r="22" spans="1:3" x14ac:dyDescent="0.25">
      <c r="A22" t="s">
        <v>48</v>
      </c>
      <c r="B22">
        <v>110</v>
      </c>
      <c r="C22">
        <v>3.0999999999999943</v>
      </c>
    </row>
    <row r="23" spans="1:3" x14ac:dyDescent="0.25">
      <c r="A23" t="s">
        <v>54</v>
      </c>
      <c r="B23">
        <v>278</v>
      </c>
      <c r="C23">
        <v>0.40000000000000568</v>
      </c>
    </row>
    <row r="24" spans="1:3" x14ac:dyDescent="0.25">
      <c r="A24" t="s">
        <v>56</v>
      </c>
      <c r="B24">
        <v>92</v>
      </c>
      <c r="C24">
        <v>1.4000000000000057</v>
      </c>
    </row>
    <row r="25" spans="1:3" x14ac:dyDescent="0.25">
      <c r="A25" t="s">
        <v>58</v>
      </c>
      <c r="B25">
        <v>207</v>
      </c>
      <c r="C25">
        <v>3</v>
      </c>
    </row>
    <row r="26" spans="1:3" x14ac:dyDescent="0.25">
      <c r="A26" t="s">
        <v>60</v>
      </c>
      <c r="B26">
        <v>113</v>
      </c>
      <c r="C26">
        <v>2.0999999999999943</v>
      </c>
    </row>
    <row r="27" spans="1:3" x14ac:dyDescent="0.25">
      <c r="A27" t="s">
        <v>66</v>
      </c>
      <c r="B27">
        <v>183</v>
      </c>
      <c r="C27">
        <v>1</v>
      </c>
    </row>
    <row r="28" spans="1:3" x14ac:dyDescent="0.25">
      <c r="A28" t="s">
        <v>68</v>
      </c>
      <c r="B28">
        <v>135</v>
      </c>
      <c r="C28">
        <v>1.2999999999999972</v>
      </c>
    </row>
    <row r="29" spans="1:3" x14ac:dyDescent="0.25">
      <c r="A29" t="s">
        <v>70</v>
      </c>
      <c r="B29">
        <v>204</v>
      </c>
      <c r="C29">
        <v>3.5999999999999943</v>
      </c>
    </row>
    <row r="30" spans="1:3" x14ac:dyDescent="0.25">
      <c r="A30" t="s">
        <v>72</v>
      </c>
      <c r="B30">
        <v>300</v>
      </c>
      <c r="C30">
        <v>1.2000000000000028</v>
      </c>
    </row>
    <row r="31" spans="1:3" x14ac:dyDescent="0.25">
      <c r="A31" t="s">
        <v>74</v>
      </c>
      <c r="B31">
        <v>252</v>
      </c>
      <c r="C31">
        <v>1.0999999999999943</v>
      </c>
    </row>
    <row r="32" spans="1:3" x14ac:dyDescent="0.25">
      <c r="A32" t="s">
        <v>76</v>
      </c>
      <c r="B32">
        <v>178</v>
      </c>
      <c r="C32">
        <v>1.2000000000000028</v>
      </c>
    </row>
    <row r="33" spans="1:3" x14ac:dyDescent="0.25">
      <c r="A33" t="s">
        <v>77</v>
      </c>
      <c r="B33">
        <v>160</v>
      </c>
      <c r="C33">
        <v>0</v>
      </c>
    </row>
    <row r="34" spans="1:3" x14ac:dyDescent="0.25">
      <c r="A34" t="s">
        <v>81</v>
      </c>
      <c r="B34">
        <v>98</v>
      </c>
      <c r="C34">
        <v>2.7999999999999972</v>
      </c>
    </row>
    <row r="35" spans="1:3" x14ac:dyDescent="0.25">
      <c r="A35" t="s">
        <v>83</v>
      </c>
      <c r="B35">
        <v>232</v>
      </c>
      <c r="C35">
        <v>3</v>
      </c>
    </row>
    <row r="36" spans="1:3" x14ac:dyDescent="0.25">
      <c r="A36" t="s">
        <v>87</v>
      </c>
      <c r="B36">
        <v>167</v>
      </c>
      <c r="C36">
        <v>1.7999999999999972</v>
      </c>
    </row>
    <row r="37" spans="1:3" x14ac:dyDescent="0.25">
      <c r="A37" t="s">
        <v>89</v>
      </c>
      <c r="B37">
        <v>87</v>
      </c>
      <c r="C37">
        <v>1.0999999999999943</v>
      </c>
    </row>
    <row r="38" spans="1:3" x14ac:dyDescent="0.25">
      <c r="A38" t="s">
        <v>91</v>
      </c>
      <c r="B38">
        <v>136</v>
      </c>
      <c r="C38">
        <v>1.5</v>
      </c>
    </row>
    <row r="39" spans="1:3" x14ac:dyDescent="0.25">
      <c r="A39" t="s">
        <v>93</v>
      </c>
      <c r="B39">
        <v>118</v>
      </c>
      <c r="C39">
        <v>0</v>
      </c>
    </row>
    <row r="40" spans="1:3" x14ac:dyDescent="0.25">
      <c r="A40" t="s">
        <v>95</v>
      </c>
      <c r="B40">
        <v>62</v>
      </c>
      <c r="C40">
        <v>1.7999999999999972</v>
      </c>
    </row>
    <row r="41" spans="1:3" x14ac:dyDescent="0.25">
      <c r="A41" t="s">
        <v>97</v>
      </c>
      <c r="B41">
        <v>328</v>
      </c>
      <c r="C41">
        <v>2.7999999999999972</v>
      </c>
    </row>
    <row r="42" spans="1:3" x14ac:dyDescent="0.25">
      <c r="A42" t="s">
        <v>99</v>
      </c>
      <c r="B42">
        <v>135</v>
      </c>
      <c r="C42">
        <v>2.2999999999999972</v>
      </c>
    </row>
    <row r="43" spans="1:3" x14ac:dyDescent="0.25">
      <c r="A43" t="s">
        <v>101</v>
      </c>
      <c r="B43">
        <v>9</v>
      </c>
      <c r="C43">
        <v>0</v>
      </c>
    </row>
    <row r="44" spans="1:3" x14ac:dyDescent="0.25">
      <c r="A44" t="s">
        <v>105</v>
      </c>
      <c r="B44">
        <v>146</v>
      </c>
      <c r="C44">
        <v>4.0999999999999943</v>
      </c>
    </row>
    <row r="45" spans="1:3" x14ac:dyDescent="0.25">
      <c r="A45" t="s">
        <v>107</v>
      </c>
      <c r="B45">
        <v>262</v>
      </c>
      <c r="C45">
        <v>0.79999999999999716</v>
      </c>
    </row>
    <row r="46" spans="1:3" x14ac:dyDescent="0.25">
      <c r="A46" t="s">
        <v>109</v>
      </c>
      <c r="B46">
        <v>104</v>
      </c>
      <c r="C46">
        <v>3.9000000000000057</v>
      </c>
    </row>
    <row r="47" spans="1:3" x14ac:dyDescent="0.25">
      <c r="A47" t="s">
        <v>111</v>
      </c>
      <c r="B47">
        <v>9</v>
      </c>
      <c r="C47">
        <v>0</v>
      </c>
    </row>
    <row r="48" spans="1:3" x14ac:dyDescent="0.25">
      <c r="A48" t="s">
        <v>113</v>
      </c>
      <c r="B48">
        <v>239</v>
      </c>
      <c r="C48">
        <v>0.79999999999999716</v>
      </c>
    </row>
    <row r="49" spans="1:3" x14ac:dyDescent="0.25">
      <c r="A49" t="s">
        <v>115</v>
      </c>
      <c r="B49">
        <v>191</v>
      </c>
      <c r="C49">
        <v>1.9000000000000057</v>
      </c>
    </row>
    <row r="50" spans="1:3" x14ac:dyDescent="0.25">
      <c r="A50" t="s">
        <v>117</v>
      </c>
      <c r="B50">
        <v>134</v>
      </c>
      <c r="C50">
        <v>1.9000000000000057</v>
      </c>
    </row>
    <row r="51" spans="1:3" x14ac:dyDescent="0.25">
      <c r="A51" t="s">
        <v>118</v>
      </c>
      <c r="B51">
        <v>381</v>
      </c>
      <c r="C51">
        <v>1.7999999999999972</v>
      </c>
    </row>
    <row r="52" spans="1:3" x14ac:dyDescent="0.25">
      <c r="A52" t="s">
        <v>120</v>
      </c>
      <c r="B52">
        <v>87</v>
      </c>
      <c r="C52">
        <v>2</v>
      </c>
    </row>
    <row r="53" spans="1:3" x14ac:dyDescent="0.25">
      <c r="A53" t="s">
        <v>122</v>
      </c>
      <c r="B53">
        <v>126</v>
      </c>
      <c r="C53">
        <v>1.2999999999999972</v>
      </c>
    </row>
    <row r="54" spans="1:3" x14ac:dyDescent="0.25">
      <c r="A54" t="s">
        <v>124</v>
      </c>
      <c r="B54">
        <v>308</v>
      </c>
      <c r="C54">
        <v>2.7999999999999972</v>
      </c>
    </row>
    <row r="55" spans="1:3" x14ac:dyDescent="0.25">
      <c r="A55" t="s">
        <v>126</v>
      </c>
      <c r="B55">
        <v>188</v>
      </c>
      <c r="C55">
        <v>2.5999999999999943</v>
      </c>
    </row>
    <row r="56" spans="1:3" x14ac:dyDescent="0.25">
      <c r="A56" t="s">
        <v>128</v>
      </c>
      <c r="B56">
        <v>308</v>
      </c>
      <c r="C56">
        <v>0.70000000000000284</v>
      </c>
    </row>
    <row r="57" spans="1:3" x14ac:dyDescent="0.25">
      <c r="A57" t="s">
        <v>130</v>
      </c>
      <c r="B57">
        <v>231</v>
      </c>
      <c r="C57">
        <v>1</v>
      </c>
    </row>
    <row r="58" spans="1:3" x14ac:dyDescent="0.25">
      <c r="A58" t="s">
        <v>132</v>
      </c>
      <c r="B58">
        <v>128</v>
      </c>
      <c r="C58">
        <v>2.7999999999999972</v>
      </c>
    </row>
    <row r="59" spans="1:3" x14ac:dyDescent="0.25">
      <c r="A59" t="s">
        <v>134</v>
      </c>
      <c r="B59">
        <v>215</v>
      </c>
      <c r="C59">
        <v>0.40000000000000568</v>
      </c>
    </row>
    <row r="60" spans="1:3" x14ac:dyDescent="0.25">
      <c r="A60" t="s">
        <v>136</v>
      </c>
      <c r="B60">
        <v>129</v>
      </c>
      <c r="C60">
        <v>2.2999999999999972</v>
      </c>
    </row>
    <row r="61" spans="1:3" x14ac:dyDescent="0.25">
      <c r="A61" t="s">
        <v>138</v>
      </c>
      <c r="B61">
        <v>121</v>
      </c>
      <c r="C61">
        <v>2.4000000000000057</v>
      </c>
    </row>
    <row r="62" spans="1:3" x14ac:dyDescent="0.25">
      <c r="A62" t="s">
        <v>140</v>
      </c>
      <c r="B62">
        <v>202</v>
      </c>
      <c r="C62">
        <v>2</v>
      </c>
    </row>
    <row r="63" spans="1:3" x14ac:dyDescent="0.25">
      <c r="A63" t="s">
        <v>142</v>
      </c>
      <c r="B63">
        <v>124</v>
      </c>
      <c r="C63">
        <v>0</v>
      </c>
    </row>
    <row r="64" spans="1:3" x14ac:dyDescent="0.25">
      <c r="A64" t="s">
        <v>144</v>
      </c>
      <c r="B64">
        <v>169</v>
      </c>
      <c r="C64">
        <v>4</v>
      </c>
    </row>
    <row r="65" spans="1:3" x14ac:dyDescent="0.25">
      <c r="A65" t="s">
        <v>148</v>
      </c>
      <c r="B65">
        <v>134</v>
      </c>
      <c r="C65">
        <v>0</v>
      </c>
    </row>
    <row r="66" spans="1:3" x14ac:dyDescent="0.25">
      <c r="A66" t="s">
        <v>150</v>
      </c>
      <c r="B66">
        <v>253</v>
      </c>
      <c r="C66">
        <v>1.2000000000000028</v>
      </c>
    </row>
    <row r="67" spans="1:3" x14ac:dyDescent="0.25">
      <c r="A67" t="s">
        <v>154</v>
      </c>
      <c r="B67">
        <v>181</v>
      </c>
      <c r="C67">
        <v>3.2999999999999972</v>
      </c>
    </row>
    <row r="68" spans="1:3" x14ac:dyDescent="0.25">
      <c r="A68" t="s">
        <v>156</v>
      </c>
      <c r="B68">
        <v>106</v>
      </c>
      <c r="C68">
        <v>0</v>
      </c>
    </row>
    <row r="69" spans="1:3" x14ac:dyDescent="0.25">
      <c r="A69" t="s">
        <v>158</v>
      </c>
      <c r="B69">
        <v>148</v>
      </c>
      <c r="C69">
        <v>1.9000000000000057</v>
      </c>
    </row>
    <row r="70" spans="1:3" x14ac:dyDescent="0.25">
      <c r="A70" t="s">
        <v>160</v>
      </c>
      <c r="B70">
        <v>134</v>
      </c>
      <c r="C70">
        <v>4.5999999999999943</v>
      </c>
    </row>
    <row r="71" spans="1:3" x14ac:dyDescent="0.25">
      <c r="A71" t="s">
        <v>164</v>
      </c>
      <c r="B71">
        <v>311</v>
      </c>
      <c r="C71">
        <v>3.2000000000000028</v>
      </c>
    </row>
    <row r="72" spans="1:3" x14ac:dyDescent="0.25">
      <c r="A72" t="s">
        <v>166</v>
      </c>
      <c r="B72">
        <v>73</v>
      </c>
      <c r="C72">
        <v>0</v>
      </c>
    </row>
    <row r="73" spans="1:3" x14ac:dyDescent="0.25">
      <c r="A73" t="s">
        <v>168</v>
      </c>
      <c r="B73">
        <v>92</v>
      </c>
      <c r="C73">
        <v>3.7999999999999972</v>
      </c>
    </row>
    <row r="74" spans="1:3" x14ac:dyDescent="0.25">
      <c r="A74" t="s">
        <v>170</v>
      </c>
      <c r="B74">
        <v>64</v>
      </c>
      <c r="C74">
        <v>2</v>
      </c>
    </row>
    <row r="75" spans="1:3" x14ac:dyDescent="0.25">
      <c r="A75" t="s">
        <v>172</v>
      </c>
      <c r="B75">
        <v>119</v>
      </c>
      <c r="C75">
        <v>2.5999999999999943</v>
      </c>
    </row>
    <row r="76" spans="1:3" x14ac:dyDescent="0.25">
      <c r="A76" t="s">
        <v>174</v>
      </c>
      <c r="B76">
        <v>62</v>
      </c>
      <c r="C76">
        <v>1.7999999999999972</v>
      </c>
    </row>
    <row r="77" spans="1:3" x14ac:dyDescent="0.25">
      <c r="A77" t="s">
        <v>178</v>
      </c>
      <c r="B77">
        <v>71</v>
      </c>
      <c r="C77">
        <v>0.90000000000000568</v>
      </c>
    </row>
    <row r="78" spans="1:3" x14ac:dyDescent="0.25">
      <c r="A78" t="s">
        <v>180</v>
      </c>
      <c r="B78">
        <v>499</v>
      </c>
      <c r="C78">
        <v>2.0999999999999943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2" workbookViewId="0">
      <selection activeCell="B2" sqref="B2"/>
    </sheetView>
  </sheetViews>
  <sheetFormatPr defaultRowHeight="15" x14ac:dyDescent="0.25"/>
  <sheetData>
    <row r="1" spans="1:4" x14ac:dyDescent="0.25">
      <c r="A1" t="s">
        <v>841</v>
      </c>
      <c r="B1" t="s">
        <v>842</v>
      </c>
      <c r="C1" t="s">
        <v>844</v>
      </c>
      <c r="D1" t="s">
        <v>845</v>
      </c>
    </row>
    <row r="2" spans="1:4" x14ac:dyDescent="0.25">
      <c r="A2" t="s">
        <v>869</v>
      </c>
      <c r="B2">
        <v>0</v>
      </c>
      <c r="C2">
        <v>50</v>
      </c>
      <c r="D2">
        <v>1.4</v>
      </c>
    </row>
    <row r="3" spans="1:4" x14ac:dyDescent="0.25">
      <c r="A3" t="s">
        <v>869</v>
      </c>
      <c r="B3">
        <v>9</v>
      </c>
      <c r="C3">
        <v>31.869100000000003</v>
      </c>
      <c r="D3">
        <v>1.4</v>
      </c>
    </row>
    <row r="4" spans="1:4" x14ac:dyDescent="0.25">
      <c r="A4" t="s">
        <v>869</v>
      </c>
      <c r="B4">
        <v>11</v>
      </c>
      <c r="C4">
        <v>26.652850000000001</v>
      </c>
      <c r="D4">
        <v>1.4</v>
      </c>
    </row>
    <row r="5" spans="1:4" x14ac:dyDescent="0.25">
      <c r="A5" t="s">
        <v>869</v>
      </c>
      <c r="B5">
        <v>22</v>
      </c>
      <c r="C5">
        <v>16.981380000000001</v>
      </c>
      <c r="D5">
        <v>1.4</v>
      </c>
    </row>
    <row r="6" spans="1:4" x14ac:dyDescent="0.25">
      <c r="A6" t="s">
        <v>869</v>
      </c>
      <c r="B6">
        <v>23</v>
      </c>
      <c r="C6">
        <v>16.431269999999998</v>
      </c>
      <c r="D6">
        <v>1.4</v>
      </c>
    </row>
    <row r="7" spans="1:4" x14ac:dyDescent="0.25">
      <c r="A7" t="s">
        <v>869</v>
      </c>
      <c r="B7">
        <v>42</v>
      </c>
      <c r="C7">
        <v>11.138310000000004</v>
      </c>
      <c r="D7">
        <v>1.4</v>
      </c>
    </row>
    <row r="8" spans="1:4" x14ac:dyDescent="0.25">
      <c r="A8" t="s">
        <v>869</v>
      </c>
      <c r="B8">
        <v>44</v>
      </c>
      <c r="C8">
        <v>10.798410000000004</v>
      </c>
      <c r="D8">
        <v>1.4</v>
      </c>
    </row>
    <row r="9" spans="1:4" x14ac:dyDescent="0.25">
      <c r="A9" t="s">
        <v>869</v>
      </c>
      <c r="B9">
        <v>55</v>
      </c>
      <c r="C9">
        <v>9.0683700000000016</v>
      </c>
      <c r="D9">
        <v>1.4</v>
      </c>
    </row>
    <row r="10" spans="1:4" x14ac:dyDescent="0.25">
      <c r="A10" t="s">
        <v>869</v>
      </c>
      <c r="B10">
        <v>64</v>
      </c>
      <c r="C10">
        <v>8.6339600000000019</v>
      </c>
      <c r="D10">
        <v>1.4</v>
      </c>
    </row>
    <row r="11" spans="1:4" x14ac:dyDescent="0.25">
      <c r="A11" t="s">
        <v>869</v>
      </c>
      <c r="B11">
        <v>66</v>
      </c>
      <c r="C11">
        <v>8.4982439999999997</v>
      </c>
      <c r="D11">
        <v>1.4</v>
      </c>
    </row>
    <row r="12" spans="1:4" x14ac:dyDescent="0.25">
      <c r="A12" t="s">
        <v>869</v>
      </c>
      <c r="B12">
        <v>69</v>
      </c>
      <c r="C12">
        <v>8.2782870000000059</v>
      </c>
      <c r="D12">
        <v>1.4</v>
      </c>
    </row>
    <row r="13" spans="1:4" x14ac:dyDescent="0.25">
      <c r="A13" t="s">
        <v>869</v>
      </c>
      <c r="B13">
        <v>75</v>
      </c>
      <c r="C13">
        <v>7.8182769999999948</v>
      </c>
      <c r="D13">
        <v>1.4</v>
      </c>
    </row>
    <row r="14" spans="1:4" x14ac:dyDescent="0.25">
      <c r="A14" t="s">
        <v>869</v>
      </c>
      <c r="B14">
        <v>77</v>
      </c>
      <c r="C14">
        <v>7.6659499999999952</v>
      </c>
      <c r="D14">
        <v>1.4</v>
      </c>
    </row>
    <row r="15" spans="1:4" x14ac:dyDescent="0.25">
      <c r="A15" t="s">
        <v>869</v>
      </c>
      <c r="B15">
        <v>78</v>
      </c>
      <c r="C15">
        <v>7.5906219999999962</v>
      </c>
      <c r="D15">
        <v>1.4</v>
      </c>
    </row>
    <row r="16" spans="1:4" x14ac:dyDescent="0.25">
      <c r="A16" t="s">
        <v>869</v>
      </c>
      <c r="B16">
        <v>83</v>
      </c>
      <c r="C16">
        <v>7.225442000000001</v>
      </c>
      <c r="D16">
        <v>1.4</v>
      </c>
    </row>
    <row r="17" spans="1:4" x14ac:dyDescent="0.25">
      <c r="A17" t="s">
        <v>869</v>
      </c>
      <c r="B17">
        <v>85</v>
      </c>
      <c r="C17">
        <v>7.2042930000000069</v>
      </c>
      <c r="D17">
        <v>1.4</v>
      </c>
    </row>
    <row r="18" spans="1:4" x14ac:dyDescent="0.25">
      <c r="A18" t="s">
        <v>869</v>
      </c>
      <c r="B18">
        <v>86</v>
      </c>
      <c r="C18">
        <v>7.1934640000000059</v>
      </c>
      <c r="D18">
        <v>1.4</v>
      </c>
    </row>
    <row r="19" spans="1:4" x14ac:dyDescent="0.25">
      <c r="A19" t="s">
        <v>869</v>
      </c>
      <c r="B19">
        <v>88</v>
      </c>
      <c r="C19">
        <v>7.1585510000000028</v>
      </c>
      <c r="D19">
        <v>1.4</v>
      </c>
    </row>
    <row r="20" spans="1:4" x14ac:dyDescent="0.25">
      <c r="A20" t="s">
        <v>869</v>
      </c>
      <c r="B20">
        <v>89</v>
      </c>
      <c r="C20">
        <v>7.1355130000000031</v>
      </c>
      <c r="D20">
        <v>1.4</v>
      </c>
    </row>
    <row r="21" spans="1:4" x14ac:dyDescent="0.25">
      <c r="A21" t="s">
        <v>869</v>
      </c>
      <c r="B21">
        <v>92</v>
      </c>
      <c r="C21">
        <v>7.0491970000000066</v>
      </c>
      <c r="D21">
        <v>1.4</v>
      </c>
    </row>
    <row r="22" spans="1:4" x14ac:dyDescent="0.25">
      <c r="A22" t="s">
        <v>869</v>
      </c>
      <c r="B22">
        <v>93</v>
      </c>
      <c r="C22">
        <v>7.0158509999999978</v>
      </c>
      <c r="D22">
        <v>1.4</v>
      </c>
    </row>
    <row r="23" spans="1:4" x14ac:dyDescent="0.25">
      <c r="A23" t="s">
        <v>869</v>
      </c>
      <c r="B23">
        <v>94</v>
      </c>
      <c r="C23">
        <v>6.9807050000000004</v>
      </c>
      <c r="D23">
        <v>1.4</v>
      </c>
    </row>
    <row r="24" spans="1:4" x14ac:dyDescent="0.25">
      <c r="A24" t="s">
        <v>869</v>
      </c>
      <c r="B24">
        <v>97</v>
      </c>
      <c r="C24">
        <v>6.8668030000000044</v>
      </c>
      <c r="D24">
        <v>1.4</v>
      </c>
    </row>
    <row r="25" spans="1:4" x14ac:dyDescent="0.25">
      <c r="A25" t="s">
        <v>869</v>
      </c>
      <c r="B25">
        <v>102</v>
      </c>
      <c r="C25">
        <v>6.6593890000000044</v>
      </c>
      <c r="D25">
        <v>1.4</v>
      </c>
    </row>
    <row r="26" spans="1:4" x14ac:dyDescent="0.25">
      <c r="A26" t="s">
        <v>869</v>
      </c>
      <c r="B26">
        <v>104</v>
      </c>
      <c r="C26">
        <v>6.5733220000000046</v>
      </c>
      <c r="D26">
        <v>1.4</v>
      </c>
    </row>
    <row r="27" spans="1:4" x14ac:dyDescent="0.25">
      <c r="A27" t="s">
        <v>869</v>
      </c>
      <c r="B27">
        <v>106</v>
      </c>
      <c r="C27">
        <v>6.4865920000000017</v>
      </c>
      <c r="D27">
        <v>1.4</v>
      </c>
    </row>
    <row r="28" spans="1:4" x14ac:dyDescent="0.25">
      <c r="A28" t="s">
        <v>869</v>
      </c>
      <c r="B28">
        <v>113</v>
      </c>
      <c r="C28">
        <v>6.1846450000000033</v>
      </c>
      <c r="D28">
        <v>1.4</v>
      </c>
    </row>
    <row r="29" spans="1:4" x14ac:dyDescent="0.25">
      <c r="A29" t="s">
        <v>869</v>
      </c>
      <c r="B29">
        <v>116</v>
      </c>
      <c r="C29">
        <v>6.1445070000000044</v>
      </c>
      <c r="D29">
        <v>1.4</v>
      </c>
    </row>
    <row r="30" spans="1:4" x14ac:dyDescent="0.25">
      <c r="A30" t="s">
        <v>869</v>
      </c>
      <c r="B30">
        <v>122</v>
      </c>
      <c r="C30">
        <v>6.0741000000000014</v>
      </c>
      <c r="D30">
        <v>1.4</v>
      </c>
    </row>
    <row r="31" spans="1:4" x14ac:dyDescent="0.25">
      <c r="A31" t="s">
        <v>869</v>
      </c>
      <c r="B31">
        <v>125</v>
      </c>
      <c r="C31">
        <v>6.0170870000000036</v>
      </c>
      <c r="D31">
        <v>1.4</v>
      </c>
    </row>
    <row r="32" spans="1:4" x14ac:dyDescent="0.25">
      <c r="A32" t="s">
        <v>869</v>
      </c>
      <c r="B32">
        <v>128</v>
      </c>
      <c r="C32">
        <v>5.9506290000000064</v>
      </c>
      <c r="D32">
        <v>1.4</v>
      </c>
    </row>
    <row r="33" spans="1:4" x14ac:dyDescent="0.25">
      <c r="A33" t="s">
        <v>869</v>
      </c>
      <c r="B33">
        <v>131</v>
      </c>
      <c r="C33">
        <v>5.8774370000000005</v>
      </c>
      <c r="D33">
        <v>1.4</v>
      </c>
    </row>
    <row r="34" spans="1:4" x14ac:dyDescent="0.25">
      <c r="A34" t="s">
        <v>869</v>
      </c>
      <c r="B34">
        <v>141</v>
      </c>
      <c r="C34">
        <v>5.6081169999999929</v>
      </c>
      <c r="D34">
        <v>1.4</v>
      </c>
    </row>
    <row r="35" spans="1:4" x14ac:dyDescent="0.25">
      <c r="A35" t="s">
        <v>869</v>
      </c>
      <c r="B35">
        <v>144</v>
      </c>
      <c r="C35">
        <v>5.5243509999999958</v>
      </c>
      <c r="D35">
        <v>1.4</v>
      </c>
    </row>
    <row r="36" spans="1:4" x14ac:dyDescent="0.25">
      <c r="A36" t="s">
        <v>869</v>
      </c>
      <c r="B36">
        <v>151</v>
      </c>
      <c r="C36">
        <v>5.426084000000003</v>
      </c>
      <c r="D36">
        <v>1.4</v>
      </c>
    </row>
    <row r="37" spans="1:4" x14ac:dyDescent="0.25">
      <c r="A37" t="s">
        <v>869</v>
      </c>
      <c r="B37">
        <v>153</v>
      </c>
      <c r="C37">
        <v>5.4126239999999939</v>
      </c>
      <c r="D37">
        <v>1.4</v>
      </c>
    </row>
    <row r="38" spans="1:4" x14ac:dyDescent="0.25">
      <c r="A38" t="s">
        <v>869</v>
      </c>
      <c r="B38">
        <v>161</v>
      </c>
      <c r="C38">
        <v>5.3190780000000046</v>
      </c>
      <c r="D38">
        <v>1.4</v>
      </c>
    </row>
    <row r="39" spans="1:4" x14ac:dyDescent="0.25">
      <c r="A39" t="s">
        <v>869</v>
      </c>
      <c r="B39">
        <v>165</v>
      </c>
      <c r="C39">
        <v>5.2561970000000002</v>
      </c>
      <c r="D39">
        <v>1.4</v>
      </c>
    </row>
    <row r="40" spans="1:4" x14ac:dyDescent="0.25">
      <c r="A40" t="s">
        <v>869</v>
      </c>
      <c r="B40">
        <v>166</v>
      </c>
      <c r="C40">
        <v>5.2393629999999973</v>
      </c>
      <c r="D40">
        <v>1.4</v>
      </c>
    </row>
    <row r="41" spans="1:4" x14ac:dyDescent="0.25">
      <c r="A41" t="s">
        <v>869</v>
      </c>
      <c r="B41">
        <v>167</v>
      </c>
      <c r="C41">
        <v>5.2221629999999948</v>
      </c>
      <c r="D41">
        <v>1.4</v>
      </c>
    </row>
    <row r="42" spans="1:4" x14ac:dyDescent="0.25">
      <c r="A42" t="s">
        <v>869</v>
      </c>
      <c r="B42">
        <v>178</v>
      </c>
      <c r="C42">
        <v>5.0173269999999945</v>
      </c>
      <c r="D42">
        <v>1.4</v>
      </c>
    </row>
    <row r="43" spans="1:4" x14ac:dyDescent="0.25">
      <c r="A43" t="s">
        <v>869</v>
      </c>
      <c r="B43">
        <v>179</v>
      </c>
      <c r="C43">
        <v>4.9978859999999941</v>
      </c>
      <c r="D43">
        <v>1.4</v>
      </c>
    </row>
    <row r="44" spans="1:4" x14ac:dyDescent="0.25">
      <c r="A44" t="s">
        <v>869</v>
      </c>
      <c r="B44">
        <v>181</v>
      </c>
      <c r="C44">
        <v>4.9588430000000017</v>
      </c>
      <c r="D44">
        <v>1.4</v>
      </c>
    </row>
    <row r="45" spans="1:4" x14ac:dyDescent="0.25">
      <c r="A45" t="s">
        <v>869</v>
      </c>
      <c r="B45">
        <v>189</v>
      </c>
      <c r="C45">
        <v>4.907077000000001</v>
      </c>
      <c r="D45">
        <v>1.4</v>
      </c>
    </row>
    <row r="46" spans="1:4" x14ac:dyDescent="0.25">
      <c r="A46" t="s">
        <v>869</v>
      </c>
      <c r="B46">
        <v>190</v>
      </c>
      <c r="C46">
        <v>4.9012409999999988</v>
      </c>
      <c r="D46">
        <v>1.4</v>
      </c>
    </row>
    <row r="47" spans="1:4" x14ac:dyDescent="0.25">
      <c r="A47" t="s">
        <v>869</v>
      </c>
      <c r="B47">
        <v>191</v>
      </c>
      <c r="C47">
        <v>4.8946969999999936</v>
      </c>
      <c r="D47">
        <v>1.4</v>
      </c>
    </row>
    <row r="48" spans="1:4" x14ac:dyDescent="0.25">
      <c r="A48" t="s">
        <v>869</v>
      </c>
      <c r="B48">
        <v>192</v>
      </c>
      <c r="C48">
        <v>4.8874930000000063</v>
      </c>
      <c r="D48">
        <v>1.4</v>
      </c>
    </row>
    <row r="49" spans="1:4" x14ac:dyDescent="0.25">
      <c r="A49" t="s">
        <v>869</v>
      </c>
      <c r="B49">
        <v>193</v>
      </c>
      <c r="C49">
        <v>4.8796729999999968</v>
      </c>
      <c r="D49">
        <v>1.4</v>
      </c>
    </row>
    <row r="50" spans="1:4" x14ac:dyDescent="0.25">
      <c r="A50" t="s">
        <v>869</v>
      </c>
      <c r="B50">
        <v>196</v>
      </c>
      <c r="C50">
        <v>4.8529290000000032</v>
      </c>
      <c r="D50">
        <v>1.4</v>
      </c>
    </row>
    <row r="51" spans="1:4" x14ac:dyDescent="0.25">
      <c r="A51" t="s">
        <v>869</v>
      </c>
      <c r="B51">
        <v>202</v>
      </c>
      <c r="C51">
        <v>4.7877500000000026</v>
      </c>
      <c r="D51">
        <v>1.4</v>
      </c>
    </row>
    <row r="52" spans="1:4" x14ac:dyDescent="0.25">
      <c r="A52" t="s">
        <v>869</v>
      </c>
      <c r="B52">
        <v>203</v>
      </c>
      <c r="C52">
        <v>4.7757110000000011</v>
      </c>
      <c r="D52">
        <v>1.4</v>
      </c>
    </row>
    <row r="53" spans="1:4" x14ac:dyDescent="0.25">
      <c r="A53" t="s">
        <v>869</v>
      </c>
      <c r="B53">
        <v>205</v>
      </c>
      <c r="C53">
        <v>4.7508380000000017</v>
      </c>
      <c r="D53">
        <v>1.4</v>
      </c>
    </row>
    <row r="54" spans="1:4" x14ac:dyDescent="0.25">
      <c r="A54" t="s">
        <v>869</v>
      </c>
      <c r="B54">
        <v>209</v>
      </c>
      <c r="C54">
        <v>4.6984759999999994</v>
      </c>
      <c r="D54">
        <v>1.4</v>
      </c>
    </row>
    <row r="55" spans="1:4" x14ac:dyDescent="0.25">
      <c r="A55" t="s">
        <v>869</v>
      </c>
      <c r="B55">
        <v>210</v>
      </c>
      <c r="C55">
        <v>4.6849409999999949</v>
      </c>
      <c r="D55">
        <v>1.4</v>
      </c>
    </row>
    <row r="56" spans="1:4" x14ac:dyDescent="0.25">
      <c r="A56" t="s">
        <v>869</v>
      </c>
      <c r="B56">
        <v>215</v>
      </c>
      <c r="C56">
        <v>4.6153290000000027</v>
      </c>
      <c r="D56">
        <v>1.4</v>
      </c>
    </row>
    <row r="57" spans="1:4" x14ac:dyDescent="0.25">
      <c r="A57" t="s">
        <v>869</v>
      </c>
      <c r="B57">
        <v>226</v>
      </c>
      <c r="C57">
        <v>4.5293530000000004</v>
      </c>
      <c r="D57">
        <v>1.4</v>
      </c>
    </row>
    <row r="58" spans="1:4" x14ac:dyDescent="0.25">
      <c r="A58" t="s">
        <v>869</v>
      </c>
      <c r="B58">
        <v>234</v>
      </c>
      <c r="C58">
        <v>4.4861719999999963</v>
      </c>
      <c r="D58">
        <v>1.4</v>
      </c>
    </row>
    <row r="59" spans="1:4" x14ac:dyDescent="0.25">
      <c r="A59" t="s">
        <v>869</v>
      </c>
      <c r="B59">
        <v>247</v>
      </c>
      <c r="C59">
        <v>4.3725019999999972</v>
      </c>
      <c r="D59">
        <v>1.4</v>
      </c>
    </row>
    <row r="60" spans="1:4" x14ac:dyDescent="0.25">
      <c r="A60" t="s">
        <v>869</v>
      </c>
      <c r="B60">
        <v>259</v>
      </c>
      <c r="C60">
        <v>4.2444220000000001</v>
      </c>
      <c r="D60">
        <v>1.4</v>
      </c>
    </row>
    <row r="61" spans="1:4" x14ac:dyDescent="0.25">
      <c r="A61" t="s">
        <v>869</v>
      </c>
      <c r="B61">
        <v>262</v>
      </c>
      <c r="C61">
        <v>4.2375880000000024</v>
      </c>
      <c r="D61">
        <v>1.4</v>
      </c>
    </row>
    <row r="62" spans="1:4" x14ac:dyDescent="0.25">
      <c r="A62" t="s">
        <v>869</v>
      </c>
      <c r="B62">
        <v>279</v>
      </c>
      <c r="C62">
        <v>4.1658400000000029</v>
      </c>
      <c r="D62">
        <v>1.4</v>
      </c>
    </row>
    <row r="63" spans="1:4" x14ac:dyDescent="0.25">
      <c r="A63" t="s">
        <v>869</v>
      </c>
      <c r="B63">
        <v>282</v>
      </c>
      <c r="C63">
        <v>4.1454010000000068</v>
      </c>
      <c r="D63">
        <v>1.4</v>
      </c>
    </row>
    <row r="64" spans="1:4" x14ac:dyDescent="0.25">
      <c r="A64" t="s">
        <v>869</v>
      </c>
      <c r="B64">
        <v>289</v>
      </c>
      <c r="C64">
        <v>4.0923879999999997</v>
      </c>
      <c r="D64">
        <v>1.4</v>
      </c>
    </row>
    <row r="65" spans="1:4" x14ac:dyDescent="0.25">
      <c r="A65" t="s">
        <v>869</v>
      </c>
      <c r="B65">
        <v>295</v>
      </c>
      <c r="C65">
        <v>4.042664000000002</v>
      </c>
      <c r="D65">
        <v>1.4</v>
      </c>
    </row>
    <row r="66" spans="1:4" x14ac:dyDescent="0.25">
      <c r="A66" t="s">
        <v>869</v>
      </c>
      <c r="B66">
        <v>340</v>
      </c>
      <c r="C66">
        <v>3.8149300000000039</v>
      </c>
      <c r="D66">
        <v>1.4</v>
      </c>
    </row>
    <row r="67" spans="1:4" x14ac:dyDescent="0.25">
      <c r="A67" t="s">
        <v>869</v>
      </c>
      <c r="B67">
        <v>354</v>
      </c>
      <c r="C67">
        <v>3.782432</v>
      </c>
      <c r="D67">
        <v>1.4</v>
      </c>
    </row>
    <row r="68" spans="1:4" x14ac:dyDescent="0.25">
      <c r="A68" t="s">
        <v>869</v>
      </c>
      <c r="B68">
        <v>372</v>
      </c>
      <c r="C68">
        <v>3.7081000000000017</v>
      </c>
      <c r="D68">
        <v>1.4</v>
      </c>
    </row>
    <row r="69" spans="1:4" x14ac:dyDescent="0.25">
      <c r="A69" t="s">
        <v>869</v>
      </c>
      <c r="B69">
        <v>383</v>
      </c>
      <c r="C69">
        <v>3.6473739999999992</v>
      </c>
      <c r="D69">
        <v>1.4</v>
      </c>
    </row>
    <row r="70" spans="1:4" x14ac:dyDescent="0.25">
      <c r="A70" t="s">
        <v>869</v>
      </c>
      <c r="B70">
        <v>400</v>
      </c>
      <c r="C70">
        <v>3.6132999999999953</v>
      </c>
      <c r="D70">
        <v>1.4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9"/>
  <sheetViews>
    <sheetView showGridLines="0" zoomScaleNormal="100" workbookViewId="0">
      <selection activeCell="B1" sqref="B1"/>
    </sheetView>
  </sheetViews>
  <sheetFormatPr defaultRowHeight="15" x14ac:dyDescent="0.25"/>
  <cols>
    <col min="1" max="1" width="12.42578125" bestFit="1" customWidth="1"/>
    <col min="2" max="2" width="55.140625" bestFit="1" customWidth="1"/>
    <col min="5" max="5" width="12.5703125" customWidth="1"/>
    <col min="6" max="6" width="12.7109375" customWidth="1"/>
    <col min="7" max="7" width="13.140625" customWidth="1"/>
    <col min="8" max="8" width="13.5703125" customWidth="1"/>
    <col min="9" max="10" width="13.140625" customWidth="1"/>
    <col min="11" max="11" width="12.5703125" customWidth="1"/>
    <col min="27" max="41" width="9.140625" style="46"/>
  </cols>
  <sheetData>
    <row r="1" spans="1:41" ht="30.75" customHeight="1" x14ac:dyDescent="0.25">
      <c r="A1" s="35" t="s">
        <v>825</v>
      </c>
      <c r="B1" s="36" t="s">
        <v>10</v>
      </c>
      <c r="AA1" s="106" t="s">
        <v>834</v>
      </c>
      <c r="AB1" s="107" t="s">
        <v>835</v>
      </c>
      <c r="AC1" s="107" t="s">
        <v>836</v>
      </c>
      <c r="AD1" s="108" t="s">
        <v>832</v>
      </c>
      <c r="AE1" s="109" t="s">
        <v>189</v>
      </c>
      <c r="AF1" s="109" t="s">
        <v>183</v>
      </c>
      <c r="AG1" s="107" t="s">
        <v>829</v>
      </c>
      <c r="AH1" s="107" t="s">
        <v>830</v>
      </c>
      <c r="AI1" s="107" t="s">
        <v>839</v>
      </c>
      <c r="AJ1" s="107" t="s">
        <v>831</v>
      </c>
      <c r="AK1" s="107" t="s">
        <v>840</v>
      </c>
      <c r="AL1" s="107" t="s">
        <v>832</v>
      </c>
      <c r="AM1" s="107" t="s">
        <v>833</v>
      </c>
      <c r="AN1" s="110" t="s">
        <v>1104</v>
      </c>
      <c r="AO1" s="110" t="s">
        <v>838</v>
      </c>
    </row>
    <row r="2" spans="1:41" x14ac:dyDescent="0.25">
      <c r="AA2" s="46">
        <f>VLOOKUP($B$1,$AF:$AM,2,FALSE)</f>
        <v>14</v>
      </c>
      <c r="AB2" s="46">
        <f>VLOOKUP($B$1,$AF:$AM,4,FALSE)</f>
        <v>7</v>
      </c>
      <c r="AC2" s="46">
        <f>VLOOKUP($B$1,$AF:$AM,6,FALSE)</f>
        <v>13</v>
      </c>
      <c r="AD2" s="46">
        <f>VLOOKUP($B$1,$AF:$AM,7,FALSE)</f>
        <v>50</v>
      </c>
      <c r="AE2" s="111" t="s">
        <v>15</v>
      </c>
      <c r="AF2" s="111" t="s">
        <v>16</v>
      </c>
      <c r="AG2" s="46">
        <v>4</v>
      </c>
      <c r="AH2" s="46">
        <v>3</v>
      </c>
      <c r="AI2" s="46">
        <f t="shared" ref="AI2:AI33" si="0">AG2-AH2</f>
        <v>1</v>
      </c>
      <c r="AJ2" s="46">
        <v>7</v>
      </c>
      <c r="AK2" s="46">
        <f t="shared" ref="AK2:AK33" si="1">AJ2-AG2</f>
        <v>3</v>
      </c>
      <c r="AL2" s="46">
        <v>1</v>
      </c>
      <c r="AM2" s="46">
        <v>14</v>
      </c>
      <c r="AN2" s="46">
        <f>VLOOKUP($C29,'CEA Funnel'!$A:$C,2,FALSE)</f>
        <v>144</v>
      </c>
      <c r="AO2" s="46">
        <f>VLOOKUP($C29,'CEA Funnel'!$A:$C,3,FALSE)</f>
        <v>3.2000000000000028</v>
      </c>
    </row>
    <row r="3" spans="1:41" x14ac:dyDescent="0.25">
      <c r="AE3" s="111" t="s">
        <v>35</v>
      </c>
      <c r="AF3" s="111" t="s">
        <v>36</v>
      </c>
      <c r="AG3" s="46">
        <v>4</v>
      </c>
      <c r="AH3" s="46">
        <v>3</v>
      </c>
      <c r="AI3" s="46">
        <f t="shared" si="0"/>
        <v>1</v>
      </c>
      <c r="AJ3" s="46">
        <v>8</v>
      </c>
      <c r="AK3" s="46">
        <f t="shared" si="1"/>
        <v>4</v>
      </c>
      <c r="AL3" s="46">
        <v>2</v>
      </c>
      <c r="AM3" s="46">
        <v>14</v>
      </c>
    </row>
    <row r="4" spans="1:41" x14ac:dyDescent="0.25">
      <c r="AE4" s="111" t="s">
        <v>138</v>
      </c>
      <c r="AF4" s="111" t="s">
        <v>139</v>
      </c>
      <c r="AG4" s="46">
        <v>7</v>
      </c>
      <c r="AH4" s="46">
        <v>5</v>
      </c>
      <c r="AI4" s="46">
        <f t="shared" si="0"/>
        <v>2</v>
      </c>
      <c r="AJ4" s="46">
        <v>11</v>
      </c>
      <c r="AK4" s="46">
        <f t="shared" si="1"/>
        <v>4</v>
      </c>
      <c r="AL4" s="46">
        <v>3</v>
      </c>
      <c r="AM4" s="46">
        <v>14</v>
      </c>
    </row>
    <row r="5" spans="1:41" x14ac:dyDescent="0.25">
      <c r="AE5" s="111" t="s">
        <v>83</v>
      </c>
      <c r="AF5" s="111" t="s">
        <v>84</v>
      </c>
      <c r="AG5" s="46">
        <v>7</v>
      </c>
      <c r="AH5" s="46">
        <v>5</v>
      </c>
      <c r="AI5" s="46">
        <f t="shared" si="0"/>
        <v>2</v>
      </c>
      <c r="AJ5" s="46">
        <v>12</v>
      </c>
      <c r="AK5" s="46">
        <f t="shared" si="1"/>
        <v>5</v>
      </c>
      <c r="AL5" s="46">
        <v>4</v>
      </c>
      <c r="AM5" s="46">
        <v>14</v>
      </c>
    </row>
    <row r="6" spans="1:41" x14ac:dyDescent="0.25">
      <c r="AE6" s="111" t="s">
        <v>134</v>
      </c>
      <c r="AF6" s="111" t="s">
        <v>135</v>
      </c>
      <c r="AG6" s="46">
        <v>8</v>
      </c>
      <c r="AH6" s="46">
        <v>5</v>
      </c>
      <c r="AI6" s="46">
        <f t="shared" si="0"/>
        <v>3</v>
      </c>
      <c r="AJ6" s="46">
        <v>11</v>
      </c>
      <c r="AK6" s="46">
        <f t="shared" si="1"/>
        <v>3</v>
      </c>
      <c r="AL6" s="46">
        <v>5</v>
      </c>
      <c r="AM6" s="46">
        <v>14</v>
      </c>
    </row>
    <row r="7" spans="1:41" x14ac:dyDescent="0.25">
      <c r="AE7" s="111" t="s">
        <v>144</v>
      </c>
      <c r="AF7" s="111" t="s">
        <v>145</v>
      </c>
      <c r="AG7" s="46">
        <v>8</v>
      </c>
      <c r="AH7" s="46">
        <v>5</v>
      </c>
      <c r="AI7" s="46">
        <f t="shared" si="0"/>
        <v>3</v>
      </c>
      <c r="AJ7" s="46">
        <v>12</v>
      </c>
      <c r="AK7" s="46">
        <f t="shared" si="1"/>
        <v>4</v>
      </c>
      <c r="AL7" s="46">
        <v>6</v>
      </c>
      <c r="AM7" s="46">
        <v>14</v>
      </c>
    </row>
    <row r="8" spans="1:41" x14ac:dyDescent="0.25">
      <c r="AE8" s="111" t="s">
        <v>56</v>
      </c>
      <c r="AF8" s="111" t="s">
        <v>57</v>
      </c>
      <c r="AG8" s="46">
        <v>8</v>
      </c>
      <c r="AH8" s="46">
        <v>5</v>
      </c>
      <c r="AI8" s="46">
        <f t="shared" si="0"/>
        <v>3</v>
      </c>
      <c r="AJ8" s="46">
        <v>13</v>
      </c>
      <c r="AK8" s="46">
        <f t="shared" si="1"/>
        <v>5</v>
      </c>
      <c r="AL8" s="46">
        <v>7</v>
      </c>
      <c r="AM8" s="46">
        <v>14</v>
      </c>
    </row>
    <row r="9" spans="1:41" x14ac:dyDescent="0.25">
      <c r="AE9" s="111" t="s">
        <v>170</v>
      </c>
      <c r="AF9" s="111" t="s">
        <v>171</v>
      </c>
      <c r="AG9" s="46">
        <v>8</v>
      </c>
      <c r="AH9" s="46">
        <v>5</v>
      </c>
      <c r="AI9" s="46">
        <f t="shared" si="0"/>
        <v>3</v>
      </c>
      <c r="AJ9" s="46">
        <v>14</v>
      </c>
      <c r="AK9" s="46">
        <f t="shared" si="1"/>
        <v>6</v>
      </c>
      <c r="AL9" s="46">
        <v>8</v>
      </c>
      <c r="AM9" s="46">
        <v>14</v>
      </c>
    </row>
    <row r="10" spans="1:41" x14ac:dyDescent="0.25">
      <c r="AE10" s="111" t="s">
        <v>105</v>
      </c>
      <c r="AF10" s="111" t="s">
        <v>106</v>
      </c>
      <c r="AG10" s="46">
        <v>8</v>
      </c>
      <c r="AH10" s="46">
        <v>5</v>
      </c>
      <c r="AI10" s="46">
        <f t="shared" si="0"/>
        <v>3</v>
      </c>
      <c r="AJ10" s="46">
        <v>16</v>
      </c>
      <c r="AK10" s="46">
        <f t="shared" si="1"/>
        <v>8</v>
      </c>
      <c r="AL10" s="46">
        <v>9</v>
      </c>
      <c r="AM10" s="46">
        <v>14</v>
      </c>
    </row>
    <row r="11" spans="1:41" x14ac:dyDescent="0.25">
      <c r="AE11" s="111" t="s">
        <v>126</v>
      </c>
      <c r="AF11" s="111" t="s">
        <v>127</v>
      </c>
      <c r="AG11" s="46">
        <v>8</v>
      </c>
      <c r="AH11" s="46">
        <v>5</v>
      </c>
      <c r="AI11" s="46">
        <f t="shared" si="0"/>
        <v>3</v>
      </c>
      <c r="AJ11" s="46">
        <v>16</v>
      </c>
      <c r="AK11" s="46">
        <f t="shared" si="1"/>
        <v>8</v>
      </c>
      <c r="AL11" s="46">
        <v>10</v>
      </c>
      <c r="AM11" s="46">
        <v>14</v>
      </c>
    </row>
    <row r="12" spans="1:41" x14ac:dyDescent="0.25">
      <c r="AE12" s="111" t="s">
        <v>21</v>
      </c>
      <c r="AF12" s="111" t="s">
        <v>22</v>
      </c>
      <c r="AG12" s="46">
        <v>8</v>
      </c>
      <c r="AH12" s="46">
        <v>6</v>
      </c>
      <c r="AI12" s="46">
        <f t="shared" si="0"/>
        <v>2</v>
      </c>
      <c r="AJ12" s="46">
        <v>10</v>
      </c>
      <c r="AK12" s="46">
        <f t="shared" si="1"/>
        <v>2</v>
      </c>
      <c r="AL12" s="46">
        <v>11</v>
      </c>
      <c r="AM12" s="46">
        <v>14</v>
      </c>
    </row>
    <row r="13" spans="1:41" x14ac:dyDescent="0.25">
      <c r="AE13" s="111" t="s">
        <v>68</v>
      </c>
      <c r="AF13" s="111" t="s">
        <v>69</v>
      </c>
      <c r="AG13" s="46">
        <v>8</v>
      </c>
      <c r="AH13" s="46">
        <v>6</v>
      </c>
      <c r="AI13" s="46">
        <f t="shared" si="0"/>
        <v>2</v>
      </c>
      <c r="AJ13" s="46">
        <v>11</v>
      </c>
      <c r="AK13" s="46">
        <f t="shared" si="1"/>
        <v>3</v>
      </c>
      <c r="AL13" s="46">
        <v>12</v>
      </c>
      <c r="AM13" s="46">
        <v>14</v>
      </c>
    </row>
    <row r="14" spans="1:41" x14ac:dyDescent="0.25">
      <c r="AE14" s="111" t="s">
        <v>37</v>
      </c>
      <c r="AF14" s="111" t="s">
        <v>38</v>
      </c>
      <c r="AG14" s="46">
        <v>8</v>
      </c>
      <c r="AH14" s="46">
        <v>6</v>
      </c>
      <c r="AI14" s="46">
        <f t="shared" si="0"/>
        <v>2</v>
      </c>
      <c r="AJ14" s="46">
        <v>14</v>
      </c>
      <c r="AK14" s="46">
        <f t="shared" si="1"/>
        <v>6</v>
      </c>
      <c r="AL14" s="46">
        <v>13</v>
      </c>
      <c r="AM14" s="46">
        <v>14</v>
      </c>
    </row>
    <row r="15" spans="1:41" x14ac:dyDescent="0.25">
      <c r="AE15" s="111" t="s">
        <v>17</v>
      </c>
      <c r="AF15" s="111" t="s">
        <v>18</v>
      </c>
      <c r="AG15" s="46">
        <v>8</v>
      </c>
      <c r="AH15" s="46">
        <v>6</v>
      </c>
      <c r="AI15" s="46">
        <f t="shared" si="0"/>
        <v>2</v>
      </c>
      <c r="AJ15" s="46">
        <v>21</v>
      </c>
      <c r="AK15" s="46">
        <f t="shared" si="1"/>
        <v>13</v>
      </c>
      <c r="AL15" s="46">
        <v>14</v>
      </c>
      <c r="AM15" s="46">
        <v>14</v>
      </c>
    </row>
    <row r="16" spans="1:41" x14ac:dyDescent="0.25">
      <c r="AE16" s="111" t="s">
        <v>74</v>
      </c>
      <c r="AF16" s="111" t="s">
        <v>75</v>
      </c>
      <c r="AG16" s="46">
        <v>9</v>
      </c>
      <c r="AH16" s="46">
        <v>5</v>
      </c>
      <c r="AI16" s="46">
        <f t="shared" si="0"/>
        <v>4</v>
      </c>
      <c r="AJ16" s="46">
        <v>24</v>
      </c>
      <c r="AK16" s="46">
        <f t="shared" si="1"/>
        <v>15</v>
      </c>
      <c r="AL16" s="46">
        <v>15</v>
      </c>
      <c r="AM16" s="46">
        <v>14</v>
      </c>
    </row>
    <row r="17" spans="2:39" x14ac:dyDescent="0.25">
      <c r="AE17" s="111" t="s">
        <v>128</v>
      </c>
      <c r="AF17" s="111" t="s">
        <v>129</v>
      </c>
      <c r="AG17" s="46">
        <v>9</v>
      </c>
      <c r="AH17" s="46">
        <v>5</v>
      </c>
      <c r="AI17" s="46">
        <f t="shared" si="0"/>
        <v>4</v>
      </c>
      <c r="AJ17" s="46">
        <v>32</v>
      </c>
      <c r="AK17" s="46">
        <f t="shared" si="1"/>
        <v>23</v>
      </c>
      <c r="AL17" s="46">
        <v>16</v>
      </c>
      <c r="AM17" s="46">
        <v>14</v>
      </c>
    </row>
    <row r="18" spans="2:39" x14ac:dyDescent="0.25">
      <c r="AE18" s="111" t="s">
        <v>13</v>
      </c>
      <c r="AF18" s="111" t="s">
        <v>14</v>
      </c>
      <c r="AG18" s="46">
        <v>9</v>
      </c>
      <c r="AH18" s="46">
        <v>6</v>
      </c>
      <c r="AI18" s="46">
        <f t="shared" si="0"/>
        <v>3</v>
      </c>
      <c r="AJ18" s="46">
        <v>19</v>
      </c>
      <c r="AK18" s="46">
        <f t="shared" si="1"/>
        <v>10</v>
      </c>
      <c r="AL18" s="46">
        <v>17</v>
      </c>
      <c r="AM18" s="46">
        <v>14</v>
      </c>
    </row>
    <row r="19" spans="2:39" x14ac:dyDescent="0.25">
      <c r="AE19" s="111" t="s">
        <v>124</v>
      </c>
      <c r="AF19" s="111" t="s">
        <v>125</v>
      </c>
      <c r="AG19" s="46">
        <v>9</v>
      </c>
      <c r="AH19" s="46">
        <v>7</v>
      </c>
      <c r="AI19" s="46">
        <f t="shared" si="0"/>
        <v>2</v>
      </c>
      <c r="AJ19" s="46">
        <v>14</v>
      </c>
      <c r="AK19" s="46">
        <f t="shared" si="1"/>
        <v>5</v>
      </c>
      <c r="AL19" s="46">
        <v>18</v>
      </c>
      <c r="AM19" s="46">
        <v>14</v>
      </c>
    </row>
    <row r="20" spans="2:39" x14ac:dyDescent="0.25">
      <c r="AE20" s="111" t="s">
        <v>40</v>
      </c>
      <c r="AF20" s="111" t="s">
        <v>41</v>
      </c>
      <c r="AG20" s="112">
        <v>10</v>
      </c>
      <c r="AH20" s="46">
        <v>5</v>
      </c>
      <c r="AI20" s="46">
        <f t="shared" si="0"/>
        <v>5</v>
      </c>
      <c r="AJ20" s="46">
        <v>14</v>
      </c>
      <c r="AK20" s="46">
        <f t="shared" si="1"/>
        <v>4</v>
      </c>
      <c r="AL20" s="46">
        <v>19</v>
      </c>
      <c r="AM20" s="46">
        <v>14</v>
      </c>
    </row>
    <row r="21" spans="2:39" x14ac:dyDescent="0.25">
      <c r="AE21" s="111" t="s">
        <v>11</v>
      </c>
      <c r="AF21" s="111" t="s">
        <v>12</v>
      </c>
      <c r="AG21" s="112">
        <v>10</v>
      </c>
      <c r="AH21" s="46">
        <v>6</v>
      </c>
      <c r="AI21" s="46">
        <f t="shared" si="0"/>
        <v>4</v>
      </c>
      <c r="AJ21" s="46">
        <v>17</v>
      </c>
      <c r="AK21" s="46">
        <f t="shared" si="1"/>
        <v>7</v>
      </c>
      <c r="AL21" s="46">
        <v>20</v>
      </c>
      <c r="AM21" s="46">
        <v>14</v>
      </c>
    </row>
    <row r="22" spans="2:39" x14ac:dyDescent="0.25">
      <c r="AE22" s="111" t="s">
        <v>120</v>
      </c>
      <c r="AF22" s="111" t="s">
        <v>121</v>
      </c>
      <c r="AG22" s="112">
        <v>10</v>
      </c>
      <c r="AH22" s="46">
        <v>6</v>
      </c>
      <c r="AI22" s="46">
        <f t="shared" si="0"/>
        <v>4</v>
      </c>
      <c r="AJ22" s="46">
        <v>28</v>
      </c>
      <c r="AK22" s="46">
        <f t="shared" si="1"/>
        <v>18</v>
      </c>
      <c r="AL22" s="46">
        <v>21</v>
      </c>
      <c r="AM22" s="46">
        <v>14</v>
      </c>
    </row>
    <row r="23" spans="2:39" x14ac:dyDescent="0.25">
      <c r="AE23" s="111" t="s">
        <v>140</v>
      </c>
      <c r="AF23" s="111" t="s">
        <v>141</v>
      </c>
      <c r="AG23" s="112">
        <v>10</v>
      </c>
      <c r="AH23" s="46">
        <v>7</v>
      </c>
      <c r="AI23" s="46">
        <f t="shared" si="0"/>
        <v>3</v>
      </c>
      <c r="AJ23" s="46">
        <v>15</v>
      </c>
      <c r="AK23" s="46">
        <f t="shared" si="1"/>
        <v>5</v>
      </c>
      <c r="AL23" s="46">
        <v>22</v>
      </c>
      <c r="AM23" s="46">
        <v>14</v>
      </c>
    </row>
    <row r="24" spans="2:39" x14ac:dyDescent="0.25">
      <c r="AE24" s="111" t="s">
        <v>99</v>
      </c>
      <c r="AF24" s="111" t="s">
        <v>100</v>
      </c>
      <c r="AG24" s="112">
        <v>10</v>
      </c>
      <c r="AH24" s="46">
        <v>7</v>
      </c>
      <c r="AI24" s="46">
        <f t="shared" si="0"/>
        <v>3</v>
      </c>
      <c r="AJ24" s="46">
        <v>24</v>
      </c>
      <c r="AK24" s="46">
        <f t="shared" si="1"/>
        <v>14</v>
      </c>
      <c r="AL24" s="46">
        <v>23</v>
      </c>
      <c r="AM24" s="46">
        <v>14</v>
      </c>
    </row>
    <row r="25" spans="2:39" x14ac:dyDescent="0.25">
      <c r="AE25" s="111" t="s">
        <v>7</v>
      </c>
      <c r="AF25" s="111" t="s">
        <v>8</v>
      </c>
      <c r="AG25" s="112">
        <v>10</v>
      </c>
      <c r="AH25" s="46">
        <v>8</v>
      </c>
      <c r="AI25" s="46">
        <f t="shared" si="0"/>
        <v>2</v>
      </c>
      <c r="AJ25" s="46">
        <v>13</v>
      </c>
      <c r="AK25" s="46">
        <f t="shared" si="1"/>
        <v>3</v>
      </c>
      <c r="AL25" s="46">
        <v>24</v>
      </c>
      <c r="AM25" s="46">
        <v>14</v>
      </c>
    </row>
    <row r="26" spans="2:39" x14ac:dyDescent="0.25">
      <c r="AE26" s="111" t="s">
        <v>66</v>
      </c>
      <c r="AF26" s="111" t="s">
        <v>67</v>
      </c>
      <c r="AG26" s="112">
        <v>10</v>
      </c>
      <c r="AH26" s="46">
        <v>8</v>
      </c>
      <c r="AI26" s="46">
        <f t="shared" si="0"/>
        <v>2</v>
      </c>
      <c r="AJ26" s="46">
        <v>17</v>
      </c>
      <c r="AK26" s="46">
        <f t="shared" si="1"/>
        <v>7</v>
      </c>
      <c r="AL26" s="46">
        <v>25</v>
      </c>
      <c r="AM26" s="46">
        <v>14</v>
      </c>
    </row>
    <row r="27" spans="2:39" ht="15.75" thickBot="1" x14ac:dyDescent="0.3">
      <c r="AE27" s="111" t="s">
        <v>117</v>
      </c>
      <c r="AF27" s="113" t="s">
        <v>773</v>
      </c>
      <c r="AG27" s="112">
        <v>11</v>
      </c>
      <c r="AH27" s="46">
        <v>6</v>
      </c>
      <c r="AI27" s="46">
        <f t="shared" si="0"/>
        <v>5</v>
      </c>
      <c r="AJ27" s="46">
        <v>19</v>
      </c>
      <c r="AK27" s="46">
        <f t="shared" si="1"/>
        <v>8</v>
      </c>
      <c r="AL27" s="46">
        <v>26</v>
      </c>
      <c r="AM27" s="46">
        <v>14</v>
      </c>
    </row>
    <row r="28" spans="2:39" ht="105.75" thickBot="1" x14ac:dyDescent="0.3">
      <c r="B28" s="37" t="s">
        <v>183</v>
      </c>
      <c r="C28" s="37" t="s">
        <v>189</v>
      </c>
      <c r="D28" s="38" t="s">
        <v>190</v>
      </c>
      <c r="E28" s="37" t="s">
        <v>195</v>
      </c>
      <c r="F28" s="38" t="s">
        <v>191</v>
      </c>
      <c r="G28" s="38" t="s">
        <v>192</v>
      </c>
      <c r="H28" s="38" t="s">
        <v>193</v>
      </c>
      <c r="I28" s="37" t="s">
        <v>826</v>
      </c>
      <c r="J28" s="37" t="s">
        <v>196</v>
      </c>
      <c r="K28" s="37" t="s">
        <v>194</v>
      </c>
      <c r="AE28" s="111" t="s">
        <v>42</v>
      </c>
      <c r="AF28" s="111" t="s">
        <v>43</v>
      </c>
      <c r="AG28" s="112">
        <v>11</v>
      </c>
      <c r="AH28" s="46">
        <v>6</v>
      </c>
      <c r="AI28" s="46">
        <f t="shared" si="0"/>
        <v>5</v>
      </c>
      <c r="AJ28" s="46">
        <v>22</v>
      </c>
      <c r="AK28" s="46">
        <f t="shared" si="1"/>
        <v>11</v>
      </c>
      <c r="AL28" s="46">
        <v>27</v>
      </c>
      <c r="AM28" s="46">
        <v>14</v>
      </c>
    </row>
    <row r="29" spans="2:39" ht="15.75" thickBot="1" x14ac:dyDescent="0.3">
      <c r="B29" s="39" t="str">
        <f>B1</f>
        <v>Aneurin Bevan University Health Board</v>
      </c>
      <c r="C29" s="40" t="str">
        <f>VLOOKUP($B29,'Carotid Endarterectomy'!$B:$K,10,FALSE)</f>
        <v>7A6</v>
      </c>
      <c r="D29" s="41">
        <f>VLOOKUP($B29,'Carotid Endarterectomy'!$B:$J,2,FALSE)</f>
        <v>42</v>
      </c>
      <c r="E29" s="41">
        <f>VLOOKUP($B29,'Carotid Endarterectomy'!$B:$K,3,FALSE)</f>
        <v>40</v>
      </c>
      <c r="F29" s="42">
        <f>VLOOKUP($B29,'Carotid Endarterectomy'!$B:$K,4,FALSE)</f>
        <v>0.57999999999999996</v>
      </c>
      <c r="G29" s="42">
        <f>VLOOKUP($B29,'Carotid Endarterectomy'!$B:$K,5,FALSE)</f>
        <v>0.55000000000000004</v>
      </c>
      <c r="H29" s="42">
        <f>VLOOKUP($B29,'Carotid Endarterectomy'!$B:$K,6,FALSE)</f>
        <v>0.55000000000000004</v>
      </c>
      <c r="I29" s="43">
        <f>VLOOKUP($B29,'Carotid Endarterectomy'!$B:$K,7,FALSE)</f>
        <v>3.2000000000000001E-2</v>
      </c>
      <c r="J29" s="40" t="str">
        <f>VLOOKUP($B29,'Carotid Endarterectomy'!$B:$K,8,FALSE)</f>
        <v>14 (7 - 27)</v>
      </c>
      <c r="K29" s="40" t="str">
        <f>VLOOKUP($B29,'Carotid Endarterectomy'!$B:$K,9,FALSE)</f>
        <v>1 (1 - 2)</v>
      </c>
      <c r="AE29" s="111" t="s">
        <v>132</v>
      </c>
      <c r="AF29" s="111" t="s">
        <v>133</v>
      </c>
      <c r="AG29" s="112">
        <v>11</v>
      </c>
      <c r="AH29" s="46">
        <v>7</v>
      </c>
      <c r="AI29" s="46">
        <f t="shared" si="0"/>
        <v>4</v>
      </c>
      <c r="AJ29" s="46">
        <v>17</v>
      </c>
      <c r="AK29" s="46">
        <f t="shared" si="1"/>
        <v>6</v>
      </c>
      <c r="AL29" s="46">
        <v>28</v>
      </c>
      <c r="AM29" s="46">
        <v>14</v>
      </c>
    </row>
    <row r="30" spans="2:39" ht="15.75" thickBot="1" x14ac:dyDescent="0.3">
      <c r="B30" s="130" t="s">
        <v>827</v>
      </c>
      <c r="C30" s="130"/>
      <c r="D30" s="41">
        <v>4178</v>
      </c>
      <c r="E30" s="41">
        <v>3902</v>
      </c>
      <c r="F30" s="42">
        <v>0.68</v>
      </c>
      <c r="G30" s="42">
        <v>0.53</v>
      </c>
      <c r="H30" s="42">
        <v>0.6</v>
      </c>
      <c r="I30" s="43">
        <v>2.1000000000000001E-2</v>
      </c>
      <c r="J30" s="40" t="s">
        <v>828</v>
      </c>
      <c r="K30" s="40" t="s">
        <v>267</v>
      </c>
      <c r="AE30" s="111" t="s">
        <v>172</v>
      </c>
      <c r="AF30" s="111" t="s">
        <v>173</v>
      </c>
      <c r="AG30" s="112">
        <v>11</v>
      </c>
      <c r="AH30" s="46">
        <v>8</v>
      </c>
      <c r="AI30" s="46">
        <f t="shared" si="0"/>
        <v>3</v>
      </c>
      <c r="AJ30" s="46">
        <v>16</v>
      </c>
      <c r="AK30" s="46">
        <f t="shared" si="1"/>
        <v>5</v>
      </c>
      <c r="AL30" s="46">
        <v>29</v>
      </c>
      <c r="AM30" s="46">
        <v>14</v>
      </c>
    </row>
    <row r="31" spans="2:39" x14ac:dyDescent="0.25">
      <c r="AE31" s="111" t="s">
        <v>19</v>
      </c>
      <c r="AF31" s="111" t="s">
        <v>20</v>
      </c>
      <c r="AG31" s="112">
        <v>12</v>
      </c>
      <c r="AH31" s="46">
        <v>7</v>
      </c>
      <c r="AI31" s="46">
        <f t="shared" si="0"/>
        <v>5</v>
      </c>
      <c r="AJ31" s="46">
        <v>16</v>
      </c>
      <c r="AK31" s="46">
        <f t="shared" si="1"/>
        <v>4</v>
      </c>
      <c r="AL31" s="46">
        <v>30</v>
      </c>
      <c r="AM31" s="46">
        <v>14</v>
      </c>
    </row>
    <row r="32" spans="2:39" x14ac:dyDescent="0.25">
      <c r="AE32" s="111" t="s">
        <v>91</v>
      </c>
      <c r="AF32" s="111" t="s">
        <v>92</v>
      </c>
      <c r="AG32" s="112">
        <v>12</v>
      </c>
      <c r="AH32" s="46">
        <v>7</v>
      </c>
      <c r="AI32" s="46">
        <f t="shared" si="0"/>
        <v>5</v>
      </c>
      <c r="AJ32" s="46">
        <v>33</v>
      </c>
      <c r="AK32" s="46">
        <f t="shared" si="1"/>
        <v>21</v>
      </c>
      <c r="AL32" s="46">
        <v>31</v>
      </c>
      <c r="AM32" s="46">
        <v>14</v>
      </c>
    </row>
    <row r="33" spans="31:39" x14ac:dyDescent="0.25">
      <c r="AE33" s="111" t="s">
        <v>87</v>
      </c>
      <c r="AF33" s="111" t="s">
        <v>88</v>
      </c>
      <c r="AG33" s="112">
        <v>12</v>
      </c>
      <c r="AH33" s="46">
        <v>8</v>
      </c>
      <c r="AI33" s="46">
        <f t="shared" si="0"/>
        <v>4</v>
      </c>
      <c r="AJ33" s="46">
        <v>17</v>
      </c>
      <c r="AK33" s="46">
        <f t="shared" si="1"/>
        <v>5</v>
      </c>
      <c r="AL33" s="46">
        <v>32</v>
      </c>
      <c r="AM33" s="46">
        <v>14</v>
      </c>
    </row>
    <row r="34" spans="31:39" x14ac:dyDescent="0.25">
      <c r="AE34" s="111" t="s">
        <v>164</v>
      </c>
      <c r="AF34" s="111" t="s">
        <v>165</v>
      </c>
      <c r="AG34" s="112">
        <v>12</v>
      </c>
      <c r="AH34" s="46">
        <v>8</v>
      </c>
      <c r="AI34" s="46">
        <f t="shared" ref="AI34:AI65" si="2">AG34-AH34</f>
        <v>4</v>
      </c>
      <c r="AJ34" s="46">
        <v>19</v>
      </c>
      <c r="AK34" s="46">
        <f t="shared" ref="AK34:AK65" si="3">AJ34-AG34</f>
        <v>7</v>
      </c>
      <c r="AL34" s="46">
        <v>33</v>
      </c>
      <c r="AM34" s="46">
        <v>14</v>
      </c>
    </row>
    <row r="35" spans="31:39" x14ac:dyDescent="0.25">
      <c r="AE35" s="111" t="s">
        <v>118</v>
      </c>
      <c r="AF35" s="111" t="s">
        <v>119</v>
      </c>
      <c r="AG35" s="112">
        <v>12</v>
      </c>
      <c r="AH35" s="46">
        <v>8</v>
      </c>
      <c r="AI35" s="46">
        <f t="shared" si="2"/>
        <v>4</v>
      </c>
      <c r="AJ35" s="46">
        <v>22</v>
      </c>
      <c r="AK35" s="46">
        <f t="shared" si="3"/>
        <v>10</v>
      </c>
      <c r="AL35" s="46">
        <v>34</v>
      </c>
      <c r="AM35" s="46">
        <v>14</v>
      </c>
    </row>
    <row r="36" spans="31:39" x14ac:dyDescent="0.25">
      <c r="AE36" s="111" t="s">
        <v>115</v>
      </c>
      <c r="AF36" s="111" t="s">
        <v>116</v>
      </c>
      <c r="AG36" s="112">
        <v>12</v>
      </c>
      <c r="AH36" s="46">
        <v>8</v>
      </c>
      <c r="AI36" s="46">
        <f t="shared" si="2"/>
        <v>4</v>
      </c>
      <c r="AJ36" s="46">
        <v>26</v>
      </c>
      <c r="AK36" s="46">
        <f t="shared" si="3"/>
        <v>14</v>
      </c>
      <c r="AL36" s="46">
        <v>35</v>
      </c>
      <c r="AM36" s="46">
        <v>14</v>
      </c>
    </row>
    <row r="37" spans="31:39" x14ac:dyDescent="0.25">
      <c r="AE37" s="111" t="s">
        <v>58</v>
      </c>
      <c r="AF37" s="111" t="s">
        <v>59</v>
      </c>
      <c r="AG37" s="112">
        <v>12</v>
      </c>
      <c r="AH37" s="46">
        <v>9</v>
      </c>
      <c r="AI37" s="46">
        <f t="shared" si="2"/>
        <v>3</v>
      </c>
      <c r="AJ37" s="46">
        <v>14</v>
      </c>
      <c r="AK37" s="46">
        <f t="shared" si="3"/>
        <v>2</v>
      </c>
      <c r="AL37" s="46">
        <v>36</v>
      </c>
      <c r="AM37" s="46">
        <v>14</v>
      </c>
    </row>
    <row r="38" spans="31:39" x14ac:dyDescent="0.25">
      <c r="AE38" s="111" t="s">
        <v>156</v>
      </c>
      <c r="AF38" s="111" t="s">
        <v>157</v>
      </c>
      <c r="AG38" s="112">
        <v>12</v>
      </c>
      <c r="AH38" s="46">
        <v>9</v>
      </c>
      <c r="AI38" s="46">
        <f t="shared" si="2"/>
        <v>3</v>
      </c>
      <c r="AJ38" s="46">
        <v>14</v>
      </c>
      <c r="AK38" s="46">
        <f t="shared" si="3"/>
        <v>2</v>
      </c>
      <c r="AL38" s="46">
        <v>37</v>
      </c>
      <c r="AM38" s="46">
        <v>14</v>
      </c>
    </row>
    <row r="39" spans="31:39" x14ac:dyDescent="0.25">
      <c r="AE39" s="111" t="s">
        <v>89</v>
      </c>
      <c r="AF39" s="111" t="s">
        <v>90</v>
      </c>
      <c r="AG39" s="112">
        <v>12</v>
      </c>
      <c r="AH39" s="46">
        <v>9</v>
      </c>
      <c r="AI39" s="46">
        <f t="shared" si="2"/>
        <v>3</v>
      </c>
      <c r="AJ39" s="46">
        <v>19</v>
      </c>
      <c r="AK39" s="46">
        <f t="shared" si="3"/>
        <v>7</v>
      </c>
      <c r="AL39" s="46">
        <v>38</v>
      </c>
      <c r="AM39" s="46">
        <v>14</v>
      </c>
    </row>
    <row r="40" spans="31:39" x14ac:dyDescent="0.25">
      <c r="AE40" s="111" t="s">
        <v>160</v>
      </c>
      <c r="AF40" s="111" t="s">
        <v>161</v>
      </c>
      <c r="AG40" s="112">
        <v>12</v>
      </c>
      <c r="AH40" s="46">
        <v>9</v>
      </c>
      <c r="AI40" s="46">
        <f t="shared" si="2"/>
        <v>3</v>
      </c>
      <c r="AJ40" s="46">
        <v>19</v>
      </c>
      <c r="AK40" s="46">
        <f t="shared" si="3"/>
        <v>7</v>
      </c>
      <c r="AL40" s="46">
        <v>39</v>
      </c>
      <c r="AM40" s="46">
        <v>14</v>
      </c>
    </row>
    <row r="41" spans="31:39" x14ac:dyDescent="0.25">
      <c r="AE41" s="111" t="s">
        <v>142</v>
      </c>
      <c r="AF41" s="111" t="s">
        <v>143</v>
      </c>
      <c r="AG41" s="112">
        <v>12</v>
      </c>
      <c r="AH41" s="46">
        <v>10</v>
      </c>
      <c r="AI41" s="46">
        <f t="shared" si="2"/>
        <v>2</v>
      </c>
      <c r="AJ41" s="46">
        <v>15</v>
      </c>
      <c r="AK41" s="46">
        <f t="shared" si="3"/>
        <v>3</v>
      </c>
      <c r="AL41" s="46">
        <v>40</v>
      </c>
      <c r="AM41" s="46">
        <v>14</v>
      </c>
    </row>
    <row r="42" spans="31:39" x14ac:dyDescent="0.25">
      <c r="AE42" s="111" t="s">
        <v>136</v>
      </c>
      <c r="AF42" s="111" t="s">
        <v>137</v>
      </c>
      <c r="AG42" s="112">
        <v>13</v>
      </c>
      <c r="AH42" s="46">
        <v>7</v>
      </c>
      <c r="AI42" s="46">
        <f t="shared" si="2"/>
        <v>6</v>
      </c>
      <c r="AJ42" s="46">
        <v>17</v>
      </c>
      <c r="AK42" s="46">
        <f t="shared" si="3"/>
        <v>4</v>
      </c>
      <c r="AL42" s="46">
        <v>41</v>
      </c>
      <c r="AM42" s="46">
        <v>14</v>
      </c>
    </row>
    <row r="43" spans="31:39" x14ac:dyDescent="0.25">
      <c r="AE43" s="111" t="s">
        <v>4</v>
      </c>
      <c r="AF43" s="111" t="s">
        <v>214</v>
      </c>
      <c r="AG43" s="112">
        <v>13</v>
      </c>
      <c r="AH43" s="46">
        <v>7</v>
      </c>
      <c r="AI43" s="46">
        <f t="shared" si="2"/>
        <v>6</v>
      </c>
      <c r="AJ43" s="46">
        <v>23</v>
      </c>
      <c r="AK43" s="46">
        <f t="shared" si="3"/>
        <v>10</v>
      </c>
      <c r="AL43" s="46">
        <v>42</v>
      </c>
      <c r="AM43" s="46">
        <v>14</v>
      </c>
    </row>
    <row r="44" spans="31:39" x14ac:dyDescent="0.25">
      <c r="AE44" s="111" t="s">
        <v>54</v>
      </c>
      <c r="AF44" s="111" t="s">
        <v>55</v>
      </c>
      <c r="AG44" s="112">
        <v>13</v>
      </c>
      <c r="AH44" s="46">
        <v>7</v>
      </c>
      <c r="AI44" s="46">
        <f t="shared" si="2"/>
        <v>6</v>
      </c>
      <c r="AJ44" s="46">
        <v>24</v>
      </c>
      <c r="AK44" s="46">
        <f t="shared" si="3"/>
        <v>11</v>
      </c>
      <c r="AL44" s="46">
        <v>43</v>
      </c>
      <c r="AM44" s="46">
        <v>14</v>
      </c>
    </row>
    <row r="45" spans="31:39" x14ac:dyDescent="0.25">
      <c r="AE45" s="111" t="s">
        <v>154</v>
      </c>
      <c r="AF45" s="111" t="s">
        <v>155</v>
      </c>
      <c r="AG45" s="112">
        <v>13</v>
      </c>
      <c r="AH45" s="46">
        <v>7</v>
      </c>
      <c r="AI45" s="46">
        <f t="shared" si="2"/>
        <v>6</v>
      </c>
      <c r="AJ45" s="46">
        <v>26</v>
      </c>
      <c r="AK45" s="46">
        <f t="shared" si="3"/>
        <v>13</v>
      </c>
      <c r="AL45" s="46">
        <v>44</v>
      </c>
      <c r="AM45" s="46">
        <v>14</v>
      </c>
    </row>
    <row r="46" spans="31:39" x14ac:dyDescent="0.25">
      <c r="AE46" s="111" t="s">
        <v>23</v>
      </c>
      <c r="AF46" s="111" t="s">
        <v>24</v>
      </c>
      <c r="AG46" s="112">
        <v>13</v>
      </c>
      <c r="AH46" s="46">
        <v>9</v>
      </c>
      <c r="AI46" s="46">
        <f t="shared" si="2"/>
        <v>4</v>
      </c>
      <c r="AJ46" s="46">
        <v>17</v>
      </c>
      <c r="AK46" s="46">
        <f t="shared" si="3"/>
        <v>4</v>
      </c>
      <c r="AL46" s="46">
        <v>45</v>
      </c>
      <c r="AM46" s="46">
        <v>14</v>
      </c>
    </row>
    <row r="47" spans="31:39" x14ac:dyDescent="0.25">
      <c r="AE47" s="111" t="s">
        <v>148</v>
      </c>
      <c r="AF47" s="111" t="s">
        <v>149</v>
      </c>
      <c r="AG47" s="112">
        <v>13</v>
      </c>
      <c r="AH47" s="46">
        <v>9</v>
      </c>
      <c r="AI47" s="46">
        <f t="shared" si="2"/>
        <v>4</v>
      </c>
      <c r="AJ47" s="46">
        <v>18</v>
      </c>
      <c r="AK47" s="46">
        <f t="shared" si="3"/>
        <v>5</v>
      </c>
      <c r="AL47" s="46">
        <v>46</v>
      </c>
      <c r="AM47" s="46">
        <v>14</v>
      </c>
    </row>
    <row r="48" spans="31:39" x14ac:dyDescent="0.25">
      <c r="AE48" s="111" t="s">
        <v>113</v>
      </c>
      <c r="AF48" s="111" t="s">
        <v>114</v>
      </c>
      <c r="AG48" s="112">
        <v>13</v>
      </c>
      <c r="AH48" s="46">
        <v>9</v>
      </c>
      <c r="AI48" s="46">
        <f t="shared" si="2"/>
        <v>4</v>
      </c>
      <c r="AJ48" s="46">
        <v>22</v>
      </c>
      <c r="AK48" s="46">
        <f t="shared" si="3"/>
        <v>9</v>
      </c>
      <c r="AL48" s="46">
        <v>47</v>
      </c>
      <c r="AM48" s="46">
        <v>14</v>
      </c>
    </row>
    <row r="49" spans="31:39" x14ac:dyDescent="0.25">
      <c r="AE49" s="111" t="s">
        <v>93</v>
      </c>
      <c r="AF49" s="111" t="s">
        <v>94</v>
      </c>
      <c r="AG49" s="112">
        <v>13</v>
      </c>
      <c r="AH49" s="46">
        <v>9</v>
      </c>
      <c r="AI49" s="46">
        <f t="shared" si="2"/>
        <v>4</v>
      </c>
      <c r="AJ49" s="46">
        <v>30</v>
      </c>
      <c r="AK49" s="46">
        <f t="shared" si="3"/>
        <v>17</v>
      </c>
      <c r="AL49" s="46">
        <v>48</v>
      </c>
      <c r="AM49" s="46">
        <v>14</v>
      </c>
    </row>
    <row r="50" spans="31:39" x14ac:dyDescent="0.25">
      <c r="AE50" s="111" t="s">
        <v>81</v>
      </c>
      <c r="AF50" s="111" t="s">
        <v>82</v>
      </c>
      <c r="AG50" s="112">
        <v>13</v>
      </c>
      <c r="AH50" s="46">
        <v>10</v>
      </c>
      <c r="AI50" s="46">
        <f t="shared" si="2"/>
        <v>3</v>
      </c>
      <c r="AJ50" s="46">
        <v>16</v>
      </c>
      <c r="AK50" s="46">
        <f t="shared" si="3"/>
        <v>3</v>
      </c>
      <c r="AL50" s="46">
        <v>49</v>
      </c>
      <c r="AM50" s="46">
        <v>14</v>
      </c>
    </row>
    <row r="51" spans="31:39" x14ac:dyDescent="0.25">
      <c r="AE51" s="111" t="s">
        <v>9</v>
      </c>
      <c r="AF51" s="111" t="s">
        <v>10</v>
      </c>
      <c r="AG51" s="112">
        <v>14</v>
      </c>
      <c r="AH51" s="46">
        <v>7</v>
      </c>
      <c r="AI51" s="46">
        <f t="shared" si="2"/>
        <v>7</v>
      </c>
      <c r="AJ51" s="46">
        <v>27</v>
      </c>
      <c r="AK51" s="46">
        <f t="shared" si="3"/>
        <v>13</v>
      </c>
      <c r="AL51" s="46">
        <v>50</v>
      </c>
      <c r="AM51" s="46">
        <v>14</v>
      </c>
    </row>
    <row r="52" spans="31:39" x14ac:dyDescent="0.25">
      <c r="AE52" s="111" t="s">
        <v>109</v>
      </c>
      <c r="AF52" s="111" t="s">
        <v>110</v>
      </c>
      <c r="AG52" s="112">
        <v>14</v>
      </c>
      <c r="AH52" s="46">
        <v>8</v>
      </c>
      <c r="AI52" s="46">
        <f t="shared" si="2"/>
        <v>6</v>
      </c>
      <c r="AJ52" s="46">
        <v>37</v>
      </c>
      <c r="AK52" s="46">
        <f t="shared" si="3"/>
        <v>23</v>
      </c>
      <c r="AL52" s="46">
        <v>51</v>
      </c>
      <c r="AM52" s="46">
        <v>14</v>
      </c>
    </row>
    <row r="53" spans="31:39" x14ac:dyDescent="0.25">
      <c r="AE53" s="111" t="s">
        <v>107</v>
      </c>
      <c r="AF53" s="111" t="s">
        <v>108</v>
      </c>
      <c r="AG53" s="112">
        <v>14</v>
      </c>
      <c r="AH53" s="46">
        <v>9</v>
      </c>
      <c r="AI53" s="46">
        <f t="shared" si="2"/>
        <v>5</v>
      </c>
      <c r="AJ53" s="46">
        <v>23</v>
      </c>
      <c r="AK53" s="46">
        <f t="shared" si="3"/>
        <v>9</v>
      </c>
      <c r="AL53" s="46">
        <v>52</v>
      </c>
      <c r="AM53" s="46">
        <v>14</v>
      </c>
    </row>
    <row r="54" spans="31:39" x14ac:dyDescent="0.25">
      <c r="AE54" s="111" t="s">
        <v>70</v>
      </c>
      <c r="AF54" s="111" t="s">
        <v>71</v>
      </c>
      <c r="AG54" s="112">
        <v>14</v>
      </c>
      <c r="AH54" s="46">
        <v>9</v>
      </c>
      <c r="AI54" s="46">
        <f t="shared" si="2"/>
        <v>5</v>
      </c>
      <c r="AJ54" s="46">
        <v>30</v>
      </c>
      <c r="AK54" s="46">
        <f t="shared" si="3"/>
        <v>16</v>
      </c>
      <c r="AL54" s="46">
        <v>53</v>
      </c>
      <c r="AM54" s="46">
        <v>14</v>
      </c>
    </row>
    <row r="55" spans="31:39" x14ac:dyDescent="0.25">
      <c r="AE55" s="111" t="s">
        <v>168</v>
      </c>
      <c r="AF55" s="111" t="s">
        <v>169</v>
      </c>
      <c r="AG55" s="112">
        <v>14</v>
      </c>
      <c r="AH55" s="46">
        <v>10</v>
      </c>
      <c r="AI55" s="46">
        <f t="shared" si="2"/>
        <v>4</v>
      </c>
      <c r="AJ55" s="46">
        <v>20</v>
      </c>
      <c r="AK55" s="46">
        <f t="shared" si="3"/>
        <v>6</v>
      </c>
      <c r="AL55" s="46">
        <v>54</v>
      </c>
      <c r="AM55" s="46">
        <v>14</v>
      </c>
    </row>
    <row r="56" spans="31:39" x14ac:dyDescent="0.25">
      <c r="AE56" s="111" t="s">
        <v>176</v>
      </c>
      <c r="AF56" s="111" t="s">
        <v>177</v>
      </c>
      <c r="AG56" s="112">
        <v>14</v>
      </c>
      <c r="AH56" s="46">
        <v>10</v>
      </c>
      <c r="AI56" s="46">
        <f t="shared" si="2"/>
        <v>4</v>
      </c>
      <c r="AJ56" s="46">
        <v>21</v>
      </c>
      <c r="AK56" s="46">
        <f t="shared" si="3"/>
        <v>7</v>
      </c>
      <c r="AL56" s="46">
        <v>55</v>
      </c>
      <c r="AM56" s="46">
        <v>14</v>
      </c>
    </row>
    <row r="57" spans="31:39" x14ac:dyDescent="0.25">
      <c r="AE57" s="111" t="s">
        <v>95</v>
      </c>
      <c r="AF57" s="111" t="s">
        <v>96</v>
      </c>
      <c r="AG57" s="112">
        <v>14</v>
      </c>
      <c r="AH57" s="46">
        <v>11</v>
      </c>
      <c r="AI57" s="46">
        <f t="shared" si="2"/>
        <v>3</v>
      </c>
      <c r="AJ57" s="46">
        <v>19</v>
      </c>
      <c r="AK57" s="46">
        <f t="shared" si="3"/>
        <v>5</v>
      </c>
      <c r="AL57" s="46">
        <v>56</v>
      </c>
      <c r="AM57" s="46">
        <v>14</v>
      </c>
    </row>
    <row r="58" spans="31:39" x14ac:dyDescent="0.25">
      <c r="AE58" s="111" t="s">
        <v>60</v>
      </c>
      <c r="AF58" s="111" t="s">
        <v>61</v>
      </c>
      <c r="AG58" s="112">
        <v>14</v>
      </c>
      <c r="AH58" s="46">
        <v>14</v>
      </c>
      <c r="AI58" s="46">
        <f t="shared" si="2"/>
        <v>0</v>
      </c>
      <c r="AJ58" s="46">
        <v>21</v>
      </c>
      <c r="AK58" s="46">
        <f t="shared" si="3"/>
        <v>7</v>
      </c>
      <c r="AL58" s="46">
        <v>57</v>
      </c>
      <c r="AM58" s="46">
        <v>14</v>
      </c>
    </row>
    <row r="59" spans="31:39" x14ac:dyDescent="0.25">
      <c r="AE59" s="111" t="s">
        <v>25</v>
      </c>
      <c r="AF59" s="111" t="s">
        <v>26</v>
      </c>
      <c r="AG59" s="112">
        <v>15</v>
      </c>
      <c r="AH59" s="46">
        <v>10</v>
      </c>
      <c r="AI59" s="46">
        <f t="shared" si="2"/>
        <v>5</v>
      </c>
      <c r="AJ59" s="46">
        <v>25</v>
      </c>
      <c r="AK59" s="46">
        <f t="shared" si="3"/>
        <v>10</v>
      </c>
      <c r="AL59" s="46">
        <v>58</v>
      </c>
      <c r="AM59" s="46">
        <v>14</v>
      </c>
    </row>
    <row r="60" spans="31:39" x14ac:dyDescent="0.25">
      <c r="AE60" s="111" t="s">
        <v>0</v>
      </c>
      <c r="AF60" s="111" t="s">
        <v>1</v>
      </c>
      <c r="AG60" s="112">
        <v>15</v>
      </c>
      <c r="AH60" s="46">
        <v>11</v>
      </c>
      <c r="AI60" s="46">
        <f t="shared" si="2"/>
        <v>4</v>
      </c>
      <c r="AJ60" s="46">
        <v>26</v>
      </c>
      <c r="AK60" s="46">
        <f t="shared" si="3"/>
        <v>11</v>
      </c>
      <c r="AL60" s="46">
        <v>59</v>
      </c>
      <c r="AM60" s="46">
        <v>14</v>
      </c>
    </row>
    <row r="61" spans="31:39" x14ac:dyDescent="0.25">
      <c r="AE61" s="111" t="s">
        <v>44</v>
      </c>
      <c r="AF61" s="111" t="s">
        <v>45</v>
      </c>
      <c r="AG61" s="112">
        <v>16</v>
      </c>
      <c r="AH61" s="46">
        <v>9</v>
      </c>
      <c r="AI61" s="46">
        <f t="shared" si="2"/>
        <v>7</v>
      </c>
      <c r="AJ61" s="46">
        <v>27</v>
      </c>
      <c r="AK61" s="46">
        <f t="shared" si="3"/>
        <v>11</v>
      </c>
      <c r="AL61" s="46">
        <v>60</v>
      </c>
      <c r="AM61" s="46">
        <v>14</v>
      </c>
    </row>
    <row r="62" spans="31:39" x14ac:dyDescent="0.25">
      <c r="AE62" s="111" t="s">
        <v>76</v>
      </c>
      <c r="AF62" s="111" t="s">
        <v>215</v>
      </c>
      <c r="AG62" s="112">
        <v>16</v>
      </c>
      <c r="AH62" s="46">
        <v>9</v>
      </c>
      <c r="AI62" s="46">
        <f t="shared" si="2"/>
        <v>7</v>
      </c>
      <c r="AJ62" s="46">
        <v>49</v>
      </c>
      <c r="AK62" s="46">
        <f t="shared" si="3"/>
        <v>33</v>
      </c>
      <c r="AL62" s="46">
        <v>61</v>
      </c>
      <c r="AM62" s="46">
        <v>14</v>
      </c>
    </row>
    <row r="63" spans="31:39" x14ac:dyDescent="0.25">
      <c r="AE63" s="111" t="s">
        <v>130</v>
      </c>
      <c r="AF63" s="111" t="s">
        <v>131</v>
      </c>
      <c r="AG63" s="112">
        <v>17</v>
      </c>
      <c r="AH63" s="46">
        <v>7</v>
      </c>
      <c r="AI63" s="46">
        <f t="shared" si="2"/>
        <v>10</v>
      </c>
      <c r="AJ63" s="46">
        <v>60</v>
      </c>
      <c r="AK63" s="46">
        <f t="shared" si="3"/>
        <v>43</v>
      </c>
      <c r="AL63" s="46">
        <v>62</v>
      </c>
      <c r="AM63" s="46">
        <v>14</v>
      </c>
    </row>
    <row r="64" spans="31:39" x14ac:dyDescent="0.25">
      <c r="AE64" s="111" t="s">
        <v>122</v>
      </c>
      <c r="AF64" s="111" t="s">
        <v>123</v>
      </c>
      <c r="AG64" s="112">
        <v>17</v>
      </c>
      <c r="AH64" s="46">
        <v>9</v>
      </c>
      <c r="AI64" s="46">
        <f t="shared" si="2"/>
        <v>8</v>
      </c>
      <c r="AJ64" s="46">
        <v>26</v>
      </c>
      <c r="AK64" s="46">
        <f t="shared" si="3"/>
        <v>9</v>
      </c>
      <c r="AL64" s="46">
        <v>63</v>
      </c>
      <c r="AM64" s="46">
        <v>14</v>
      </c>
    </row>
    <row r="65" spans="31:39" x14ac:dyDescent="0.25">
      <c r="AE65" s="111" t="s">
        <v>180</v>
      </c>
      <c r="AF65" s="111" t="s">
        <v>181</v>
      </c>
      <c r="AG65" s="112">
        <v>17</v>
      </c>
      <c r="AH65" s="46">
        <v>9</v>
      </c>
      <c r="AI65" s="46">
        <f t="shared" si="2"/>
        <v>8</v>
      </c>
      <c r="AJ65" s="46">
        <v>35</v>
      </c>
      <c r="AK65" s="46">
        <f t="shared" si="3"/>
        <v>18</v>
      </c>
      <c r="AL65" s="46">
        <v>64</v>
      </c>
      <c r="AM65" s="46">
        <v>14</v>
      </c>
    </row>
    <row r="66" spans="31:39" x14ac:dyDescent="0.25">
      <c r="AE66" s="111" t="s">
        <v>174</v>
      </c>
      <c r="AF66" s="111" t="s">
        <v>175</v>
      </c>
      <c r="AG66" s="112">
        <v>17</v>
      </c>
      <c r="AH66" s="46">
        <v>12</v>
      </c>
      <c r="AI66" s="46">
        <f t="shared" ref="AI66:AI79" si="4">AG66-AH66</f>
        <v>5</v>
      </c>
      <c r="AJ66" s="46">
        <v>20</v>
      </c>
      <c r="AK66" s="46">
        <f t="shared" ref="AK66:AK79" si="5">AJ66-AG66</f>
        <v>3</v>
      </c>
      <c r="AL66" s="46">
        <v>65</v>
      </c>
      <c r="AM66" s="46">
        <v>14</v>
      </c>
    </row>
    <row r="67" spans="31:39" x14ac:dyDescent="0.25">
      <c r="AE67" s="111" t="s">
        <v>158</v>
      </c>
      <c r="AF67" s="111" t="s">
        <v>159</v>
      </c>
      <c r="AG67" s="112">
        <v>18</v>
      </c>
      <c r="AH67" s="46">
        <v>8</v>
      </c>
      <c r="AI67" s="46">
        <f t="shared" si="4"/>
        <v>10</v>
      </c>
      <c r="AJ67" s="46">
        <v>39</v>
      </c>
      <c r="AK67" s="46">
        <f t="shared" si="5"/>
        <v>21</v>
      </c>
      <c r="AL67" s="46">
        <v>66</v>
      </c>
      <c r="AM67" s="46">
        <v>14</v>
      </c>
    </row>
    <row r="68" spans="31:39" x14ac:dyDescent="0.25">
      <c r="AE68" s="111" t="s">
        <v>150</v>
      </c>
      <c r="AF68" s="111" t="s">
        <v>151</v>
      </c>
      <c r="AG68" s="112">
        <v>18</v>
      </c>
      <c r="AH68" s="46">
        <v>12</v>
      </c>
      <c r="AI68" s="46">
        <f t="shared" si="4"/>
        <v>6</v>
      </c>
      <c r="AJ68" s="46">
        <v>32</v>
      </c>
      <c r="AK68" s="46">
        <f t="shared" si="5"/>
        <v>14</v>
      </c>
      <c r="AL68" s="46">
        <v>67</v>
      </c>
      <c r="AM68" s="46">
        <v>14</v>
      </c>
    </row>
    <row r="69" spans="31:39" x14ac:dyDescent="0.25">
      <c r="AE69" s="111" t="s">
        <v>39</v>
      </c>
      <c r="AF69" s="111" t="s">
        <v>216</v>
      </c>
      <c r="AG69" s="112">
        <v>19</v>
      </c>
      <c r="AH69" s="46">
        <v>8</v>
      </c>
      <c r="AI69" s="46">
        <f t="shared" si="4"/>
        <v>11</v>
      </c>
      <c r="AJ69" s="46">
        <v>40</v>
      </c>
      <c r="AK69" s="46">
        <f t="shared" si="5"/>
        <v>21</v>
      </c>
      <c r="AL69" s="46">
        <v>68</v>
      </c>
      <c r="AM69" s="46">
        <v>14</v>
      </c>
    </row>
    <row r="70" spans="31:39" x14ac:dyDescent="0.25">
      <c r="AE70" s="111" t="s">
        <v>5</v>
      </c>
      <c r="AF70" s="111" t="s">
        <v>6</v>
      </c>
      <c r="AG70" s="112">
        <v>21</v>
      </c>
      <c r="AH70" s="46">
        <v>11</v>
      </c>
      <c r="AI70" s="46">
        <f t="shared" si="4"/>
        <v>10</v>
      </c>
      <c r="AJ70" s="46">
        <v>37</v>
      </c>
      <c r="AK70" s="46">
        <f t="shared" si="5"/>
        <v>16</v>
      </c>
      <c r="AL70" s="46">
        <v>69</v>
      </c>
      <c r="AM70" s="46">
        <v>14</v>
      </c>
    </row>
    <row r="71" spans="31:39" x14ac:dyDescent="0.25">
      <c r="AE71" s="111" t="s">
        <v>166</v>
      </c>
      <c r="AF71" s="111" t="s">
        <v>167</v>
      </c>
      <c r="AG71" s="112">
        <v>21</v>
      </c>
      <c r="AH71" s="46">
        <v>13</v>
      </c>
      <c r="AI71" s="46">
        <f t="shared" si="4"/>
        <v>8</v>
      </c>
      <c r="AJ71" s="46">
        <v>42</v>
      </c>
      <c r="AK71" s="46">
        <f t="shared" si="5"/>
        <v>21</v>
      </c>
      <c r="AL71" s="46">
        <v>70</v>
      </c>
      <c r="AM71" s="46">
        <v>14</v>
      </c>
    </row>
    <row r="72" spans="31:39" x14ac:dyDescent="0.25">
      <c r="AE72" s="111" t="s">
        <v>97</v>
      </c>
      <c r="AF72" s="111" t="s">
        <v>98</v>
      </c>
      <c r="AG72" s="112">
        <v>22</v>
      </c>
      <c r="AH72" s="46">
        <v>16</v>
      </c>
      <c r="AI72" s="46">
        <f t="shared" si="4"/>
        <v>6</v>
      </c>
      <c r="AJ72" s="46">
        <v>40</v>
      </c>
      <c r="AK72" s="46">
        <f t="shared" si="5"/>
        <v>18</v>
      </c>
      <c r="AL72" s="46">
        <v>71</v>
      </c>
      <c r="AM72" s="46">
        <v>14</v>
      </c>
    </row>
    <row r="73" spans="31:39" x14ac:dyDescent="0.25">
      <c r="AE73" s="111" t="s">
        <v>178</v>
      </c>
      <c r="AF73" s="111" t="s">
        <v>179</v>
      </c>
      <c r="AG73" s="112">
        <v>22</v>
      </c>
      <c r="AH73" s="46">
        <v>17</v>
      </c>
      <c r="AI73" s="46">
        <f t="shared" si="4"/>
        <v>5</v>
      </c>
      <c r="AJ73" s="46">
        <v>41</v>
      </c>
      <c r="AK73" s="46">
        <f t="shared" si="5"/>
        <v>19</v>
      </c>
      <c r="AL73" s="46">
        <v>72</v>
      </c>
      <c r="AM73" s="46">
        <v>14</v>
      </c>
    </row>
    <row r="74" spans="31:39" x14ac:dyDescent="0.25">
      <c r="AE74" s="111" t="s">
        <v>77</v>
      </c>
      <c r="AF74" s="111" t="s">
        <v>78</v>
      </c>
      <c r="AG74" s="112">
        <v>24</v>
      </c>
      <c r="AH74" s="46">
        <v>9</v>
      </c>
      <c r="AI74" s="46">
        <f t="shared" si="4"/>
        <v>15</v>
      </c>
      <c r="AJ74" s="46">
        <v>56</v>
      </c>
      <c r="AK74" s="46">
        <f t="shared" si="5"/>
        <v>32</v>
      </c>
      <c r="AL74" s="46">
        <v>73</v>
      </c>
      <c r="AM74" s="46">
        <v>14</v>
      </c>
    </row>
    <row r="75" spans="31:39" x14ac:dyDescent="0.25">
      <c r="AE75" s="111" t="s">
        <v>48</v>
      </c>
      <c r="AF75" s="111" t="s">
        <v>49</v>
      </c>
      <c r="AG75" s="112">
        <v>24</v>
      </c>
      <c r="AH75" s="46">
        <v>14</v>
      </c>
      <c r="AI75" s="46">
        <f t="shared" si="4"/>
        <v>10</v>
      </c>
      <c r="AJ75" s="46">
        <v>42</v>
      </c>
      <c r="AK75" s="46">
        <f t="shared" si="5"/>
        <v>18</v>
      </c>
      <c r="AL75" s="46">
        <v>74</v>
      </c>
      <c r="AM75" s="46">
        <v>14</v>
      </c>
    </row>
    <row r="76" spans="31:39" x14ac:dyDescent="0.25">
      <c r="AE76" s="111" t="s">
        <v>33</v>
      </c>
      <c r="AF76" s="111" t="s">
        <v>34</v>
      </c>
      <c r="AG76" s="112">
        <v>25</v>
      </c>
      <c r="AH76" s="46">
        <v>13</v>
      </c>
      <c r="AI76" s="46">
        <f t="shared" si="4"/>
        <v>12</v>
      </c>
      <c r="AJ76" s="46">
        <v>50</v>
      </c>
      <c r="AK76" s="46">
        <f t="shared" si="5"/>
        <v>25</v>
      </c>
      <c r="AL76" s="46">
        <v>75</v>
      </c>
      <c r="AM76" s="46">
        <v>14</v>
      </c>
    </row>
    <row r="77" spans="31:39" x14ac:dyDescent="0.25">
      <c r="AE77" s="111" t="s">
        <v>72</v>
      </c>
      <c r="AF77" s="111" t="s">
        <v>73</v>
      </c>
      <c r="AG77" s="112">
        <v>26</v>
      </c>
      <c r="AH77" s="46">
        <v>17</v>
      </c>
      <c r="AI77" s="46">
        <f t="shared" si="4"/>
        <v>9</v>
      </c>
      <c r="AJ77" s="46">
        <v>41</v>
      </c>
      <c r="AK77" s="46">
        <f t="shared" si="5"/>
        <v>15</v>
      </c>
      <c r="AL77" s="46">
        <v>76</v>
      </c>
      <c r="AM77" s="46">
        <v>14</v>
      </c>
    </row>
    <row r="78" spans="31:39" x14ac:dyDescent="0.25">
      <c r="AE78" s="111" t="s">
        <v>101</v>
      </c>
      <c r="AF78" s="111" t="s">
        <v>102</v>
      </c>
      <c r="AG78" s="46" t="s">
        <v>712</v>
      </c>
      <c r="AH78" s="46" t="s">
        <v>712</v>
      </c>
      <c r="AI78" s="46" t="e">
        <f t="shared" si="4"/>
        <v>#VALUE!</v>
      </c>
      <c r="AJ78" s="46" t="s">
        <v>712</v>
      </c>
      <c r="AK78" s="46" t="e">
        <f t="shared" si="5"/>
        <v>#VALUE!</v>
      </c>
      <c r="AL78" s="46" t="s">
        <v>712</v>
      </c>
      <c r="AM78" s="46">
        <v>14</v>
      </c>
    </row>
    <row r="79" spans="31:39" x14ac:dyDescent="0.25">
      <c r="AE79" s="111" t="s">
        <v>111</v>
      </c>
      <c r="AF79" s="111" t="s">
        <v>112</v>
      </c>
      <c r="AG79" s="46" t="s">
        <v>712</v>
      </c>
      <c r="AH79" s="46" t="s">
        <v>712</v>
      </c>
      <c r="AI79" s="46" t="e">
        <f t="shared" si="4"/>
        <v>#VALUE!</v>
      </c>
      <c r="AJ79" s="46" t="s">
        <v>712</v>
      </c>
      <c r="AK79" s="46" t="e">
        <f t="shared" si="5"/>
        <v>#VALUE!</v>
      </c>
      <c r="AL79" s="46" t="s">
        <v>712</v>
      </c>
      <c r="AM79" s="46">
        <v>14</v>
      </c>
    </row>
  </sheetData>
  <mergeCells count="1">
    <mergeCell ref="B30:C30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'Carotid Endarterectomy'!$B$2:$B$79</xm:f>
          </x14:formula1>
          <xm:sqref>B1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workbookViewId="0">
      <selection activeCell="A2" sqref="A2"/>
    </sheetView>
  </sheetViews>
  <sheetFormatPr defaultRowHeight="15" x14ac:dyDescent="0.25"/>
  <cols>
    <col min="3" max="3" width="13.7109375" style="48" bestFit="1" customWidth="1"/>
  </cols>
  <sheetData>
    <row r="1" spans="1:3" x14ac:dyDescent="0.25">
      <c r="A1" t="s">
        <v>846</v>
      </c>
      <c r="B1" t="s">
        <v>871</v>
      </c>
      <c r="C1" s="48" t="s">
        <v>870</v>
      </c>
    </row>
    <row r="2" spans="1:3" x14ac:dyDescent="0.25">
      <c r="A2" t="s">
        <v>0</v>
      </c>
      <c r="B2">
        <v>144</v>
      </c>
      <c r="C2" s="48">
        <v>1.4</v>
      </c>
    </row>
    <row r="3" spans="1:3" x14ac:dyDescent="0.25">
      <c r="A3" t="s">
        <v>4</v>
      </c>
      <c r="B3">
        <v>178</v>
      </c>
      <c r="C3" s="48">
        <v>2.2000000000000002</v>
      </c>
    </row>
    <row r="4" spans="1:3" x14ac:dyDescent="0.25">
      <c r="A4" t="s">
        <v>5</v>
      </c>
      <c r="B4">
        <v>113</v>
      </c>
      <c r="C4" s="48">
        <v>5.9</v>
      </c>
    </row>
    <row r="5" spans="1:3" x14ac:dyDescent="0.25">
      <c r="A5" t="s">
        <v>7</v>
      </c>
      <c r="B5">
        <v>69</v>
      </c>
      <c r="C5" s="48">
        <v>2.6</v>
      </c>
    </row>
    <row r="6" spans="1:3" x14ac:dyDescent="0.25">
      <c r="A6" t="s">
        <v>9</v>
      </c>
      <c r="B6">
        <v>128</v>
      </c>
      <c r="C6" s="48">
        <v>0.8</v>
      </c>
    </row>
    <row r="7" spans="1:3" x14ac:dyDescent="0.25">
      <c r="A7" t="s">
        <v>11</v>
      </c>
      <c r="B7">
        <v>279</v>
      </c>
      <c r="C7" s="48">
        <v>0.7</v>
      </c>
    </row>
    <row r="8" spans="1:3" x14ac:dyDescent="0.25">
      <c r="A8" t="s">
        <v>13</v>
      </c>
      <c r="B8">
        <v>93</v>
      </c>
      <c r="C8" s="48">
        <v>3.8</v>
      </c>
    </row>
    <row r="9" spans="1:3" x14ac:dyDescent="0.25">
      <c r="A9" t="s">
        <v>15</v>
      </c>
      <c r="B9">
        <v>85</v>
      </c>
      <c r="C9" s="48">
        <v>1.2</v>
      </c>
    </row>
    <row r="10" spans="1:3" x14ac:dyDescent="0.25">
      <c r="A10" t="s">
        <v>17</v>
      </c>
      <c r="B10">
        <v>88</v>
      </c>
      <c r="C10" s="48">
        <v>0</v>
      </c>
    </row>
    <row r="11" spans="1:3" x14ac:dyDescent="0.25">
      <c r="A11" t="s">
        <v>19</v>
      </c>
      <c r="B11">
        <v>104</v>
      </c>
      <c r="C11" s="48">
        <v>1.8</v>
      </c>
    </row>
    <row r="12" spans="1:3" x14ac:dyDescent="0.25">
      <c r="A12" t="s">
        <v>21</v>
      </c>
      <c r="B12">
        <v>102</v>
      </c>
      <c r="C12" s="48">
        <v>1.2</v>
      </c>
    </row>
    <row r="13" spans="1:3" x14ac:dyDescent="0.25">
      <c r="A13" t="s">
        <v>23</v>
      </c>
      <c r="B13">
        <v>167</v>
      </c>
      <c r="C13" s="48">
        <v>0</v>
      </c>
    </row>
    <row r="14" spans="1:3" x14ac:dyDescent="0.25">
      <c r="A14" t="s">
        <v>25</v>
      </c>
      <c r="B14">
        <v>209</v>
      </c>
      <c r="C14" s="48">
        <v>2.2999999999999998</v>
      </c>
    </row>
    <row r="15" spans="1:3" x14ac:dyDescent="0.25">
      <c r="A15" t="s">
        <v>33</v>
      </c>
      <c r="B15">
        <v>205</v>
      </c>
      <c r="C15" s="48">
        <v>1.9</v>
      </c>
    </row>
    <row r="16" spans="1:3" x14ac:dyDescent="0.25">
      <c r="A16" t="s">
        <v>35</v>
      </c>
      <c r="B16">
        <v>165</v>
      </c>
      <c r="C16" s="48">
        <v>1.8</v>
      </c>
    </row>
    <row r="17" spans="1:3" x14ac:dyDescent="0.25">
      <c r="A17" t="s">
        <v>37</v>
      </c>
      <c r="B17">
        <v>83</v>
      </c>
      <c r="C17" s="48">
        <v>2.4</v>
      </c>
    </row>
    <row r="18" spans="1:3" x14ac:dyDescent="0.25">
      <c r="A18" t="s">
        <v>39</v>
      </c>
      <c r="B18">
        <v>190</v>
      </c>
      <c r="C18" s="48">
        <v>1.1000000000000001</v>
      </c>
    </row>
    <row r="19" spans="1:3" x14ac:dyDescent="0.25">
      <c r="A19" t="s">
        <v>40</v>
      </c>
      <c r="B19">
        <v>210</v>
      </c>
      <c r="C19" s="48">
        <v>2</v>
      </c>
    </row>
    <row r="20" spans="1:3" x14ac:dyDescent="0.25">
      <c r="A20" t="s">
        <v>42</v>
      </c>
      <c r="B20">
        <v>181</v>
      </c>
      <c r="C20" s="48">
        <v>3.6</v>
      </c>
    </row>
    <row r="21" spans="1:3" x14ac:dyDescent="0.25">
      <c r="A21" t="s">
        <v>44</v>
      </c>
      <c r="B21">
        <v>97</v>
      </c>
      <c r="C21" s="48">
        <v>2.2000000000000002</v>
      </c>
    </row>
    <row r="22" spans="1:3" x14ac:dyDescent="0.25">
      <c r="A22" t="s">
        <v>48</v>
      </c>
      <c r="B22">
        <v>94</v>
      </c>
      <c r="C22" s="48">
        <v>0</v>
      </c>
    </row>
    <row r="23" spans="1:3" x14ac:dyDescent="0.25">
      <c r="A23" t="s">
        <v>54</v>
      </c>
      <c r="B23">
        <v>372</v>
      </c>
      <c r="C23" s="48">
        <v>0.3</v>
      </c>
    </row>
    <row r="24" spans="1:3" x14ac:dyDescent="0.25">
      <c r="A24" t="s">
        <v>56</v>
      </c>
      <c r="B24">
        <v>75</v>
      </c>
      <c r="C24" s="48">
        <v>1.4</v>
      </c>
    </row>
    <row r="25" spans="1:3" x14ac:dyDescent="0.25">
      <c r="A25" t="s">
        <v>58</v>
      </c>
      <c r="B25">
        <v>262</v>
      </c>
      <c r="C25" s="48">
        <v>1.1000000000000001</v>
      </c>
    </row>
    <row r="26" spans="1:3" x14ac:dyDescent="0.25">
      <c r="A26" t="s">
        <v>60</v>
      </c>
      <c r="B26">
        <v>141</v>
      </c>
      <c r="C26" s="48">
        <v>1.4</v>
      </c>
    </row>
    <row r="27" spans="1:3" x14ac:dyDescent="0.25">
      <c r="A27" t="s">
        <v>66</v>
      </c>
      <c r="B27">
        <v>340</v>
      </c>
      <c r="C27" s="48">
        <v>0.3</v>
      </c>
    </row>
    <row r="28" spans="1:3" x14ac:dyDescent="0.25">
      <c r="A28" t="s">
        <v>68</v>
      </c>
      <c r="B28">
        <v>259</v>
      </c>
      <c r="C28" s="48">
        <v>0</v>
      </c>
    </row>
    <row r="29" spans="1:3" x14ac:dyDescent="0.25">
      <c r="A29" t="s">
        <v>70</v>
      </c>
      <c r="B29">
        <v>383</v>
      </c>
      <c r="C29" s="48">
        <v>2.2999999999999998</v>
      </c>
    </row>
    <row r="30" spans="1:3" x14ac:dyDescent="0.25">
      <c r="A30" t="s">
        <v>72</v>
      </c>
      <c r="B30">
        <v>259</v>
      </c>
      <c r="C30" s="48">
        <v>1.2</v>
      </c>
    </row>
    <row r="31" spans="1:3" x14ac:dyDescent="0.25">
      <c r="A31" t="s">
        <v>74</v>
      </c>
      <c r="B31">
        <v>22</v>
      </c>
      <c r="C31" s="48">
        <v>4.2</v>
      </c>
    </row>
    <row r="32" spans="1:3" x14ac:dyDescent="0.25">
      <c r="A32" t="s">
        <v>76</v>
      </c>
      <c r="B32">
        <v>93</v>
      </c>
      <c r="C32" s="48">
        <v>2.2000000000000002</v>
      </c>
    </row>
    <row r="33" spans="1:3" x14ac:dyDescent="0.25">
      <c r="A33" t="s">
        <v>77</v>
      </c>
      <c r="B33">
        <v>153</v>
      </c>
      <c r="C33" s="48">
        <v>2.5</v>
      </c>
    </row>
    <row r="34" spans="1:3" x14ac:dyDescent="0.25">
      <c r="A34" t="s">
        <v>81</v>
      </c>
      <c r="B34">
        <v>89</v>
      </c>
      <c r="C34" s="48">
        <v>1</v>
      </c>
    </row>
    <row r="35" spans="1:3" x14ac:dyDescent="0.25">
      <c r="A35" t="s">
        <v>83</v>
      </c>
      <c r="B35">
        <v>282</v>
      </c>
      <c r="C35" s="48">
        <v>2.1</v>
      </c>
    </row>
    <row r="36" spans="1:3" x14ac:dyDescent="0.25">
      <c r="A36" t="s">
        <v>87</v>
      </c>
      <c r="B36">
        <v>203</v>
      </c>
      <c r="C36" s="48">
        <v>0</v>
      </c>
    </row>
    <row r="37" spans="1:3" x14ac:dyDescent="0.25">
      <c r="A37" t="s">
        <v>89</v>
      </c>
      <c r="B37">
        <v>113</v>
      </c>
      <c r="C37" s="48">
        <v>3.4</v>
      </c>
    </row>
    <row r="38" spans="1:3" x14ac:dyDescent="0.25">
      <c r="A38" t="s">
        <v>91</v>
      </c>
      <c r="B38">
        <v>122</v>
      </c>
      <c r="C38" s="48">
        <v>1.5</v>
      </c>
    </row>
    <row r="39" spans="1:3" x14ac:dyDescent="0.25">
      <c r="A39" t="s">
        <v>93</v>
      </c>
      <c r="B39">
        <v>128</v>
      </c>
      <c r="C39" s="48">
        <v>0.8</v>
      </c>
    </row>
    <row r="40" spans="1:3" x14ac:dyDescent="0.25">
      <c r="A40" t="s">
        <v>95</v>
      </c>
      <c r="B40">
        <v>77</v>
      </c>
      <c r="C40" s="48">
        <v>0</v>
      </c>
    </row>
    <row r="41" spans="1:3" x14ac:dyDescent="0.25">
      <c r="A41" t="s">
        <v>97</v>
      </c>
      <c r="B41">
        <v>295</v>
      </c>
      <c r="C41" s="48">
        <v>1.6</v>
      </c>
    </row>
    <row r="42" spans="1:3" x14ac:dyDescent="0.25">
      <c r="A42" t="s">
        <v>99</v>
      </c>
      <c r="B42">
        <v>93</v>
      </c>
      <c r="C42" s="48">
        <v>3.4</v>
      </c>
    </row>
    <row r="43" spans="1:3" x14ac:dyDescent="0.25">
      <c r="A43" t="s">
        <v>101</v>
      </c>
      <c r="B43">
        <v>75</v>
      </c>
      <c r="C43" s="48">
        <v>2.9</v>
      </c>
    </row>
    <row r="44" spans="1:3" x14ac:dyDescent="0.25">
      <c r="A44" t="s">
        <v>105</v>
      </c>
      <c r="B44">
        <v>234</v>
      </c>
      <c r="C44" s="48">
        <v>0.4</v>
      </c>
    </row>
    <row r="45" spans="1:3" x14ac:dyDescent="0.25">
      <c r="A45" t="s">
        <v>107</v>
      </c>
      <c r="B45">
        <v>289</v>
      </c>
      <c r="C45" s="48">
        <v>1.7</v>
      </c>
    </row>
    <row r="46" spans="1:3" x14ac:dyDescent="0.25">
      <c r="A46" t="s">
        <v>111</v>
      </c>
      <c r="B46">
        <v>9</v>
      </c>
      <c r="C46" s="48">
        <v>0</v>
      </c>
    </row>
    <row r="47" spans="1:3" x14ac:dyDescent="0.25">
      <c r="A47" t="s">
        <v>113</v>
      </c>
      <c r="B47">
        <v>215</v>
      </c>
      <c r="C47" s="48">
        <v>1.9</v>
      </c>
    </row>
    <row r="48" spans="1:3" x14ac:dyDescent="0.25">
      <c r="A48" t="s">
        <v>115</v>
      </c>
      <c r="B48">
        <v>196</v>
      </c>
      <c r="C48" s="48">
        <v>1.1000000000000001</v>
      </c>
    </row>
    <row r="49" spans="1:3" x14ac:dyDescent="0.25">
      <c r="A49" t="s">
        <v>117</v>
      </c>
      <c r="B49">
        <v>226</v>
      </c>
      <c r="C49" s="48">
        <v>2.1</v>
      </c>
    </row>
    <row r="50" spans="1:3" x14ac:dyDescent="0.25">
      <c r="A50" t="s">
        <v>118</v>
      </c>
      <c r="B50">
        <v>247</v>
      </c>
      <c r="C50" s="48">
        <v>1.3</v>
      </c>
    </row>
    <row r="51" spans="1:3" x14ac:dyDescent="0.25">
      <c r="A51" t="s">
        <v>120</v>
      </c>
      <c r="B51">
        <v>125</v>
      </c>
      <c r="C51" s="48">
        <v>0.8</v>
      </c>
    </row>
    <row r="52" spans="1:3" x14ac:dyDescent="0.25">
      <c r="A52" t="s">
        <v>122</v>
      </c>
      <c r="B52">
        <v>161</v>
      </c>
      <c r="C52" s="48">
        <v>0</v>
      </c>
    </row>
    <row r="53" spans="1:3" x14ac:dyDescent="0.25">
      <c r="A53" t="s">
        <v>124</v>
      </c>
      <c r="B53">
        <v>210</v>
      </c>
      <c r="C53" s="48">
        <v>2.8</v>
      </c>
    </row>
    <row r="54" spans="1:3" x14ac:dyDescent="0.25">
      <c r="A54" t="s">
        <v>126</v>
      </c>
      <c r="B54">
        <v>202</v>
      </c>
      <c r="C54" s="48">
        <v>0.5</v>
      </c>
    </row>
    <row r="55" spans="1:3" x14ac:dyDescent="0.25">
      <c r="A55" t="s">
        <v>128</v>
      </c>
      <c r="B55">
        <v>167</v>
      </c>
      <c r="C55" s="48">
        <v>1.2</v>
      </c>
    </row>
    <row r="56" spans="1:3" x14ac:dyDescent="0.25">
      <c r="A56" t="s">
        <v>130</v>
      </c>
      <c r="B56">
        <v>179</v>
      </c>
      <c r="C56" s="48">
        <v>1.2</v>
      </c>
    </row>
    <row r="57" spans="1:3" x14ac:dyDescent="0.25">
      <c r="A57" t="s">
        <v>132</v>
      </c>
      <c r="B57">
        <v>86</v>
      </c>
      <c r="C57" s="48">
        <v>4.8</v>
      </c>
    </row>
    <row r="58" spans="1:3" x14ac:dyDescent="0.25">
      <c r="A58" t="s">
        <v>134</v>
      </c>
      <c r="B58">
        <v>193</v>
      </c>
      <c r="C58" s="48">
        <v>0.5</v>
      </c>
    </row>
    <row r="59" spans="1:3" x14ac:dyDescent="0.25">
      <c r="A59" t="s">
        <v>136</v>
      </c>
      <c r="B59">
        <v>151</v>
      </c>
      <c r="C59" s="48">
        <v>1.2</v>
      </c>
    </row>
    <row r="60" spans="1:3" x14ac:dyDescent="0.25">
      <c r="A60" t="s">
        <v>138</v>
      </c>
      <c r="B60">
        <v>89</v>
      </c>
      <c r="C60" s="48">
        <v>0</v>
      </c>
    </row>
    <row r="61" spans="1:3" x14ac:dyDescent="0.25">
      <c r="A61" t="s">
        <v>140</v>
      </c>
      <c r="B61">
        <v>210</v>
      </c>
      <c r="C61" s="48">
        <v>0.5</v>
      </c>
    </row>
    <row r="62" spans="1:3" x14ac:dyDescent="0.25">
      <c r="A62" t="s">
        <v>142</v>
      </c>
      <c r="B62">
        <v>78</v>
      </c>
      <c r="C62" s="48">
        <v>0</v>
      </c>
    </row>
    <row r="63" spans="1:3" x14ac:dyDescent="0.25">
      <c r="A63" t="s">
        <v>144</v>
      </c>
      <c r="B63">
        <v>189</v>
      </c>
      <c r="C63" s="48">
        <v>1.1000000000000001</v>
      </c>
    </row>
    <row r="64" spans="1:3" x14ac:dyDescent="0.25">
      <c r="A64" t="s">
        <v>148</v>
      </c>
      <c r="B64">
        <v>202</v>
      </c>
      <c r="C64" s="48">
        <v>1.1000000000000001</v>
      </c>
    </row>
    <row r="65" spans="1:3" x14ac:dyDescent="0.25">
      <c r="A65" t="s">
        <v>150</v>
      </c>
      <c r="B65">
        <v>192</v>
      </c>
      <c r="C65" s="48">
        <v>1.5</v>
      </c>
    </row>
    <row r="66" spans="1:3" x14ac:dyDescent="0.25">
      <c r="A66" t="s">
        <v>154</v>
      </c>
      <c r="B66">
        <v>116</v>
      </c>
      <c r="C66" s="48">
        <v>0.9</v>
      </c>
    </row>
    <row r="67" spans="1:3" x14ac:dyDescent="0.25">
      <c r="A67" t="s">
        <v>156</v>
      </c>
      <c r="B67">
        <v>106</v>
      </c>
      <c r="C67" s="48">
        <v>0</v>
      </c>
    </row>
    <row r="68" spans="1:3" x14ac:dyDescent="0.25">
      <c r="A68" t="s">
        <v>158</v>
      </c>
      <c r="B68">
        <v>116</v>
      </c>
      <c r="C68" s="48">
        <v>0</v>
      </c>
    </row>
    <row r="69" spans="1:3" x14ac:dyDescent="0.25">
      <c r="A69" t="s">
        <v>160</v>
      </c>
      <c r="B69">
        <v>23</v>
      </c>
      <c r="C69" s="48">
        <v>3.6</v>
      </c>
    </row>
    <row r="70" spans="1:3" x14ac:dyDescent="0.25">
      <c r="A70" t="s">
        <v>164</v>
      </c>
      <c r="B70">
        <v>191</v>
      </c>
      <c r="C70" s="48">
        <v>2.7</v>
      </c>
    </row>
    <row r="71" spans="1:3" x14ac:dyDescent="0.25">
      <c r="A71" t="s">
        <v>166</v>
      </c>
      <c r="B71">
        <v>55</v>
      </c>
      <c r="C71" s="48">
        <v>0</v>
      </c>
    </row>
    <row r="72" spans="1:3" x14ac:dyDescent="0.25">
      <c r="A72" t="s">
        <v>168</v>
      </c>
      <c r="B72">
        <v>92</v>
      </c>
      <c r="C72" s="48">
        <v>1.1000000000000001</v>
      </c>
    </row>
    <row r="73" spans="1:3" x14ac:dyDescent="0.25">
      <c r="A73" t="s">
        <v>170</v>
      </c>
      <c r="B73">
        <v>64</v>
      </c>
      <c r="C73" s="48">
        <v>0</v>
      </c>
    </row>
    <row r="74" spans="1:3" x14ac:dyDescent="0.25">
      <c r="A74" t="s">
        <v>172</v>
      </c>
      <c r="B74">
        <v>166</v>
      </c>
      <c r="C74" s="48">
        <v>0.6</v>
      </c>
    </row>
    <row r="75" spans="1:3" x14ac:dyDescent="0.25">
      <c r="A75" t="s">
        <v>174</v>
      </c>
      <c r="B75">
        <v>66</v>
      </c>
      <c r="C75" s="48">
        <v>0</v>
      </c>
    </row>
    <row r="76" spans="1:3" x14ac:dyDescent="0.25">
      <c r="A76" t="s">
        <v>180</v>
      </c>
      <c r="B76">
        <v>354</v>
      </c>
      <c r="C76" s="48">
        <v>0.8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5" x14ac:dyDescent="0.25"/>
  <cols>
    <col min="1" max="1" width="12.85546875" customWidth="1"/>
    <col min="2" max="2" width="63.7109375" bestFit="1" customWidth="1"/>
    <col min="3" max="3" width="14.140625" customWidth="1"/>
    <col min="4" max="4" width="12.5703125" customWidth="1"/>
    <col min="5" max="5" width="20.7109375" customWidth="1"/>
  </cols>
  <sheetData>
    <row r="1" spans="1:5" ht="30" x14ac:dyDescent="0.25">
      <c r="A1" s="12" t="s">
        <v>189</v>
      </c>
      <c r="B1" s="12" t="s">
        <v>183</v>
      </c>
      <c r="C1" s="11" t="s">
        <v>197</v>
      </c>
      <c r="D1" s="12" t="s">
        <v>198</v>
      </c>
      <c r="E1" s="12" t="s">
        <v>206</v>
      </c>
    </row>
    <row r="2" spans="1:5" x14ac:dyDescent="0.25">
      <c r="A2" s="10" t="s">
        <v>0</v>
      </c>
      <c r="B2" s="31" t="s">
        <v>1</v>
      </c>
      <c r="C2" s="6" t="s">
        <v>771</v>
      </c>
      <c r="D2" s="6" t="s">
        <v>771</v>
      </c>
      <c r="E2" s="10" t="s">
        <v>772</v>
      </c>
    </row>
    <row r="3" spans="1:5" x14ac:dyDescent="0.25">
      <c r="A3" s="10" t="s">
        <v>4</v>
      </c>
      <c r="B3" s="31" t="s">
        <v>214</v>
      </c>
      <c r="C3" s="6">
        <v>5</v>
      </c>
      <c r="D3" s="6">
        <v>0</v>
      </c>
      <c r="E3" s="10" t="s">
        <v>292</v>
      </c>
    </row>
    <row r="4" spans="1:5" x14ac:dyDescent="0.25">
      <c r="A4" s="10" t="s">
        <v>5</v>
      </c>
      <c r="B4" s="31" t="s">
        <v>6</v>
      </c>
      <c r="C4" s="6">
        <v>18</v>
      </c>
      <c r="D4" s="6">
        <v>6</v>
      </c>
      <c r="E4" s="10" t="s">
        <v>283</v>
      </c>
    </row>
    <row r="5" spans="1:5" x14ac:dyDescent="0.25">
      <c r="A5" s="10" t="s">
        <v>11</v>
      </c>
      <c r="B5" s="31" t="s">
        <v>12</v>
      </c>
      <c r="C5" s="6">
        <v>63</v>
      </c>
      <c r="D5" s="6">
        <v>55</v>
      </c>
      <c r="E5" s="10" t="s">
        <v>265</v>
      </c>
    </row>
    <row r="6" spans="1:5" x14ac:dyDescent="0.25">
      <c r="A6" s="10" t="s">
        <v>13</v>
      </c>
      <c r="B6" s="31" t="s">
        <v>14</v>
      </c>
      <c r="C6" s="6">
        <v>23</v>
      </c>
      <c r="D6" s="6">
        <v>19</v>
      </c>
      <c r="E6" s="10" t="s">
        <v>280</v>
      </c>
    </row>
    <row r="7" spans="1:5" x14ac:dyDescent="0.25">
      <c r="A7" s="10" t="s">
        <v>15</v>
      </c>
      <c r="B7" s="31" t="s">
        <v>16</v>
      </c>
      <c r="C7" s="6" t="s">
        <v>771</v>
      </c>
      <c r="D7" s="6" t="s">
        <v>771</v>
      </c>
      <c r="E7" s="10" t="s">
        <v>772</v>
      </c>
    </row>
    <row r="8" spans="1:5" x14ac:dyDescent="0.25">
      <c r="A8" s="10" t="s">
        <v>19</v>
      </c>
      <c r="B8" s="31" t="s">
        <v>20</v>
      </c>
      <c r="C8" s="6" t="s">
        <v>771</v>
      </c>
      <c r="D8" s="6" t="s">
        <v>771</v>
      </c>
      <c r="E8" s="10" t="s">
        <v>772</v>
      </c>
    </row>
    <row r="9" spans="1:5" x14ac:dyDescent="0.25">
      <c r="A9" s="19" t="s">
        <v>21</v>
      </c>
      <c r="B9" s="31" t="s">
        <v>22</v>
      </c>
      <c r="C9" s="6" t="s">
        <v>771</v>
      </c>
      <c r="D9" s="6" t="s">
        <v>771</v>
      </c>
      <c r="E9" s="10" t="s">
        <v>772</v>
      </c>
    </row>
    <row r="10" spans="1:5" x14ac:dyDescent="0.25">
      <c r="A10" s="10" t="s">
        <v>23</v>
      </c>
      <c r="B10" s="31" t="s">
        <v>24</v>
      </c>
      <c r="C10" s="6">
        <v>148</v>
      </c>
      <c r="D10" s="6">
        <v>143</v>
      </c>
      <c r="E10" s="10" t="s">
        <v>261</v>
      </c>
    </row>
    <row r="11" spans="1:5" x14ac:dyDescent="0.25">
      <c r="A11" s="10" t="s">
        <v>25</v>
      </c>
      <c r="B11" s="31" t="s">
        <v>26</v>
      </c>
      <c r="C11" s="6" t="s">
        <v>771</v>
      </c>
      <c r="D11" s="6" t="s">
        <v>771</v>
      </c>
      <c r="E11" s="10" t="s">
        <v>772</v>
      </c>
    </row>
    <row r="12" spans="1:5" x14ac:dyDescent="0.25">
      <c r="A12" s="10" t="s">
        <v>33</v>
      </c>
      <c r="B12" s="31" t="s">
        <v>34</v>
      </c>
      <c r="C12" s="6">
        <v>19</v>
      </c>
      <c r="D12" s="6">
        <v>19</v>
      </c>
      <c r="E12" s="10" t="s">
        <v>281</v>
      </c>
    </row>
    <row r="13" spans="1:5" x14ac:dyDescent="0.25">
      <c r="A13" s="10" t="s">
        <v>35</v>
      </c>
      <c r="B13" s="31" t="s">
        <v>36</v>
      </c>
      <c r="C13" s="6">
        <v>17</v>
      </c>
      <c r="D13" s="6">
        <v>13</v>
      </c>
      <c r="E13" s="10" t="s">
        <v>284</v>
      </c>
    </row>
    <row r="14" spans="1:5" x14ac:dyDescent="0.25">
      <c r="A14" s="10" t="s">
        <v>37</v>
      </c>
      <c r="B14" s="31" t="s">
        <v>38</v>
      </c>
      <c r="C14" s="6">
        <v>13</v>
      </c>
      <c r="D14" s="6">
        <v>11</v>
      </c>
      <c r="E14" s="10" t="s">
        <v>514</v>
      </c>
    </row>
    <row r="15" spans="1:5" x14ac:dyDescent="0.25">
      <c r="A15" s="10" t="s">
        <v>39</v>
      </c>
      <c r="B15" s="31" t="s">
        <v>216</v>
      </c>
      <c r="C15" s="6">
        <v>15</v>
      </c>
      <c r="D15" s="6">
        <v>13</v>
      </c>
      <c r="E15" s="10" t="s">
        <v>285</v>
      </c>
    </row>
    <row r="16" spans="1:5" x14ac:dyDescent="0.25">
      <c r="A16" s="10" t="s">
        <v>40</v>
      </c>
      <c r="B16" s="31" t="s">
        <v>41</v>
      </c>
      <c r="C16" s="6">
        <v>61</v>
      </c>
      <c r="D16" s="6">
        <v>60</v>
      </c>
      <c r="E16" s="10" t="s">
        <v>266</v>
      </c>
    </row>
    <row r="17" spans="1:5" x14ac:dyDescent="0.25">
      <c r="A17" s="10" t="s">
        <v>42</v>
      </c>
      <c r="B17" s="31" t="s">
        <v>43</v>
      </c>
      <c r="C17" s="6">
        <v>11</v>
      </c>
      <c r="D17" s="6">
        <v>9</v>
      </c>
      <c r="E17" s="10" t="s">
        <v>289</v>
      </c>
    </row>
    <row r="18" spans="1:5" x14ac:dyDescent="0.25">
      <c r="A18" s="10" t="s">
        <v>44</v>
      </c>
      <c r="B18" s="31" t="s">
        <v>45</v>
      </c>
      <c r="C18" s="6" t="s">
        <v>771</v>
      </c>
      <c r="D18" s="6" t="s">
        <v>771</v>
      </c>
      <c r="E18" s="10" t="s">
        <v>772</v>
      </c>
    </row>
    <row r="19" spans="1:5" x14ac:dyDescent="0.25">
      <c r="A19" s="10" t="s">
        <v>48</v>
      </c>
      <c r="B19" s="31" t="s">
        <v>49</v>
      </c>
      <c r="C19" s="6" t="s">
        <v>771</v>
      </c>
      <c r="D19" s="6" t="s">
        <v>771</v>
      </c>
      <c r="E19" s="10" t="s">
        <v>772</v>
      </c>
    </row>
    <row r="20" spans="1:5" x14ac:dyDescent="0.25">
      <c r="A20" s="10" t="s">
        <v>54</v>
      </c>
      <c r="B20" s="31" t="s">
        <v>55</v>
      </c>
      <c r="C20" s="6">
        <v>75</v>
      </c>
      <c r="D20" s="6">
        <v>72</v>
      </c>
      <c r="E20" s="10" t="s">
        <v>264</v>
      </c>
    </row>
    <row r="21" spans="1:5" x14ac:dyDescent="0.25">
      <c r="A21" s="10" t="s">
        <v>56</v>
      </c>
      <c r="B21" s="31" t="s">
        <v>57</v>
      </c>
      <c r="C21" s="6" t="s">
        <v>771</v>
      </c>
      <c r="D21" s="6" t="s">
        <v>771</v>
      </c>
      <c r="E21" s="10" t="s">
        <v>772</v>
      </c>
    </row>
    <row r="22" spans="1:5" x14ac:dyDescent="0.25">
      <c r="A22" s="10" t="s">
        <v>58</v>
      </c>
      <c r="B22" s="31" t="s">
        <v>59</v>
      </c>
      <c r="C22" s="6">
        <v>39</v>
      </c>
      <c r="D22" s="6">
        <v>37</v>
      </c>
      <c r="E22" s="10" t="s">
        <v>272</v>
      </c>
    </row>
    <row r="23" spans="1:5" x14ac:dyDescent="0.25">
      <c r="A23" s="10" t="s">
        <v>60</v>
      </c>
      <c r="B23" s="31" t="s">
        <v>61</v>
      </c>
      <c r="C23" s="6">
        <v>24</v>
      </c>
      <c r="D23" s="6">
        <v>23</v>
      </c>
      <c r="E23" s="10" t="s">
        <v>278</v>
      </c>
    </row>
    <row r="24" spans="1:5" x14ac:dyDescent="0.25">
      <c r="A24" s="10" t="s">
        <v>66</v>
      </c>
      <c r="B24" s="31" t="s">
        <v>67</v>
      </c>
      <c r="C24" s="6">
        <v>326</v>
      </c>
      <c r="D24" s="6">
        <v>309</v>
      </c>
      <c r="E24" s="10" t="s">
        <v>259</v>
      </c>
    </row>
    <row r="25" spans="1:5" x14ac:dyDescent="0.25">
      <c r="A25" s="10" t="s">
        <v>68</v>
      </c>
      <c r="B25" s="31" t="s">
        <v>69</v>
      </c>
      <c r="C25" s="6">
        <v>118</v>
      </c>
      <c r="D25" s="6">
        <v>117</v>
      </c>
      <c r="E25" s="10" t="s">
        <v>262</v>
      </c>
    </row>
    <row r="26" spans="1:5" x14ac:dyDescent="0.25">
      <c r="A26" s="10" t="s">
        <v>70</v>
      </c>
      <c r="B26" s="31" t="s">
        <v>71</v>
      </c>
      <c r="C26" s="6">
        <v>35</v>
      </c>
      <c r="D26" s="6">
        <v>27</v>
      </c>
      <c r="E26" s="10" t="s">
        <v>274</v>
      </c>
    </row>
    <row r="27" spans="1:5" x14ac:dyDescent="0.25">
      <c r="A27" s="10" t="s">
        <v>72</v>
      </c>
      <c r="B27" s="31" t="s">
        <v>73</v>
      </c>
      <c r="C27" s="6">
        <v>18</v>
      </c>
      <c r="D27" s="6">
        <v>17</v>
      </c>
      <c r="E27" s="10" t="s">
        <v>271</v>
      </c>
    </row>
    <row r="28" spans="1:5" x14ac:dyDescent="0.25">
      <c r="A28" s="10" t="s">
        <v>74</v>
      </c>
      <c r="B28" s="31" t="s">
        <v>75</v>
      </c>
      <c r="C28" s="6">
        <v>7</v>
      </c>
      <c r="D28" s="6" t="s">
        <v>771</v>
      </c>
      <c r="E28" s="10" t="s">
        <v>291</v>
      </c>
    </row>
    <row r="29" spans="1:5" x14ac:dyDescent="0.25">
      <c r="A29" s="10" t="s">
        <v>76</v>
      </c>
      <c r="B29" s="31" t="s">
        <v>215</v>
      </c>
      <c r="C29" s="6" t="s">
        <v>771</v>
      </c>
      <c r="D29" s="6" t="s">
        <v>771</v>
      </c>
      <c r="E29" s="10" t="s">
        <v>772</v>
      </c>
    </row>
    <row r="30" spans="1:5" x14ac:dyDescent="0.25">
      <c r="A30" s="10" t="s">
        <v>77</v>
      </c>
      <c r="B30" s="31" t="s">
        <v>78</v>
      </c>
      <c r="C30" s="6">
        <v>29</v>
      </c>
      <c r="D30" s="6">
        <v>27</v>
      </c>
      <c r="E30" s="10" t="s">
        <v>260</v>
      </c>
    </row>
    <row r="31" spans="1:5" x14ac:dyDescent="0.25">
      <c r="A31" s="10" t="s">
        <v>81</v>
      </c>
      <c r="B31" s="31" t="s">
        <v>82</v>
      </c>
      <c r="C31" s="6">
        <v>13</v>
      </c>
      <c r="D31" s="6">
        <v>13</v>
      </c>
      <c r="E31" s="10" t="s">
        <v>287</v>
      </c>
    </row>
    <row r="32" spans="1:5" x14ac:dyDescent="0.25">
      <c r="A32" s="10" t="s">
        <v>83</v>
      </c>
      <c r="B32" s="31" t="s">
        <v>84</v>
      </c>
      <c r="C32" s="6">
        <v>39</v>
      </c>
      <c r="D32" s="6">
        <v>38</v>
      </c>
      <c r="E32" s="10" t="s">
        <v>273</v>
      </c>
    </row>
    <row r="33" spans="1:5" x14ac:dyDescent="0.25">
      <c r="A33" s="10" t="s">
        <v>87</v>
      </c>
      <c r="B33" s="31" t="s">
        <v>88</v>
      </c>
      <c r="C33" s="6">
        <v>9</v>
      </c>
      <c r="D33" s="6">
        <v>8</v>
      </c>
      <c r="E33" s="10" t="s">
        <v>290</v>
      </c>
    </row>
    <row r="34" spans="1:5" x14ac:dyDescent="0.25">
      <c r="A34" s="10" t="s">
        <v>89</v>
      </c>
      <c r="B34" s="31" t="s">
        <v>90</v>
      </c>
      <c r="C34" s="6" t="s">
        <v>771</v>
      </c>
      <c r="D34" s="6" t="s">
        <v>771</v>
      </c>
      <c r="E34" s="10" t="s">
        <v>772</v>
      </c>
    </row>
    <row r="35" spans="1:5" x14ac:dyDescent="0.25">
      <c r="A35" s="10" t="s">
        <v>91</v>
      </c>
      <c r="B35" s="31" t="s">
        <v>92</v>
      </c>
      <c r="C35" s="6" t="s">
        <v>771</v>
      </c>
      <c r="D35" s="6" t="s">
        <v>771</v>
      </c>
      <c r="E35" s="10" t="s">
        <v>772</v>
      </c>
    </row>
    <row r="36" spans="1:5" x14ac:dyDescent="0.25">
      <c r="A36" s="10" t="s">
        <v>93</v>
      </c>
      <c r="B36" s="31" t="s">
        <v>94</v>
      </c>
      <c r="C36" s="6" t="s">
        <v>771</v>
      </c>
      <c r="D36" s="6" t="s">
        <v>771</v>
      </c>
      <c r="E36" s="10" t="s">
        <v>772</v>
      </c>
    </row>
    <row r="37" spans="1:5" x14ac:dyDescent="0.25">
      <c r="A37" s="10" t="s">
        <v>95</v>
      </c>
      <c r="B37" s="31" t="s">
        <v>96</v>
      </c>
      <c r="C37" s="6">
        <v>10</v>
      </c>
      <c r="D37" s="6">
        <v>9</v>
      </c>
      <c r="E37" s="10" t="s">
        <v>515</v>
      </c>
    </row>
    <row r="38" spans="1:5" x14ac:dyDescent="0.25">
      <c r="A38" s="10" t="s">
        <v>97</v>
      </c>
      <c r="B38" s="31" t="s">
        <v>98</v>
      </c>
      <c r="C38" s="6">
        <v>116</v>
      </c>
      <c r="D38" s="6">
        <v>93</v>
      </c>
      <c r="E38" s="10" t="s">
        <v>263</v>
      </c>
    </row>
    <row r="39" spans="1:5" x14ac:dyDescent="0.25">
      <c r="A39" s="10" t="s">
        <v>99</v>
      </c>
      <c r="B39" s="31" t="s">
        <v>100</v>
      </c>
      <c r="C39" s="6">
        <v>11</v>
      </c>
      <c r="D39" s="6">
        <v>9</v>
      </c>
      <c r="E39" s="10" t="s">
        <v>288</v>
      </c>
    </row>
    <row r="40" spans="1:5" x14ac:dyDescent="0.25">
      <c r="A40" s="10" t="s">
        <v>101</v>
      </c>
      <c r="B40" s="31" t="s">
        <v>102</v>
      </c>
      <c r="C40" s="6">
        <v>5</v>
      </c>
      <c r="D40" s="6" t="s">
        <v>771</v>
      </c>
      <c r="E40" s="10" t="s">
        <v>295</v>
      </c>
    </row>
    <row r="41" spans="1:5" x14ac:dyDescent="0.25">
      <c r="A41" s="10" t="s">
        <v>105</v>
      </c>
      <c r="B41" s="31" t="s">
        <v>106</v>
      </c>
      <c r="C41" s="6">
        <v>51</v>
      </c>
      <c r="D41" s="6">
        <v>45</v>
      </c>
      <c r="E41" s="10" t="s">
        <v>268</v>
      </c>
    </row>
    <row r="42" spans="1:5" x14ac:dyDescent="0.25">
      <c r="A42" s="10" t="s">
        <v>107</v>
      </c>
      <c r="B42" s="31" t="s">
        <v>108</v>
      </c>
      <c r="C42" s="6">
        <v>310</v>
      </c>
      <c r="D42" s="6">
        <v>310</v>
      </c>
      <c r="E42" s="10" t="s">
        <v>260</v>
      </c>
    </row>
    <row r="43" spans="1:5" x14ac:dyDescent="0.25">
      <c r="A43" s="10" t="s">
        <v>111</v>
      </c>
      <c r="B43" s="31" t="s">
        <v>112</v>
      </c>
      <c r="C43" s="6">
        <v>36</v>
      </c>
      <c r="D43" s="6">
        <v>35</v>
      </c>
      <c r="E43" s="10" t="s">
        <v>510</v>
      </c>
    </row>
    <row r="44" spans="1:5" x14ac:dyDescent="0.25">
      <c r="A44" s="10" t="s">
        <v>113</v>
      </c>
      <c r="B44" s="31" t="s">
        <v>114</v>
      </c>
      <c r="C44" s="6">
        <v>105</v>
      </c>
      <c r="D44" s="6">
        <v>104</v>
      </c>
      <c r="E44" s="10" t="s">
        <v>262</v>
      </c>
    </row>
    <row r="45" spans="1:5" x14ac:dyDescent="0.25">
      <c r="A45" s="10" t="s">
        <v>115</v>
      </c>
      <c r="B45" s="31" t="s">
        <v>116</v>
      </c>
      <c r="C45" s="6">
        <v>5</v>
      </c>
      <c r="D45" s="6" t="s">
        <v>771</v>
      </c>
      <c r="E45" s="10" t="s">
        <v>294</v>
      </c>
    </row>
    <row r="46" spans="1:5" x14ac:dyDescent="0.25">
      <c r="A46" s="10" t="s">
        <v>117</v>
      </c>
      <c r="B46" s="1" t="s">
        <v>773</v>
      </c>
      <c r="C46" s="6">
        <v>34</v>
      </c>
      <c r="D46" s="6">
        <v>34</v>
      </c>
      <c r="E46" s="10" t="s">
        <v>266</v>
      </c>
    </row>
    <row r="47" spans="1:5" x14ac:dyDescent="0.25">
      <c r="A47" s="10" t="s">
        <v>118</v>
      </c>
      <c r="B47" s="31" t="s">
        <v>119</v>
      </c>
      <c r="C47" s="6">
        <v>53</v>
      </c>
      <c r="D47" s="6">
        <v>46</v>
      </c>
      <c r="E47" s="10" t="s">
        <v>267</v>
      </c>
    </row>
    <row r="48" spans="1:5" x14ac:dyDescent="0.25">
      <c r="A48" s="10" t="s">
        <v>120</v>
      </c>
      <c r="B48" s="31" t="s">
        <v>121</v>
      </c>
      <c r="C48" s="6">
        <v>19</v>
      </c>
      <c r="D48" s="6">
        <v>12</v>
      </c>
      <c r="E48" s="10" t="s">
        <v>282</v>
      </c>
    </row>
    <row r="49" spans="1:5" x14ac:dyDescent="0.25">
      <c r="A49" s="10" t="s">
        <v>122</v>
      </c>
      <c r="B49" s="31" t="s">
        <v>123</v>
      </c>
      <c r="C49" s="6">
        <v>22</v>
      </c>
      <c r="D49" s="6">
        <v>20</v>
      </c>
      <c r="E49" s="10" t="s">
        <v>513</v>
      </c>
    </row>
    <row r="50" spans="1:5" x14ac:dyDescent="0.25">
      <c r="A50" s="10" t="s">
        <v>124</v>
      </c>
      <c r="B50" s="31" t="s">
        <v>125</v>
      </c>
      <c r="C50" s="6">
        <v>157</v>
      </c>
      <c r="D50" s="6">
        <v>155</v>
      </c>
      <c r="E50" s="10" t="s">
        <v>261</v>
      </c>
    </row>
    <row r="51" spans="1:5" x14ac:dyDescent="0.25">
      <c r="A51" s="10" t="s">
        <v>126</v>
      </c>
      <c r="B51" s="31" t="s">
        <v>127</v>
      </c>
      <c r="C51" s="6">
        <v>23</v>
      </c>
      <c r="D51" s="6">
        <v>19</v>
      </c>
      <c r="E51" s="10" t="s">
        <v>279</v>
      </c>
    </row>
    <row r="52" spans="1:5" x14ac:dyDescent="0.25">
      <c r="A52" s="10" t="s">
        <v>128</v>
      </c>
      <c r="B52" s="31" t="s">
        <v>129</v>
      </c>
      <c r="C52" s="6">
        <v>5</v>
      </c>
      <c r="D52" s="6" t="s">
        <v>771</v>
      </c>
      <c r="E52" s="10" t="s">
        <v>293</v>
      </c>
    </row>
    <row r="53" spans="1:5" x14ac:dyDescent="0.25">
      <c r="A53" s="10" t="s">
        <v>130</v>
      </c>
      <c r="B53" s="31" t="s">
        <v>131</v>
      </c>
      <c r="C53" s="6">
        <v>41</v>
      </c>
      <c r="D53" s="6">
        <v>34</v>
      </c>
      <c r="E53" s="10" t="s">
        <v>270</v>
      </c>
    </row>
    <row r="54" spans="1:5" x14ac:dyDescent="0.25">
      <c r="A54" s="10" t="s">
        <v>134</v>
      </c>
      <c r="B54" s="31" t="s">
        <v>135</v>
      </c>
      <c r="C54" s="6">
        <v>27</v>
      </c>
      <c r="D54" s="6">
        <v>20</v>
      </c>
      <c r="E54" s="10" t="s">
        <v>275</v>
      </c>
    </row>
    <row r="55" spans="1:5" x14ac:dyDescent="0.25">
      <c r="A55" s="10" t="s">
        <v>138</v>
      </c>
      <c r="B55" s="31" t="s">
        <v>139</v>
      </c>
      <c r="C55" s="6">
        <v>8</v>
      </c>
      <c r="D55" s="6" t="s">
        <v>771</v>
      </c>
      <c r="E55" s="10" t="s">
        <v>325</v>
      </c>
    </row>
    <row r="56" spans="1:5" x14ac:dyDescent="0.25">
      <c r="A56" s="10" t="s">
        <v>140</v>
      </c>
      <c r="B56" s="31" t="s">
        <v>141</v>
      </c>
      <c r="C56" s="6" t="s">
        <v>771</v>
      </c>
      <c r="D56" s="6" t="s">
        <v>771</v>
      </c>
      <c r="E56" s="10" t="s">
        <v>772</v>
      </c>
    </row>
    <row r="57" spans="1:5" x14ac:dyDescent="0.25">
      <c r="A57" s="10" t="s">
        <v>142</v>
      </c>
      <c r="B57" s="31" t="s">
        <v>143</v>
      </c>
      <c r="C57" s="6" t="s">
        <v>771</v>
      </c>
      <c r="D57" s="6" t="s">
        <v>771</v>
      </c>
      <c r="E57" s="10" t="s">
        <v>772</v>
      </c>
    </row>
    <row r="58" spans="1:5" x14ac:dyDescent="0.25">
      <c r="A58" s="10" t="s">
        <v>144</v>
      </c>
      <c r="B58" s="31" t="s">
        <v>145</v>
      </c>
      <c r="C58" s="6">
        <v>40</v>
      </c>
      <c r="D58" s="6">
        <v>40</v>
      </c>
      <c r="E58" s="10" t="s">
        <v>271</v>
      </c>
    </row>
    <row r="59" spans="1:5" x14ac:dyDescent="0.25">
      <c r="A59" s="10" t="s">
        <v>148</v>
      </c>
      <c r="B59" s="31" t="s">
        <v>149</v>
      </c>
      <c r="C59" s="6">
        <v>45</v>
      </c>
      <c r="D59" s="6">
        <v>35</v>
      </c>
      <c r="E59" s="10" t="s">
        <v>269</v>
      </c>
    </row>
    <row r="60" spans="1:5" x14ac:dyDescent="0.25">
      <c r="A60" s="10" t="s">
        <v>150</v>
      </c>
      <c r="B60" s="31" t="s">
        <v>151</v>
      </c>
      <c r="C60" s="6">
        <v>8</v>
      </c>
      <c r="D60" s="6">
        <v>7</v>
      </c>
      <c r="E60" s="10" t="s">
        <v>267</v>
      </c>
    </row>
    <row r="61" spans="1:5" x14ac:dyDescent="0.25">
      <c r="A61" s="10" t="s">
        <v>154</v>
      </c>
      <c r="B61" s="31" t="s">
        <v>155</v>
      </c>
      <c r="C61" s="6" t="s">
        <v>771</v>
      </c>
      <c r="D61" s="6" t="s">
        <v>771</v>
      </c>
      <c r="E61" s="10" t="s">
        <v>772</v>
      </c>
    </row>
    <row r="62" spans="1:5" x14ac:dyDescent="0.25">
      <c r="A62" s="10" t="s">
        <v>156</v>
      </c>
      <c r="B62" s="31" t="s">
        <v>157</v>
      </c>
      <c r="C62" s="6" t="s">
        <v>771</v>
      </c>
      <c r="D62" s="6" t="s">
        <v>771</v>
      </c>
      <c r="E62" s="10" t="s">
        <v>772</v>
      </c>
    </row>
    <row r="63" spans="1:5" x14ac:dyDescent="0.25">
      <c r="A63" s="10" t="s">
        <v>158</v>
      </c>
      <c r="B63" s="31" t="s">
        <v>159</v>
      </c>
      <c r="C63" s="6">
        <v>97</v>
      </c>
      <c r="D63" s="6">
        <v>68</v>
      </c>
      <c r="E63" s="10" t="s">
        <v>509</v>
      </c>
    </row>
    <row r="64" spans="1:5" x14ac:dyDescent="0.25">
      <c r="A64" s="19" t="s">
        <v>160</v>
      </c>
      <c r="B64" s="31" t="s">
        <v>161</v>
      </c>
      <c r="C64" s="6" t="s">
        <v>771</v>
      </c>
      <c r="D64" s="6" t="s">
        <v>771</v>
      </c>
      <c r="E64" s="10" t="s">
        <v>772</v>
      </c>
    </row>
    <row r="65" spans="1:5" x14ac:dyDescent="0.25">
      <c r="A65" s="10" t="s">
        <v>164</v>
      </c>
      <c r="B65" s="31" t="s">
        <v>165</v>
      </c>
      <c r="C65" s="6">
        <v>25</v>
      </c>
      <c r="D65" s="6">
        <v>21</v>
      </c>
      <c r="E65" s="10" t="s">
        <v>512</v>
      </c>
    </row>
    <row r="66" spans="1:5" x14ac:dyDescent="0.25">
      <c r="A66" s="10" t="s">
        <v>166</v>
      </c>
      <c r="B66" s="31" t="s">
        <v>167</v>
      </c>
      <c r="C66" s="6" t="s">
        <v>771</v>
      </c>
      <c r="D66" s="6" t="s">
        <v>771</v>
      </c>
      <c r="E66" s="10" t="s">
        <v>772</v>
      </c>
    </row>
    <row r="67" spans="1:5" x14ac:dyDescent="0.25">
      <c r="A67" s="10" t="s">
        <v>168</v>
      </c>
      <c r="B67" s="31" t="s">
        <v>169</v>
      </c>
      <c r="C67" s="6" t="s">
        <v>771</v>
      </c>
      <c r="D67" s="6" t="s">
        <v>771</v>
      </c>
      <c r="E67" s="10" t="s">
        <v>772</v>
      </c>
    </row>
    <row r="68" spans="1:5" x14ac:dyDescent="0.25">
      <c r="A68" s="10" t="s">
        <v>170</v>
      </c>
      <c r="B68" s="31" t="s">
        <v>171</v>
      </c>
      <c r="C68" s="6">
        <v>26</v>
      </c>
      <c r="D68" s="6">
        <v>26</v>
      </c>
      <c r="E68" s="10" t="s">
        <v>276</v>
      </c>
    </row>
    <row r="69" spans="1:5" x14ac:dyDescent="0.25">
      <c r="A69" s="10" t="s">
        <v>172</v>
      </c>
      <c r="B69" s="31" t="s">
        <v>173</v>
      </c>
      <c r="C69" s="6">
        <v>15</v>
      </c>
      <c r="D69" s="6">
        <v>6</v>
      </c>
      <c r="E69" s="10" t="s">
        <v>286</v>
      </c>
    </row>
    <row r="70" spans="1:5" x14ac:dyDescent="0.25">
      <c r="A70" s="10" t="s">
        <v>174</v>
      </c>
      <c r="B70" s="31" t="s">
        <v>175</v>
      </c>
      <c r="C70" s="6">
        <v>25</v>
      </c>
      <c r="D70" s="6">
        <v>25</v>
      </c>
      <c r="E70" s="10" t="s">
        <v>277</v>
      </c>
    </row>
    <row r="71" spans="1:5" x14ac:dyDescent="0.25">
      <c r="A71" s="10" t="s">
        <v>176</v>
      </c>
      <c r="B71" s="31" t="s">
        <v>177</v>
      </c>
      <c r="C71" s="6" t="s">
        <v>771</v>
      </c>
      <c r="D71" s="6" t="s">
        <v>771</v>
      </c>
      <c r="E71" s="10" t="s">
        <v>772</v>
      </c>
    </row>
    <row r="72" spans="1:5" x14ac:dyDescent="0.25">
      <c r="A72" s="10" t="s">
        <v>180</v>
      </c>
      <c r="B72" s="31" t="s">
        <v>181</v>
      </c>
      <c r="C72" s="6">
        <v>28</v>
      </c>
      <c r="D72" s="6">
        <v>18</v>
      </c>
      <c r="E72" s="10" t="s">
        <v>511</v>
      </c>
    </row>
  </sheetData>
  <sortState ref="A2:E73">
    <sortCondition ref="A2"/>
  </sortState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" sqref="F2"/>
    </sheetView>
  </sheetViews>
  <sheetFormatPr defaultRowHeight="15" x14ac:dyDescent="0.25"/>
  <cols>
    <col min="1" max="1" width="10.140625" bestFit="1" customWidth="1"/>
    <col min="2" max="2" width="63.7109375" bestFit="1" customWidth="1"/>
    <col min="3" max="3" width="10.28515625" bestFit="1" customWidth="1"/>
    <col min="4" max="4" width="11.5703125" bestFit="1" customWidth="1"/>
    <col min="5" max="5" width="19.140625" customWidth="1"/>
    <col min="6" max="6" width="14.85546875" style="18" customWidth="1"/>
  </cols>
  <sheetData>
    <row r="1" spans="1:6" ht="30" x14ac:dyDescent="0.25">
      <c r="A1" s="7" t="s">
        <v>189</v>
      </c>
      <c r="B1" s="7" t="s">
        <v>183</v>
      </c>
      <c r="C1" s="8" t="s">
        <v>197</v>
      </c>
      <c r="D1" s="8" t="s">
        <v>198</v>
      </c>
      <c r="E1" s="7" t="s">
        <v>206</v>
      </c>
      <c r="F1" s="17" t="s">
        <v>207</v>
      </c>
    </row>
    <row r="2" spans="1:6" x14ac:dyDescent="0.25">
      <c r="A2" s="10" t="s">
        <v>0</v>
      </c>
      <c r="B2" s="31" t="s">
        <v>1</v>
      </c>
      <c r="C2" s="6">
        <v>24</v>
      </c>
      <c r="D2" s="6" t="s">
        <v>771</v>
      </c>
      <c r="E2" s="10" t="s">
        <v>501</v>
      </c>
      <c r="F2" s="23">
        <v>0.439</v>
      </c>
    </row>
    <row r="3" spans="1:6" x14ac:dyDescent="0.25">
      <c r="A3" s="10" t="s">
        <v>4</v>
      </c>
      <c r="B3" s="31" t="s">
        <v>214</v>
      </c>
      <c r="C3" s="6">
        <v>57</v>
      </c>
      <c r="D3" s="6" t="s">
        <v>771</v>
      </c>
      <c r="E3" s="10" t="s">
        <v>221</v>
      </c>
      <c r="F3" s="23">
        <v>0.28899999999999998</v>
      </c>
    </row>
    <row r="4" spans="1:6" x14ac:dyDescent="0.25">
      <c r="A4" s="10" t="s">
        <v>5</v>
      </c>
      <c r="B4" s="31" t="s">
        <v>6</v>
      </c>
      <c r="C4" s="6">
        <v>22</v>
      </c>
      <c r="D4" s="6" t="s">
        <v>771</v>
      </c>
      <c r="E4" s="10" t="s">
        <v>245</v>
      </c>
      <c r="F4" s="23">
        <v>0.499</v>
      </c>
    </row>
    <row r="5" spans="1:6" x14ac:dyDescent="0.25">
      <c r="A5" s="10" t="s">
        <v>7</v>
      </c>
      <c r="B5" s="31" t="s">
        <v>8</v>
      </c>
      <c r="C5" s="6">
        <v>13</v>
      </c>
      <c r="D5" s="6" t="s">
        <v>771</v>
      </c>
      <c r="E5" s="10" t="s">
        <v>254</v>
      </c>
      <c r="F5" s="23">
        <v>0.38200000000000001</v>
      </c>
    </row>
    <row r="6" spans="1:6" x14ac:dyDescent="0.25">
      <c r="A6" s="10" t="s">
        <v>9</v>
      </c>
      <c r="B6" s="31" t="s">
        <v>10</v>
      </c>
      <c r="C6" s="6">
        <v>25</v>
      </c>
      <c r="D6" s="6">
        <v>8</v>
      </c>
      <c r="E6" s="10" t="s">
        <v>241</v>
      </c>
      <c r="F6" s="23">
        <v>0.33400000000000002</v>
      </c>
    </row>
    <row r="7" spans="1:6" x14ac:dyDescent="0.25">
      <c r="A7" s="10" t="s">
        <v>11</v>
      </c>
      <c r="B7" s="31" t="s">
        <v>12</v>
      </c>
      <c r="C7" s="6">
        <v>40</v>
      </c>
      <c r="D7" s="6">
        <v>12</v>
      </c>
      <c r="E7" s="10" t="s">
        <v>233</v>
      </c>
      <c r="F7" s="23">
        <v>0.42299999999999999</v>
      </c>
    </row>
    <row r="8" spans="1:6" x14ac:dyDescent="0.25">
      <c r="A8" s="10" t="s">
        <v>13</v>
      </c>
      <c r="B8" s="31" t="s">
        <v>14</v>
      </c>
      <c r="C8" s="6">
        <v>22</v>
      </c>
      <c r="D8" s="6">
        <v>7</v>
      </c>
      <c r="E8" s="10" t="s">
        <v>246</v>
      </c>
      <c r="F8" s="23">
        <v>0.49399999999999999</v>
      </c>
    </row>
    <row r="9" spans="1:6" x14ac:dyDescent="0.25">
      <c r="A9" s="10" t="s">
        <v>15</v>
      </c>
      <c r="B9" s="31" t="s">
        <v>16</v>
      </c>
      <c r="C9" s="6">
        <v>22</v>
      </c>
      <c r="D9" s="6">
        <v>20</v>
      </c>
      <c r="E9" s="10" t="s">
        <v>247</v>
      </c>
      <c r="F9" s="23">
        <v>0.53</v>
      </c>
    </row>
    <row r="10" spans="1:6" x14ac:dyDescent="0.25">
      <c r="A10" s="10" t="s">
        <v>17</v>
      </c>
      <c r="B10" s="31" t="s">
        <v>18</v>
      </c>
      <c r="C10" s="6">
        <v>8</v>
      </c>
      <c r="D10" s="6" t="s">
        <v>771</v>
      </c>
      <c r="E10" s="10" t="s">
        <v>508</v>
      </c>
      <c r="F10" s="23">
        <v>0.58299999999999996</v>
      </c>
    </row>
    <row r="11" spans="1:6" x14ac:dyDescent="0.25">
      <c r="A11" s="10" t="s">
        <v>19</v>
      </c>
      <c r="B11" s="31" t="s">
        <v>20</v>
      </c>
      <c r="C11" s="6">
        <v>16</v>
      </c>
      <c r="D11" s="6" t="s">
        <v>771</v>
      </c>
      <c r="E11" s="10" t="s">
        <v>505</v>
      </c>
      <c r="F11" s="23">
        <v>0.32700000000000001</v>
      </c>
    </row>
    <row r="12" spans="1:6" x14ac:dyDescent="0.25">
      <c r="A12" s="10" t="s">
        <v>21</v>
      </c>
      <c r="B12" s="31" t="s">
        <v>22</v>
      </c>
      <c r="C12" s="6">
        <v>11</v>
      </c>
      <c r="D12" s="6" t="s">
        <v>771</v>
      </c>
      <c r="E12" s="10" t="s">
        <v>256</v>
      </c>
      <c r="F12" s="23">
        <v>0.50700000000000001</v>
      </c>
    </row>
    <row r="13" spans="1:6" x14ac:dyDescent="0.25">
      <c r="A13" s="10" t="s">
        <v>23</v>
      </c>
      <c r="B13" s="31" t="s">
        <v>24</v>
      </c>
      <c r="C13" s="6">
        <v>39</v>
      </c>
      <c r="D13" s="6">
        <v>12</v>
      </c>
      <c r="E13" s="10" t="s">
        <v>235</v>
      </c>
      <c r="F13" s="23">
        <v>0.46</v>
      </c>
    </row>
    <row r="14" spans="1:6" x14ac:dyDescent="0.25">
      <c r="A14" s="10" t="s">
        <v>25</v>
      </c>
      <c r="B14" s="31" t="s">
        <v>26</v>
      </c>
      <c r="C14" s="6">
        <v>42</v>
      </c>
      <c r="D14" s="6">
        <v>7</v>
      </c>
      <c r="E14" s="10" t="s">
        <v>230</v>
      </c>
      <c r="F14" s="23">
        <v>0.35199999999999998</v>
      </c>
    </row>
    <row r="15" spans="1:6" x14ac:dyDescent="0.25">
      <c r="A15" s="10" t="s">
        <v>33</v>
      </c>
      <c r="B15" s="31" t="s">
        <v>34</v>
      </c>
      <c r="C15" s="6">
        <v>22</v>
      </c>
      <c r="D15" s="6">
        <v>6</v>
      </c>
      <c r="E15" s="10" t="s">
        <v>244</v>
      </c>
      <c r="F15" s="23">
        <v>0.41</v>
      </c>
    </row>
    <row r="16" spans="1:6" x14ac:dyDescent="0.25">
      <c r="A16" s="10" t="s">
        <v>35</v>
      </c>
      <c r="B16" s="31" t="s">
        <v>36</v>
      </c>
      <c r="C16" s="6">
        <v>39</v>
      </c>
      <c r="D16" s="6">
        <v>8</v>
      </c>
      <c r="E16" s="10" t="s">
        <v>234</v>
      </c>
      <c r="F16" s="23">
        <v>0.53800000000000003</v>
      </c>
    </row>
    <row r="17" spans="1:6" x14ac:dyDescent="0.25">
      <c r="A17" s="10" t="s">
        <v>37</v>
      </c>
      <c r="B17" s="31" t="s">
        <v>38</v>
      </c>
      <c r="C17" s="6">
        <v>8</v>
      </c>
      <c r="D17" s="6">
        <v>0</v>
      </c>
      <c r="E17" s="10" t="s">
        <v>397</v>
      </c>
      <c r="F17" s="23">
        <v>0.46500000000000002</v>
      </c>
    </row>
    <row r="18" spans="1:6" x14ac:dyDescent="0.25">
      <c r="A18" s="10" t="s">
        <v>39</v>
      </c>
      <c r="B18" s="31" t="s">
        <v>216</v>
      </c>
      <c r="C18" s="6">
        <v>30</v>
      </c>
      <c r="D18" s="6">
        <v>15</v>
      </c>
      <c r="E18" s="10" t="s">
        <v>493</v>
      </c>
      <c r="F18" s="23">
        <v>0.39400000000000002</v>
      </c>
    </row>
    <row r="19" spans="1:6" x14ac:dyDescent="0.25">
      <c r="A19" s="10" t="s">
        <v>40</v>
      </c>
      <c r="B19" s="31" t="s">
        <v>41</v>
      </c>
      <c r="C19" s="6">
        <v>50</v>
      </c>
      <c r="D19" s="6">
        <v>13</v>
      </c>
      <c r="E19" s="10" t="s">
        <v>224</v>
      </c>
      <c r="F19" s="23">
        <v>0.35199999999999998</v>
      </c>
    </row>
    <row r="20" spans="1:6" x14ac:dyDescent="0.25">
      <c r="A20" s="10" t="s">
        <v>42</v>
      </c>
      <c r="B20" s="31" t="s">
        <v>43</v>
      </c>
      <c r="C20" s="6">
        <v>45</v>
      </c>
      <c r="D20" s="6">
        <v>9</v>
      </c>
      <c r="E20" s="10" t="s">
        <v>227</v>
      </c>
      <c r="F20" s="23">
        <v>0.219</v>
      </c>
    </row>
    <row r="21" spans="1:6" x14ac:dyDescent="0.25">
      <c r="A21" s="10" t="s">
        <v>44</v>
      </c>
      <c r="B21" s="31" t="s">
        <v>45</v>
      </c>
      <c r="C21" s="6">
        <v>21</v>
      </c>
      <c r="D21" s="6">
        <v>7</v>
      </c>
      <c r="E21" s="10" t="s">
        <v>249</v>
      </c>
      <c r="F21" s="23">
        <v>0.28299999999999997</v>
      </c>
    </row>
    <row r="22" spans="1:6" x14ac:dyDescent="0.25">
      <c r="A22" s="10" t="s">
        <v>48</v>
      </c>
      <c r="B22" s="31" t="s">
        <v>49</v>
      </c>
      <c r="C22" s="6">
        <v>24</v>
      </c>
      <c r="D22" s="6">
        <v>5</v>
      </c>
      <c r="E22" s="10" t="s">
        <v>500</v>
      </c>
      <c r="F22" s="23">
        <v>0.47699999999999998</v>
      </c>
    </row>
    <row r="23" spans="1:6" x14ac:dyDescent="0.25">
      <c r="A23" s="10" t="s">
        <v>54</v>
      </c>
      <c r="B23" s="31" t="s">
        <v>55</v>
      </c>
      <c r="C23" s="6">
        <v>72</v>
      </c>
      <c r="D23" s="6">
        <v>40</v>
      </c>
      <c r="E23" s="10" t="s">
        <v>219</v>
      </c>
      <c r="F23" s="23">
        <v>0.16800000000000001</v>
      </c>
    </row>
    <row r="24" spans="1:6" x14ac:dyDescent="0.25">
      <c r="A24" s="10" t="s">
        <v>56</v>
      </c>
      <c r="B24" s="31" t="s">
        <v>57</v>
      </c>
      <c r="C24" s="6">
        <v>28</v>
      </c>
      <c r="D24" s="6" t="s">
        <v>771</v>
      </c>
      <c r="E24" s="10" t="s">
        <v>494</v>
      </c>
      <c r="F24" s="23">
        <v>0.35599999999999998</v>
      </c>
    </row>
    <row r="25" spans="1:6" x14ac:dyDescent="0.25">
      <c r="A25" s="10" t="s">
        <v>58</v>
      </c>
      <c r="B25" s="31" t="s">
        <v>59</v>
      </c>
      <c r="C25" s="6">
        <v>43</v>
      </c>
      <c r="D25" s="6">
        <v>7</v>
      </c>
      <c r="E25" s="10" t="s">
        <v>228</v>
      </c>
      <c r="F25" s="23">
        <v>0.23300000000000001</v>
      </c>
    </row>
    <row r="26" spans="1:6" x14ac:dyDescent="0.25">
      <c r="A26" s="10" t="s">
        <v>60</v>
      </c>
      <c r="B26" s="31" t="s">
        <v>61</v>
      </c>
      <c r="C26" s="6">
        <v>34</v>
      </c>
      <c r="D26" s="6">
        <v>6</v>
      </c>
      <c r="E26" s="10" t="s">
        <v>491</v>
      </c>
      <c r="F26" s="23">
        <v>0.19500000000000001</v>
      </c>
    </row>
    <row r="27" spans="1:6" x14ac:dyDescent="0.25">
      <c r="A27" s="10" t="s">
        <v>66</v>
      </c>
      <c r="B27" s="31" t="s">
        <v>67</v>
      </c>
      <c r="C27" s="6">
        <v>86</v>
      </c>
      <c r="D27" s="6">
        <v>48</v>
      </c>
      <c r="E27" s="10" t="s">
        <v>218</v>
      </c>
      <c r="F27" s="23">
        <v>0.29799999999999999</v>
      </c>
    </row>
    <row r="28" spans="1:6" x14ac:dyDescent="0.25">
      <c r="A28" s="10" t="s">
        <v>68</v>
      </c>
      <c r="B28" s="31" t="s">
        <v>69</v>
      </c>
      <c r="C28" s="6">
        <v>52</v>
      </c>
      <c r="D28" s="6">
        <v>44</v>
      </c>
      <c r="E28" s="10" t="s">
        <v>483</v>
      </c>
      <c r="F28" s="23">
        <v>0.36899999999999999</v>
      </c>
    </row>
    <row r="29" spans="1:6" x14ac:dyDescent="0.25">
      <c r="A29" s="10" t="s">
        <v>70</v>
      </c>
      <c r="B29" s="31" t="s">
        <v>71</v>
      </c>
      <c r="C29" s="6">
        <v>58</v>
      </c>
      <c r="D29" s="6">
        <v>31</v>
      </c>
      <c r="E29" s="10" t="s">
        <v>486</v>
      </c>
      <c r="F29" s="23">
        <v>0.42</v>
      </c>
    </row>
    <row r="30" spans="1:6" x14ac:dyDescent="0.25">
      <c r="A30" s="10" t="s">
        <v>72</v>
      </c>
      <c r="B30" s="31" t="s">
        <v>73</v>
      </c>
      <c r="C30" s="6">
        <v>41</v>
      </c>
      <c r="D30" s="6">
        <v>18</v>
      </c>
      <c r="E30" s="10" t="s">
        <v>232</v>
      </c>
      <c r="F30" s="23">
        <v>0.51300000000000001</v>
      </c>
    </row>
    <row r="31" spans="1:6" x14ac:dyDescent="0.25">
      <c r="A31" s="10" t="s">
        <v>74</v>
      </c>
      <c r="B31" s="31" t="s">
        <v>75</v>
      </c>
      <c r="C31" s="6" t="s">
        <v>771</v>
      </c>
      <c r="D31" s="6" t="s">
        <v>771</v>
      </c>
      <c r="E31" s="10" t="s">
        <v>772</v>
      </c>
      <c r="F31" s="23" t="s">
        <v>772</v>
      </c>
    </row>
    <row r="32" spans="1:6" x14ac:dyDescent="0.25">
      <c r="A32" s="10" t="s">
        <v>76</v>
      </c>
      <c r="B32" s="31" t="s">
        <v>215</v>
      </c>
      <c r="C32" s="6">
        <v>9</v>
      </c>
      <c r="D32" s="6">
        <v>0</v>
      </c>
      <c r="E32" s="10" t="s">
        <v>257</v>
      </c>
      <c r="F32" s="23">
        <v>0.16400000000000001</v>
      </c>
    </row>
    <row r="33" spans="1:6" x14ac:dyDescent="0.25">
      <c r="A33" s="10" t="s">
        <v>77</v>
      </c>
      <c r="B33" s="31" t="s">
        <v>78</v>
      </c>
      <c r="C33" s="6">
        <v>24</v>
      </c>
      <c r="D33" s="6" t="s">
        <v>771</v>
      </c>
      <c r="E33" s="10" t="s">
        <v>499</v>
      </c>
      <c r="F33" s="23">
        <v>0.35299999999999998</v>
      </c>
    </row>
    <row r="34" spans="1:6" x14ac:dyDescent="0.25">
      <c r="A34" s="10" t="s">
        <v>81</v>
      </c>
      <c r="B34" s="31" t="s">
        <v>82</v>
      </c>
      <c r="C34" s="6">
        <v>21</v>
      </c>
      <c r="D34" s="6">
        <v>7</v>
      </c>
      <c r="E34" s="10" t="s">
        <v>248</v>
      </c>
      <c r="F34" s="23">
        <v>0.47099999999999997</v>
      </c>
    </row>
    <row r="35" spans="1:6" x14ac:dyDescent="0.25">
      <c r="A35" s="10" t="s">
        <v>83</v>
      </c>
      <c r="B35" s="31" t="s">
        <v>84</v>
      </c>
      <c r="C35" s="6">
        <v>68</v>
      </c>
      <c r="D35" s="6">
        <v>17</v>
      </c>
      <c r="E35" s="10" t="s">
        <v>484</v>
      </c>
      <c r="F35" s="23">
        <v>0.24199999999999999</v>
      </c>
    </row>
    <row r="36" spans="1:6" x14ac:dyDescent="0.25">
      <c r="A36" s="10" t="s">
        <v>87</v>
      </c>
      <c r="B36" s="31" t="s">
        <v>88</v>
      </c>
      <c r="C36" s="6">
        <v>42</v>
      </c>
      <c r="D36" s="6">
        <v>9</v>
      </c>
      <c r="E36" s="10" t="s">
        <v>229</v>
      </c>
      <c r="F36" s="23">
        <v>0.253</v>
      </c>
    </row>
    <row r="37" spans="1:6" x14ac:dyDescent="0.25">
      <c r="A37" s="10" t="s">
        <v>89</v>
      </c>
      <c r="B37" s="31" t="s">
        <v>90</v>
      </c>
      <c r="C37" s="6">
        <v>41</v>
      </c>
      <c r="D37" s="6" t="s">
        <v>771</v>
      </c>
      <c r="E37" s="10" t="s">
        <v>231</v>
      </c>
      <c r="F37" s="23">
        <v>0.43099999999999999</v>
      </c>
    </row>
    <row r="38" spans="1:6" x14ac:dyDescent="0.25">
      <c r="A38" s="10" t="s">
        <v>91</v>
      </c>
      <c r="B38" s="31" t="s">
        <v>92</v>
      </c>
      <c r="C38" s="6">
        <v>43</v>
      </c>
      <c r="D38" s="6" t="s">
        <v>771</v>
      </c>
      <c r="E38" s="10" t="s">
        <v>489</v>
      </c>
      <c r="F38" s="23">
        <v>0.46700000000000003</v>
      </c>
    </row>
    <row r="39" spans="1:6" x14ac:dyDescent="0.25">
      <c r="A39" s="10" t="s">
        <v>93</v>
      </c>
      <c r="B39" s="31" t="s">
        <v>94</v>
      </c>
      <c r="C39" s="6">
        <v>26</v>
      </c>
      <c r="D39" s="6">
        <v>7</v>
      </c>
      <c r="E39" s="10" t="s">
        <v>496</v>
      </c>
      <c r="F39" s="23">
        <v>0.28899999999999998</v>
      </c>
    </row>
    <row r="40" spans="1:6" x14ac:dyDescent="0.25">
      <c r="A40" s="10" t="s">
        <v>95</v>
      </c>
      <c r="B40" s="31" t="s">
        <v>96</v>
      </c>
      <c r="C40" s="6">
        <v>24</v>
      </c>
      <c r="D40" s="6">
        <v>15</v>
      </c>
      <c r="E40" s="10" t="s">
        <v>498</v>
      </c>
      <c r="F40" s="23">
        <v>0.59399999999999997</v>
      </c>
    </row>
    <row r="41" spans="1:6" x14ac:dyDescent="0.25">
      <c r="A41" s="10" t="s">
        <v>97</v>
      </c>
      <c r="B41" s="31" t="s">
        <v>98</v>
      </c>
      <c r="C41" s="6">
        <v>55</v>
      </c>
      <c r="D41" s="6">
        <v>16</v>
      </c>
      <c r="E41" s="10" t="s">
        <v>222</v>
      </c>
      <c r="F41" s="23">
        <v>0.27800000000000002</v>
      </c>
    </row>
    <row r="42" spans="1:6" x14ac:dyDescent="0.25">
      <c r="A42" s="10" t="s">
        <v>99</v>
      </c>
      <c r="B42" s="31" t="s">
        <v>100</v>
      </c>
      <c r="C42" s="6">
        <v>11</v>
      </c>
      <c r="D42" s="6">
        <v>0</v>
      </c>
      <c r="E42" s="10" t="s">
        <v>255</v>
      </c>
      <c r="F42" s="23">
        <v>0.375</v>
      </c>
    </row>
    <row r="43" spans="1:6" x14ac:dyDescent="0.25">
      <c r="A43" s="10" t="s">
        <v>101</v>
      </c>
      <c r="B43" s="31" t="s">
        <v>102</v>
      </c>
      <c r="C43" s="6">
        <v>8</v>
      </c>
      <c r="D43" s="6" t="s">
        <v>771</v>
      </c>
      <c r="E43" s="10" t="s">
        <v>507</v>
      </c>
      <c r="F43" s="23">
        <v>0</v>
      </c>
    </row>
    <row r="44" spans="1:6" x14ac:dyDescent="0.25">
      <c r="A44" s="10" t="s">
        <v>105</v>
      </c>
      <c r="B44" s="31" t="s">
        <v>106</v>
      </c>
      <c r="C44" s="6">
        <v>47</v>
      </c>
      <c r="D44" s="6">
        <v>23</v>
      </c>
      <c r="E44" s="10" t="s">
        <v>226</v>
      </c>
      <c r="F44" s="23">
        <v>0.53500000000000003</v>
      </c>
    </row>
    <row r="45" spans="1:6" x14ac:dyDescent="0.25">
      <c r="A45" s="10" t="s">
        <v>107</v>
      </c>
      <c r="B45" s="31" t="s">
        <v>108</v>
      </c>
      <c r="C45" s="6">
        <v>61</v>
      </c>
      <c r="D45" s="6">
        <v>23</v>
      </c>
      <c r="E45" s="10" t="s">
        <v>220</v>
      </c>
      <c r="F45" s="23">
        <v>0.44</v>
      </c>
    </row>
    <row r="46" spans="1:6" x14ac:dyDescent="0.25">
      <c r="A46" s="10" t="s">
        <v>113</v>
      </c>
      <c r="B46" s="31" t="s">
        <v>114</v>
      </c>
      <c r="C46" s="6">
        <v>39</v>
      </c>
      <c r="D46" s="6">
        <v>14</v>
      </c>
      <c r="E46" s="10" t="s">
        <v>236</v>
      </c>
      <c r="F46" s="23">
        <v>0.29699999999999999</v>
      </c>
    </row>
    <row r="47" spans="1:6" x14ac:dyDescent="0.25">
      <c r="A47" s="10" t="s">
        <v>115</v>
      </c>
      <c r="B47" s="31" t="s">
        <v>116</v>
      </c>
      <c r="C47" s="6">
        <v>30</v>
      </c>
      <c r="D47" s="6" t="s">
        <v>771</v>
      </c>
      <c r="E47" s="10" t="s">
        <v>492</v>
      </c>
      <c r="F47" s="23">
        <v>0.28899999999999998</v>
      </c>
    </row>
    <row r="48" spans="1:6" x14ac:dyDescent="0.25">
      <c r="A48" s="10" t="s">
        <v>117</v>
      </c>
      <c r="B48" s="1" t="s">
        <v>773</v>
      </c>
      <c r="C48" s="6">
        <v>53</v>
      </c>
      <c r="D48" s="6">
        <v>20</v>
      </c>
      <c r="E48" s="10" t="s">
        <v>223</v>
      </c>
      <c r="F48" s="23">
        <v>0.254</v>
      </c>
    </row>
    <row r="49" spans="1:6" x14ac:dyDescent="0.25">
      <c r="A49" s="10" t="s">
        <v>118</v>
      </c>
      <c r="B49" s="31" t="s">
        <v>119</v>
      </c>
      <c r="C49" s="6">
        <v>47</v>
      </c>
      <c r="D49" s="6">
        <v>10</v>
      </c>
      <c r="E49" s="10" t="s">
        <v>225</v>
      </c>
      <c r="F49" s="23">
        <v>0.36199999999999999</v>
      </c>
    </row>
    <row r="50" spans="1:6" x14ac:dyDescent="0.25">
      <c r="A50" s="10" t="s">
        <v>120</v>
      </c>
      <c r="B50" s="31" t="s">
        <v>121</v>
      </c>
      <c r="C50" s="6">
        <v>13</v>
      </c>
      <c r="D50" s="6" t="s">
        <v>771</v>
      </c>
      <c r="E50" s="10" t="s">
        <v>253</v>
      </c>
      <c r="F50" s="23">
        <v>0.22600000000000001</v>
      </c>
    </row>
    <row r="51" spans="1:6" x14ac:dyDescent="0.25">
      <c r="A51" s="10" t="s">
        <v>122</v>
      </c>
      <c r="B51" s="31" t="s">
        <v>123</v>
      </c>
      <c r="C51" s="6">
        <v>28</v>
      </c>
      <c r="D51" s="6">
        <v>11</v>
      </c>
      <c r="E51" s="10" t="s">
        <v>478</v>
      </c>
      <c r="F51" s="23">
        <v>0.35899999999999999</v>
      </c>
    </row>
    <row r="52" spans="1:6" x14ac:dyDescent="0.25">
      <c r="A52" s="10" t="s">
        <v>124</v>
      </c>
      <c r="B52" s="31" t="s">
        <v>125</v>
      </c>
      <c r="C52" s="6">
        <v>52</v>
      </c>
      <c r="D52" s="6">
        <v>12</v>
      </c>
      <c r="E52" s="10" t="s">
        <v>488</v>
      </c>
      <c r="F52" s="23">
        <v>0.30399999999999999</v>
      </c>
    </row>
    <row r="53" spans="1:6" x14ac:dyDescent="0.25">
      <c r="A53" s="10" t="s">
        <v>126</v>
      </c>
      <c r="B53" s="31" t="s">
        <v>127</v>
      </c>
      <c r="C53" s="6">
        <v>27</v>
      </c>
      <c r="D53" s="6">
        <v>16</v>
      </c>
      <c r="E53" s="10" t="s">
        <v>239</v>
      </c>
      <c r="F53" s="23">
        <v>0.436</v>
      </c>
    </row>
    <row r="54" spans="1:6" x14ac:dyDescent="0.25">
      <c r="A54" s="10" t="s">
        <v>128</v>
      </c>
      <c r="B54" s="31" t="s">
        <v>129</v>
      </c>
      <c r="C54" s="6">
        <v>33</v>
      </c>
      <c r="D54" s="6">
        <v>15</v>
      </c>
      <c r="E54" s="10" t="s">
        <v>238</v>
      </c>
      <c r="F54" s="23">
        <v>0.33100000000000002</v>
      </c>
    </row>
    <row r="55" spans="1:6" x14ac:dyDescent="0.25">
      <c r="A55" s="10" t="s">
        <v>130</v>
      </c>
      <c r="B55" s="31" t="s">
        <v>131</v>
      </c>
      <c r="C55" s="6">
        <v>68</v>
      </c>
      <c r="D55" s="6">
        <v>12</v>
      </c>
      <c r="E55" s="10" t="s">
        <v>483</v>
      </c>
      <c r="F55" s="23">
        <v>0.33700000000000002</v>
      </c>
    </row>
    <row r="56" spans="1:6" x14ac:dyDescent="0.25">
      <c r="A56" s="10" t="s">
        <v>132</v>
      </c>
      <c r="B56" s="31" t="s">
        <v>133</v>
      </c>
      <c r="C56" s="6">
        <v>22</v>
      </c>
      <c r="D56" s="6">
        <v>0</v>
      </c>
      <c r="E56" s="10" t="s">
        <v>502</v>
      </c>
      <c r="F56" s="23">
        <v>0.54500000000000004</v>
      </c>
    </row>
    <row r="57" spans="1:6" x14ac:dyDescent="0.25">
      <c r="A57" s="10" t="s">
        <v>134</v>
      </c>
      <c r="B57" s="31" t="s">
        <v>135</v>
      </c>
      <c r="C57" s="6">
        <v>39</v>
      </c>
      <c r="D57" s="6">
        <v>7</v>
      </c>
      <c r="E57" s="10" t="s">
        <v>237</v>
      </c>
      <c r="F57" s="23">
        <v>0.34899999999999998</v>
      </c>
    </row>
    <row r="58" spans="1:6" x14ac:dyDescent="0.25">
      <c r="A58" s="10" t="s">
        <v>136</v>
      </c>
      <c r="B58" s="31" t="s">
        <v>137</v>
      </c>
      <c r="C58" s="6">
        <v>14</v>
      </c>
      <c r="D58" s="6" t="s">
        <v>771</v>
      </c>
      <c r="E58" s="10" t="s">
        <v>252</v>
      </c>
      <c r="F58" s="23">
        <v>0.57199999999999995</v>
      </c>
    </row>
    <row r="59" spans="1:6" x14ac:dyDescent="0.25">
      <c r="A59" s="10" t="s">
        <v>138</v>
      </c>
      <c r="B59" s="31" t="s">
        <v>139</v>
      </c>
      <c r="C59" s="6">
        <v>25</v>
      </c>
      <c r="D59" s="6">
        <v>14</v>
      </c>
      <c r="E59" s="10" t="s">
        <v>240</v>
      </c>
      <c r="F59" s="23">
        <v>0.40100000000000002</v>
      </c>
    </row>
    <row r="60" spans="1:6" x14ac:dyDescent="0.25">
      <c r="A60" s="10" t="s">
        <v>140</v>
      </c>
      <c r="B60" s="31" t="s">
        <v>141</v>
      </c>
      <c r="C60" s="6">
        <v>42</v>
      </c>
      <c r="D60" s="6">
        <v>9</v>
      </c>
      <c r="E60" s="10" t="s">
        <v>490</v>
      </c>
      <c r="F60" s="23">
        <v>0.29799999999999999</v>
      </c>
    </row>
    <row r="61" spans="1:6" x14ac:dyDescent="0.25">
      <c r="A61" s="10" t="s">
        <v>142</v>
      </c>
      <c r="B61" s="31" t="s">
        <v>143</v>
      </c>
      <c r="C61" s="6">
        <v>20</v>
      </c>
      <c r="D61" s="6" t="s">
        <v>771</v>
      </c>
      <c r="E61" s="10" t="s">
        <v>504</v>
      </c>
      <c r="F61" s="23">
        <v>0.36699999999999999</v>
      </c>
    </row>
    <row r="62" spans="1:6" x14ac:dyDescent="0.25">
      <c r="A62" s="10" t="s">
        <v>144</v>
      </c>
      <c r="B62" s="31" t="s">
        <v>145</v>
      </c>
      <c r="C62" s="6">
        <v>58</v>
      </c>
      <c r="D62" s="6">
        <v>28</v>
      </c>
      <c r="E62" s="10" t="s">
        <v>485</v>
      </c>
      <c r="F62" s="23">
        <v>0.54200000000000004</v>
      </c>
    </row>
    <row r="63" spans="1:6" x14ac:dyDescent="0.25">
      <c r="A63" s="10" t="s">
        <v>148</v>
      </c>
      <c r="B63" s="31" t="s">
        <v>149</v>
      </c>
      <c r="C63" s="6">
        <v>25</v>
      </c>
      <c r="D63" s="6">
        <v>16</v>
      </c>
      <c r="E63" s="10" t="s">
        <v>497</v>
      </c>
      <c r="F63" s="23">
        <v>0.14299999999999999</v>
      </c>
    </row>
    <row r="64" spans="1:6" x14ac:dyDescent="0.25">
      <c r="A64" s="10" t="s">
        <v>150</v>
      </c>
      <c r="B64" s="31" t="s">
        <v>151</v>
      </c>
      <c r="C64" s="6">
        <v>25</v>
      </c>
      <c r="D64" s="6">
        <v>18</v>
      </c>
      <c r="E64" s="10" t="s">
        <v>242</v>
      </c>
      <c r="F64" s="23">
        <v>0.33600000000000002</v>
      </c>
    </row>
    <row r="65" spans="1:6" x14ac:dyDescent="0.25">
      <c r="A65" s="10" t="s">
        <v>154</v>
      </c>
      <c r="B65" s="31" t="s">
        <v>155</v>
      </c>
      <c r="C65" s="6">
        <v>23</v>
      </c>
      <c r="D65" s="6" t="s">
        <v>771</v>
      </c>
      <c r="E65" s="10" t="s">
        <v>243</v>
      </c>
      <c r="F65" s="23">
        <v>0.46500000000000002</v>
      </c>
    </row>
    <row r="66" spans="1:6" x14ac:dyDescent="0.25">
      <c r="A66" s="10" t="s">
        <v>156</v>
      </c>
      <c r="B66" s="31" t="s">
        <v>157</v>
      </c>
      <c r="C66" s="6">
        <v>26</v>
      </c>
      <c r="D66" s="6">
        <v>7</v>
      </c>
      <c r="E66" s="10" t="s">
        <v>495</v>
      </c>
      <c r="F66" s="23">
        <v>0.436</v>
      </c>
    </row>
    <row r="67" spans="1:6" x14ac:dyDescent="0.25">
      <c r="A67" s="10" t="s">
        <v>158</v>
      </c>
      <c r="B67" s="31" t="s">
        <v>159</v>
      </c>
      <c r="C67" s="6">
        <v>17</v>
      </c>
      <c r="D67" s="6">
        <v>5</v>
      </c>
      <c r="E67" s="10" t="s">
        <v>250</v>
      </c>
      <c r="F67" s="23">
        <v>0.33200000000000002</v>
      </c>
    </row>
    <row r="68" spans="1:6" x14ac:dyDescent="0.25">
      <c r="A68" s="10" t="s">
        <v>160</v>
      </c>
      <c r="B68" s="31" t="s">
        <v>161</v>
      </c>
      <c r="C68" s="6" t="s">
        <v>771</v>
      </c>
      <c r="D68" s="6">
        <v>0</v>
      </c>
      <c r="E68" s="10" t="s">
        <v>772</v>
      </c>
      <c r="F68" s="23" t="s">
        <v>772</v>
      </c>
    </row>
    <row r="69" spans="1:6" x14ac:dyDescent="0.25">
      <c r="A69" s="10" t="s">
        <v>164</v>
      </c>
      <c r="B69" s="31" t="s">
        <v>165</v>
      </c>
      <c r="C69" s="6">
        <v>54</v>
      </c>
      <c r="D69" s="6">
        <v>6</v>
      </c>
      <c r="E69" s="10" t="s">
        <v>487</v>
      </c>
      <c r="F69" s="23">
        <v>0.35199999999999998</v>
      </c>
    </row>
    <row r="70" spans="1:6" x14ac:dyDescent="0.25">
      <c r="A70" s="10" t="s">
        <v>166</v>
      </c>
      <c r="B70" s="31" t="s">
        <v>167</v>
      </c>
      <c r="C70" s="6">
        <v>17</v>
      </c>
      <c r="D70" s="6">
        <v>0</v>
      </c>
      <c r="E70" s="10" t="s">
        <v>251</v>
      </c>
      <c r="F70" s="23">
        <v>0.31900000000000001</v>
      </c>
    </row>
    <row r="71" spans="1:6" x14ac:dyDescent="0.25">
      <c r="A71" s="10" t="s">
        <v>168</v>
      </c>
      <c r="B71" s="31" t="s">
        <v>169</v>
      </c>
      <c r="C71" s="6">
        <v>18</v>
      </c>
      <c r="D71" s="6">
        <v>6</v>
      </c>
      <c r="E71" s="10" t="s">
        <v>242</v>
      </c>
      <c r="F71" s="23">
        <v>0.42499999999999999</v>
      </c>
    </row>
    <row r="72" spans="1:6" x14ac:dyDescent="0.25">
      <c r="A72" s="10" t="s">
        <v>170</v>
      </c>
      <c r="B72" s="31" t="s">
        <v>171</v>
      </c>
      <c r="C72" s="6">
        <v>20</v>
      </c>
      <c r="D72" s="6">
        <v>7</v>
      </c>
      <c r="E72" s="10" t="s">
        <v>503</v>
      </c>
      <c r="F72" s="23">
        <v>0.47699999999999998</v>
      </c>
    </row>
    <row r="73" spans="1:6" x14ac:dyDescent="0.25">
      <c r="A73" s="10" t="s">
        <v>172</v>
      </c>
      <c r="B73" s="31" t="s">
        <v>173</v>
      </c>
      <c r="C73" s="6">
        <v>16</v>
      </c>
      <c r="D73" s="6" t="s">
        <v>771</v>
      </c>
      <c r="E73" s="10" t="s">
        <v>506</v>
      </c>
      <c r="F73" s="23">
        <v>0.216</v>
      </c>
    </row>
    <row r="74" spans="1:6" x14ac:dyDescent="0.25">
      <c r="A74" s="10" t="s">
        <v>174</v>
      </c>
      <c r="B74" s="31" t="s">
        <v>175</v>
      </c>
      <c r="C74" s="6">
        <v>16</v>
      </c>
      <c r="D74" s="6" t="s">
        <v>771</v>
      </c>
      <c r="E74" s="10" t="s">
        <v>250</v>
      </c>
      <c r="F74" s="23">
        <v>0.28499999999999998</v>
      </c>
    </row>
    <row r="75" spans="1:6" x14ac:dyDescent="0.25">
      <c r="A75" s="10" t="s">
        <v>176</v>
      </c>
      <c r="B75" s="31" t="s">
        <v>177</v>
      </c>
      <c r="C75" s="6">
        <v>9</v>
      </c>
      <c r="D75" s="6">
        <v>0</v>
      </c>
      <c r="E75" s="10" t="s">
        <v>258</v>
      </c>
      <c r="F75" s="23">
        <v>0.34300000000000003</v>
      </c>
    </row>
    <row r="76" spans="1:6" x14ac:dyDescent="0.25">
      <c r="A76" s="10" t="s">
        <v>180</v>
      </c>
      <c r="B76" s="31" t="s">
        <v>181</v>
      </c>
      <c r="C76" s="6">
        <v>87</v>
      </c>
      <c r="D76" s="6">
        <v>19</v>
      </c>
      <c r="E76" s="10" t="s">
        <v>217</v>
      </c>
      <c r="F76" s="23">
        <v>0.248</v>
      </c>
    </row>
  </sheetData>
  <sortState ref="A2:F78">
    <sortCondition ref="A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6"/>
  <sheetViews>
    <sheetView showGridLines="0" workbookViewId="0">
      <selection activeCell="B1" sqref="B1"/>
    </sheetView>
  </sheetViews>
  <sheetFormatPr defaultRowHeight="15" x14ac:dyDescent="0.25"/>
  <cols>
    <col min="1" max="1" width="12.42578125" bestFit="1" customWidth="1"/>
    <col min="2" max="2" width="71.5703125" bestFit="1" customWidth="1"/>
    <col min="5" max="6" width="11.140625" customWidth="1"/>
    <col min="7" max="7" width="13" customWidth="1"/>
    <col min="9" max="9" width="11.140625" customWidth="1"/>
    <col min="27" max="31" width="9.140625" style="46"/>
    <col min="32" max="32" width="63.7109375" style="46" bestFit="1" customWidth="1"/>
    <col min="33" max="39" width="9.140625" style="46"/>
  </cols>
  <sheetData>
    <row r="1" spans="1:39" ht="30.75" customHeight="1" x14ac:dyDescent="0.25">
      <c r="A1" s="35" t="s">
        <v>825</v>
      </c>
      <c r="B1" s="36" t="s">
        <v>10</v>
      </c>
      <c r="AA1" s="106" t="s">
        <v>1103</v>
      </c>
      <c r="AB1" s="107" t="s">
        <v>835</v>
      </c>
      <c r="AC1" s="107" t="s">
        <v>836</v>
      </c>
      <c r="AD1" s="108" t="s">
        <v>832</v>
      </c>
      <c r="AE1" s="109" t="s">
        <v>189</v>
      </c>
      <c r="AF1" s="109" t="s">
        <v>183</v>
      </c>
      <c r="AG1" s="107" t="s">
        <v>829</v>
      </c>
      <c r="AH1" s="107" t="s">
        <v>830</v>
      </c>
      <c r="AI1" s="107" t="s">
        <v>1101</v>
      </c>
      <c r="AJ1" s="107" t="s">
        <v>831</v>
      </c>
      <c r="AK1" s="107" t="s">
        <v>1102</v>
      </c>
      <c r="AL1" s="107" t="s">
        <v>1004</v>
      </c>
      <c r="AM1" s="107" t="s">
        <v>1100</v>
      </c>
    </row>
    <row r="2" spans="1:39" x14ac:dyDescent="0.25">
      <c r="AA2" s="46">
        <f>VLOOKUP($B$1,$AF:$AM,2,FALSE)</f>
        <v>5</v>
      </c>
      <c r="AB2" s="46">
        <f>VLOOKUP($B$1,$AF:$AM,4,FALSE)</f>
        <v>3</v>
      </c>
      <c r="AC2" s="46">
        <f>VLOOKUP($B$1,$AF:$AM,6,FALSE)</f>
        <v>3</v>
      </c>
      <c r="AD2" s="46">
        <f>VLOOKUP($B$1,$AF:$AM,7,FALSE)</f>
        <v>45</v>
      </c>
      <c r="AE2" s="67" t="s">
        <v>101</v>
      </c>
      <c r="AF2" s="111" t="s">
        <v>102</v>
      </c>
      <c r="AG2" s="46">
        <v>0</v>
      </c>
      <c r="AH2" s="46">
        <v>0</v>
      </c>
      <c r="AI2" s="46">
        <f>AG2-AH2</f>
        <v>0</v>
      </c>
      <c r="AJ2" s="46">
        <v>1</v>
      </c>
      <c r="AK2" s="46">
        <f>AJ2-AG2</f>
        <v>1</v>
      </c>
      <c r="AL2" s="46">
        <v>1</v>
      </c>
      <c r="AM2" s="46">
        <v>5</v>
      </c>
    </row>
    <row r="3" spans="1:39" x14ac:dyDescent="0.25">
      <c r="AE3" s="67" t="s">
        <v>0</v>
      </c>
      <c r="AF3" s="111" t="s">
        <v>1</v>
      </c>
      <c r="AG3" s="46">
        <v>0</v>
      </c>
      <c r="AH3" s="46">
        <v>0</v>
      </c>
      <c r="AI3" s="46">
        <f t="shared" ref="AI3:AI66" si="0">AG3-AH3</f>
        <v>0</v>
      </c>
      <c r="AJ3" s="46">
        <v>3</v>
      </c>
      <c r="AK3" s="46">
        <f t="shared" ref="AK3:AK66" si="1">AJ3-AG3</f>
        <v>3</v>
      </c>
      <c r="AL3" s="46">
        <v>2</v>
      </c>
      <c r="AM3" s="46">
        <v>5</v>
      </c>
    </row>
    <row r="4" spans="1:39" x14ac:dyDescent="0.25">
      <c r="AE4" s="67" t="s">
        <v>17</v>
      </c>
      <c r="AF4" s="111" t="s">
        <v>18</v>
      </c>
      <c r="AG4" s="46">
        <v>1</v>
      </c>
      <c r="AH4" s="46">
        <v>0</v>
      </c>
      <c r="AI4" s="46">
        <f t="shared" si="0"/>
        <v>1</v>
      </c>
      <c r="AJ4" s="46">
        <v>1</v>
      </c>
      <c r="AK4" s="46">
        <f t="shared" si="1"/>
        <v>0</v>
      </c>
      <c r="AL4" s="46">
        <v>3</v>
      </c>
      <c r="AM4" s="46">
        <v>5</v>
      </c>
    </row>
    <row r="5" spans="1:39" x14ac:dyDescent="0.25">
      <c r="AE5" s="67" t="s">
        <v>31</v>
      </c>
      <c r="AF5" s="111" t="s">
        <v>32</v>
      </c>
      <c r="AG5" s="46">
        <v>1</v>
      </c>
      <c r="AH5" s="46">
        <v>1</v>
      </c>
      <c r="AI5" s="46">
        <f t="shared" si="0"/>
        <v>0</v>
      </c>
      <c r="AJ5" s="46">
        <v>5</v>
      </c>
      <c r="AK5" s="46">
        <f t="shared" si="1"/>
        <v>4</v>
      </c>
      <c r="AL5" s="46">
        <v>4</v>
      </c>
      <c r="AM5" s="46">
        <v>5</v>
      </c>
    </row>
    <row r="6" spans="1:39" x14ac:dyDescent="0.25">
      <c r="AE6" s="67" t="s">
        <v>35</v>
      </c>
      <c r="AF6" s="111" t="s">
        <v>36</v>
      </c>
      <c r="AG6" s="46">
        <v>2</v>
      </c>
      <c r="AH6" s="46">
        <v>1</v>
      </c>
      <c r="AI6" s="46">
        <f t="shared" si="0"/>
        <v>1</v>
      </c>
      <c r="AJ6" s="46">
        <v>5</v>
      </c>
      <c r="AK6" s="46">
        <f t="shared" si="1"/>
        <v>3</v>
      </c>
      <c r="AL6" s="46">
        <v>5</v>
      </c>
      <c r="AM6" s="46">
        <v>5</v>
      </c>
    </row>
    <row r="7" spans="1:39" x14ac:dyDescent="0.25">
      <c r="AE7" s="67" t="s">
        <v>56</v>
      </c>
      <c r="AF7" s="111" t="s">
        <v>57</v>
      </c>
      <c r="AG7" s="46">
        <v>2</v>
      </c>
      <c r="AH7" s="46">
        <v>1</v>
      </c>
      <c r="AI7" s="46">
        <f t="shared" si="0"/>
        <v>1</v>
      </c>
      <c r="AJ7" s="46">
        <v>5</v>
      </c>
      <c r="AK7" s="46">
        <f t="shared" si="1"/>
        <v>3</v>
      </c>
      <c r="AL7" s="46">
        <v>6</v>
      </c>
      <c r="AM7" s="46">
        <v>5</v>
      </c>
    </row>
    <row r="8" spans="1:39" x14ac:dyDescent="0.25">
      <c r="AE8" s="67" t="s">
        <v>156</v>
      </c>
      <c r="AF8" s="111" t="s">
        <v>157</v>
      </c>
      <c r="AG8" s="46">
        <v>2</v>
      </c>
      <c r="AH8" s="46">
        <v>1</v>
      </c>
      <c r="AI8" s="46">
        <f t="shared" si="0"/>
        <v>1</v>
      </c>
      <c r="AJ8" s="46">
        <v>5</v>
      </c>
      <c r="AK8" s="46">
        <f t="shared" si="1"/>
        <v>3</v>
      </c>
      <c r="AL8" s="46">
        <v>7</v>
      </c>
      <c r="AM8" s="46">
        <v>5</v>
      </c>
    </row>
    <row r="9" spans="1:39" x14ac:dyDescent="0.25">
      <c r="AE9" s="67" t="s">
        <v>124</v>
      </c>
      <c r="AF9" s="111" t="s">
        <v>125</v>
      </c>
      <c r="AG9" s="46">
        <v>2</v>
      </c>
      <c r="AH9" s="46">
        <v>1</v>
      </c>
      <c r="AI9" s="46">
        <f t="shared" si="0"/>
        <v>1</v>
      </c>
      <c r="AJ9" s="46">
        <v>6</v>
      </c>
      <c r="AK9" s="46">
        <f t="shared" si="1"/>
        <v>4</v>
      </c>
      <c r="AL9" s="46">
        <v>8</v>
      </c>
      <c r="AM9" s="46">
        <v>5</v>
      </c>
    </row>
    <row r="10" spans="1:39" x14ac:dyDescent="0.25">
      <c r="AE10" s="67" t="s">
        <v>126</v>
      </c>
      <c r="AF10" s="111" t="s">
        <v>127</v>
      </c>
      <c r="AG10" s="46">
        <v>2</v>
      </c>
      <c r="AH10" s="46">
        <v>1</v>
      </c>
      <c r="AI10" s="46">
        <f t="shared" si="0"/>
        <v>1</v>
      </c>
      <c r="AJ10" s="46">
        <v>7</v>
      </c>
      <c r="AK10" s="46">
        <f t="shared" si="1"/>
        <v>5</v>
      </c>
      <c r="AL10" s="46">
        <v>9</v>
      </c>
      <c r="AM10" s="46">
        <v>5</v>
      </c>
    </row>
    <row r="11" spans="1:39" x14ac:dyDescent="0.25">
      <c r="AE11" s="67" t="s">
        <v>140</v>
      </c>
      <c r="AF11" s="111" t="s">
        <v>141</v>
      </c>
      <c r="AG11" s="46">
        <v>2</v>
      </c>
      <c r="AH11" s="46">
        <v>1</v>
      </c>
      <c r="AI11" s="46">
        <f t="shared" si="0"/>
        <v>1</v>
      </c>
      <c r="AJ11" s="46">
        <v>7</v>
      </c>
      <c r="AK11" s="46">
        <f t="shared" si="1"/>
        <v>5</v>
      </c>
      <c r="AL11" s="46">
        <v>10</v>
      </c>
      <c r="AM11" s="46">
        <v>5</v>
      </c>
    </row>
    <row r="12" spans="1:39" x14ac:dyDescent="0.25">
      <c r="AE12" s="67" t="s">
        <v>122</v>
      </c>
      <c r="AF12" s="111" t="s">
        <v>123</v>
      </c>
      <c r="AG12" s="46">
        <v>3</v>
      </c>
      <c r="AH12" s="46">
        <v>0</v>
      </c>
      <c r="AI12" s="46">
        <f t="shared" si="0"/>
        <v>3</v>
      </c>
      <c r="AJ12" s="46">
        <v>7</v>
      </c>
      <c r="AK12" s="46">
        <f t="shared" si="1"/>
        <v>4</v>
      </c>
      <c r="AL12" s="46">
        <v>11</v>
      </c>
      <c r="AM12" s="46">
        <v>5</v>
      </c>
    </row>
    <row r="13" spans="1:39" x14ac:dyDescent="0.25">
      <c r="AE13" s="67" t="s">
        <v>120</v>
      </c>
      <c r="AF13" s="111" t="s">
        <v>121</v>
      </c>
      <c r="AG13" s="46">
        <v>3</v>
      </c>
      <c r="AH13" s="46">
        <v>1</v>
      </c>
      <c r="AI13" s="46">
        <f t="shared" si="0"/>
        <v>2</v>
      </c>
      <c r="AJ13" s="46">
        <v>5</v>
      </c>
      <c r="AK13" s="46">
        <f t="shared" si="1"/>
        <v>2</v>
      </c>
      <c r="AL13" s="46">
        <v>12</v>
      </c>
      <c r="AM13" s="46">
        <v>5</v>
      </c>
    </row>
    <row r="14" spans="1:39" x14ac:dyDescent="0.25">
      <c r="AE14" s="67" t="s">
        <v>25</v>
      </c>
      <c r="AF14" s="111" t="s">
        <v>26</v>
      </c>
      <c r="AG14" s="46">
        <v>3</v>
      </c>
      <c r="AH14" s="46">
        <v>1</v>
      </c>
      <c r="AI14" s="46">
        <f t="shared" si="0"/>
        <v>2</v>
      </c>
      <c r="AJ14" s="46">
        <v>6</v>
      </c>
      <c r="AK14" s="46">
        <f t="shared" si="1"/>
        <v>3</v>
      </c>
      <c r="AL14" s="46">
        <v>13</v>
      </c>
      <c r="AM14" s="46">
        <v>5</v>
      </c>
    </row>
    <row r="15" spans="1:39" x14ac:dyDescent="0.25">
      <c r="AE15" s="67" t="s">
        <v>39</v>
      </c>
      <c r="AF15" s="111" t="s">
        <v>216</v>
      </c>
      <c r="AG15" s="46">
        <v>3</v>
      </c>
      <c r="AH15" s="46">
        <v>1</v>
      </c>
      <c r="AI15" s="46">
        <f t="shared" si="0"/>
        <v>2</v>
      </c>
      <c r="AJ15" s="46">
        <v>6</v>
      </c>
      <c r="AK15" s="46">
        <f t="shared" si="1"/>
        <v>3</v>
      </c>
      <c r="AL15" s="46">
        <v>14</v>
      </c>
      <c r="AM15" s="46">
        <v>5</v>
      </c>
    </row>
    <row r="16" spans="1:39" x14ac:dyDescent="0.25">
      <c r="AE16" s="67" t="s">
        <v>87</v>
      </c>
      <c r="AF16" s="111" t="s">
        <v>88</v>
      </c>
      <c r="AG16" s="46">
        <v>3</v>
      </c>
      <c r="AH16" s="46">
        <v>1</v>
      </c>
      <c r="AI16" s="46">
        <f t="shared" si="0"/>
        <v>2</v>
      </c>
      <c r="AJ16" s="46">
        <v>6</v>
      </c>
      <c r="AK16" s="46">
        <f t="shared" si="1"/>
        <v>3</v>
      </c>
      <c r="AL16" s="46">
        <v>15</v>
      </c>
      <c r="AM16" s="46">
        <v>5</v>
      </c>
    </row>
    <row r="17" spans="2:39" x14ac:dyDescent="0.25">
      <c r="AE17" s="67" t="s">
        <v>170</v>
      </c>
      <c r="AF17" s="111" t="s">
        <v>171</v>
      </c>
      <c r="AG17" s="46">
        <v>3</v>
      </c>
      <c r="AH17" s="46">
        <v>1</v>
      </c>
      <c r="AI17" s="46">
        <f t="shared" si="0"/>
        <v>2</v>
      </c>
      <c r="AJ17" s="46">
        <v>6</v>
      </c>
      <c r="AK17" s="46">
        <f t="shared" si="1"/>
        <v>3</v>
      </c>
      <c r="AL17" s="46">
        <v>16</v>
      </c>
      <c r="AM17" s="46">
        <v>5</v>
      </c>
    </row>
    <row r="18" spans="2:39" x14ac:dyDescent="0.25">
      <c r="AE18" s="67" t="s">
        <v>172</v>
      </c>
      <c r="AF18" s="111" t="s">
        <v>173</v>
      </c>
      <c r="AG18" s="46">
        <v>3</v>
      </c>
      <c r="AH18" s="46">
        <v>1</v>
      </c>
      <c r="AI18" s="46">
        <f t="shared" si="0"/>
        <v>2</v>
      </c>
      <c r="AJ18" s="46">
        <v>6</v>
      </c>
      <c r="AK18" s="46">
        <f t="shared" si="1"/>
        <v>3</v>
      </c>
      <c r="AL18" s="46">
        <v>17</v>
      </c>
      <c r="AM18" s="46">
        <v>5</v>
      </c>
    </row>
    <row r="19" spans="2:39" x14ac:dyDescent="0.25">
      <c r="AE19" s="119" t="s">
        <v>176</v>
      </c>
      <c r="AF19" s="111" t="s">
        <v>177</v>
      </c>
      <c r="AG19" s="46">
        <v>3</v>
      </c>
      <c r="AH19" s="46">
        <v>1</v>
      </c>
      <c r="AI19" s="46">
        <f t="shared" si="0"/>
        <v>2</v>
      </c>
      <c r="AJ19" s="46">
        <v>6</v>
      </c>
      <c r="AK19" s="46">
        <f t="shared" si="1"/>
        <v>3</v>
      </c>
      <c r="AL19" s="46">
        <v>18</v>
      </c>
      <c r="AM19" s="46">
        <v>5</v>
      </c>
    </row>
    <row r="20" spans="2:39" x14ac:dyDescent="0.25">
      <c r="AE20" s="67" t="s">
        <v>33</v>
      </c>
      <c r="AF20" s="111" t="s">
        <v>34</v>
      </c>
      <c r="AG20" s="46">
        <v>3</v>
      </c>
      <c r="AH20" s="46">
        <v>1</v>
      </c>
      <c r="AI20" s="46">
        <f t="shared" si="0"/>
        <v>2</v>
      </c>
      <c r="AJ20" s="46">
        <v>7</v>
      </c>
      <c r="AK20" s="46">
        <f t="shared" si="1"/>
        <v>4</v>
      </c>
      <c r="AL20" s="46">
        <v>19</v>
      </c>
      <c r="AM20" s="46">
        <v>5</v>
      </c>
    </row>
    <row r="21" spans="2:39" x14ac:dyDescent="0.25">
      <c r="AE21" s="67" t="s">
        <v>42</v>
      </c>
      <c r="AF21" s="111" t="s">
        <v>43</v>
      </c>
      <c r="AG21" s="46">
        <v>3</v>
      </c>
      <c r="AH21" s="46">
        <v>1</v>
      </c>
      <c r="AI21" s="46">
        <f t="shared" si="0"/>
        <v>2</v>
      </c>
      <c r="AJ21" s="46">
        <v>7</v>
      </c>
      <c r="AK21" s="46">
        <f t="shared" si="1"/>
        <v>4</v>
      </c>
      <c r="AL21" s="46">
        <v>20</v>
      </c>
      <c r="AM21" s="46">
        <v>5</v>
      </c>
    </row>
    <row r="22" spans="2:39" x14ac:dyDescent="0.25">
      <c r="AE22" s="67" t="s">
        <v>91</v>
      </c>
      <c r="AF22" s="111" t="s">
        <v>92</v>
      </c>
      <c r="AG22" s="46">
        <v>3</v>
      </c>
      <c r="AH22" s="46">
        <v>1</v>
      </c>
      <c r="AI22" s="46">
        <f t="shared" si="0"/>
        <v>2</v>
      </c>
      <c r="AJ22" s="46">
        <v>7</v>
      </c>
      <c r="AK22" s="46">
        <f t="shared" si="1"/>
        <v>4</v>
      </c>
      <c r="AL22" s="46">
        <v>21</v>
      </c>
      <c r="AM22" s="46">
        <v>5</v>
      </c>
    </row>
    <row r="23" spans="2:39" x14ac:dyDescent="0.25">
      <c r="AE23" s="67" t="s">
        <v>154</v>
      </c>
      <c r="AF23" s="111" t="s">
        <v>155</v>
      </c>
      <c r="AG23" s="46">
        <v>3</v>
      </c>
      <c r="AH23" s="46">
        <v>1</v>
      </c>
      <c r="AI23" s="46">
        <f t="shared" si="0"/>
        <v>2</v>
      </c>
      <c r="AJ23" s="46">
        <v>7</v>
      </c>
      <c r="AK23" s="46">
        <f t="shared" si="1"/>
        <v>4</v>
      </c>
      <c r="AL23" s="46">
        <v>22</v>
      </c>
      <c r="AM23" s="46">
        <v>5</v>
      </c>
    </row>
    <row r="24" spans="2:39" x14ac:dyDescent="0.25">
      <c r="AE24" s="67" t="s">
        <v>15</v>
      </c>
      <c r="AF24" s="111" t="s">
        <v>16</v>
      </c>
      <c r="AG24" s="46">
        <v>3</v>
      </c>
      <c r="AH24" s="46">
        <v>1</v>
      </c>
      <c r="AI24" s="46">
        <f t="shared" si="0"/>
        <v>2</v>
      </c>
      <c r="AJ24" s="46">
        <v>8</v>
      </c>
      <c r="AK24" s="46">
        <f t="shared" si="1"/>
        <v>5</v>
      </c>
      <c r="AL24" s="46">
        <v>23</v>
      </c>
      <c r="AM24" s="46">
        <v>5</v>
      </c>
    </row>
    <row r="25" spans="2:39" x14ac:dyDescent="0.25">
      <c r="AE25" s="67" t="s">
        <v>166</v>
      </c>
      <c r="AF25" s="111" t="s">
        <v>167</v>
      </c>
      <c r="AG25" s="46">
        <v>3</v>
      </c>
      <c r="AH25" s="46">
        <v>1</v>
      </c>
      <c r="AI25" s="46">
        <f t="shared" si="0"/>
        <v>2</v>
      </c>
      <c r="AJ25" s="46">
        <v>8</v>
      </c>
      <c r="AK25" s="46">
        <f t="shared" si="1"/>
        <v>5</v>
      </c>
      <c r="AL25" s="46">
        <v>24</v>
      </c>
      <c r="AM25" s="46">
        <v>5</v>
      </c>
    </row>
    <row r="26" spans="2:39" x14ac:dyDescent="0.25">
      <c r="AE26" s="67" t="s">
        <v>138</v>
      </c>
      <c r="AF26" s="111" t="s">
        <v>139</v>
      </c>
      <c r="AG26" s="46">
        <v>3</v>
      </c>
      <c r="AH26" s="46">
        <v>1</v>
      </c>
      <c r="AI26" s="46">
        <f t="shared" si="0"/>
        <v>2</v>
      </c>
      <c r="AJ26" s="46">
        <v>9</v>
      </c>
      <c r="AK26" s="46">
        <f t="shared" si="1"/>
        <v>6</v>
      </c>
      <c r="AL26" s="46">
        <v>25</v>
      </c>
      <c r="AM26" s="46">
        <v>5</v>
      </c>
    </row>
    <row r="27" spans="2:39" x14ac:dyDescent="0.25">
      <c r="AE27" s="67" t="s">
        <v>44</v>
      </c>
      <c r="AF27" s="111" t="s">
        <v>45</v>
      </c>
      <c r="AG27" s="46">
        <v>3</v>
      </c>
      <c r="AH27" s="46">
        <v>2</v>
      </c>
      <c r="AI27" s="46">
        <f t="shared" si="0"/>
        <v>1</v>
      </c>
      <c r="AJ27" s="46">
        <v>6</v>
      </c>
      <c r="AK27" s="46">
        <f t="shared" si="1"/>
        <v>3</v>
      </c>
      <c r="AL27" s="46">
        <v>26</v>
      </c>
      <c r="AM27" s="46">
        <v>5</v>
      </c>
    </row>
    <row r="28" spans="2:39" ht="15.75" thickBot="1" x14ac:dyDescent="0.3">
      <c r="AE28" s="67" t="s">
        <v>144</v>
      </c>
      <c r="AF28" s="111" t="s">
        <v>145</v>
      </c>
      <c r="AG28" s="46">
        <v>4</v>
      </c>
      <c r="AH28" s="46">
        <v>1</v>
      </c>
      <c r="AI28" s="46">
        <f t="shared" si="0"/>
        <v>3</v>
      </c>
      <c r="AJ28" s="46">
        <v>6</v>
      </c>
      <c r="AK28" s="46">
        <f t="shared" si="1"/>
        <v>2</v>
      </c>
      <c r="AL28" s="46">
        <v>27</v>
      </c>
      <c r="AM28" s="46">
        <v>5</v>
      </c>
    </row>
    <row r="29" spans="2:39" ht="60.75" thickBot="1" x14ac:dyDescent="0.3">
      <c r="B29" s="37" t="s">
        <v>183</v>
      </c>
      <c r="C29" s="37" t="s">
        <v>189</v>
      </c>
      <c r="D29" s="82" t="s">
        <v>190</v>
      </c>
      <c r="E29" s="37" t="s">
        <v>206</v>
      </c>
      <c r="F29" s="82" t="s">
        <v>208</v>
      </c>
      <c r="G29" s="83" t="s">
        <v>1105</v>
      </c>
      <c r="H29" s="83" t="s">
        <v>523</v>
      </c>
      <c r="I29" s="83" t="s">
        <v>524</v>
      </c>
      <c r="AE29" s="67" t="s">
        <v>37</v>
      </c>
      <c r="AF29" s="111" t="s">
        <v>38</v>
      </c>
      <c r="AG29" s="46">
        <v>4</v>
      </c>
      <c r="AH29" s="46">
        <v>1</v>
      </c>
      <c r="AI29" s="46">
        <f t="shared" si="0"/>
        <v>3</v>
      </c>
      <c r="AJ29" s="46">
        <v>7</v>
      </c>
      <c r="AK29" s="46">
        <f t="shared" si="1"/>
        <v>3</v>
      </c>
      <c r="AL29" s="46">
        <v>28</v>
      </c>
      <c r="AM29" s="46">
        <v>5</v>
      </c>
    </row>
    <row r="30" spans="2:39" ht="15.75" thickBot="1" x14ac:dyDescent="0.3">
      <c r="B30" s="39" t="str">
        <f>B1</f>
        <v>Aneurin Bevan University Health Board</v>
      </c>
      <c r="C30" s="41" t="str">
        <f>VLOOKUP($B30,'Lower Limb Bypass'!$B:$I,8,FALSE)</f>
        <v>7A6</v>
      </c>
      <c r="D30" s="84">
        <f>VLOOKUP($B30,'Lower Limb Bypass'!$B:$I,2,FALSE)</f>
        <v>218</v>
      </c>
      <c r="E30" s="40" t="str">
        <f>VLOOKUP($B30,'Lower Limb Bypass'!$B:$I,3,FALSE)</f>
        <v>8 (4 - 17)</v>
      </c>
      <c r="F30" s="85">
        <f>VLOOKUP($B30,'Lower Limb Bypass'!$B:$I,4,FALSE)</f>
        <v>2.6464089999999999E-2</v>
      </c>
      <c r="G30" s="85">
        <f>VLOOKUP($B30,'Lower Limb Bypass'!$B:$I,5,FALSE)</f>
        <v>9.5000000000000001E-2</v>
      </c>
      <c r="H30" s="84">
        <f>VLOOKUP($B30,'Lower Limb Bypass'!$B:$I,6,FALSE)</f>
        <v>89</v>
      </c>
      <c r="I30" s="40" t="str">
        <f>VLOOKUP($B30,'Lower Limb Bypass'!$B:$I,7,FALSE)</f>
        <v>5 (2 - 8)</v>
      </c>
      <c r="AE30" s="67" t="s">
        <v>72</v>
      </c>
      <c r="AF30" s="111" t="s">
        <v>73</v>
      </c>
      <c r="AG30" s="46">
        <v>4</v>
      </c>
      <c r="AH30" s="46">
        <v>1</v>
      </c>
      <c r="AI30" s="46">
        <f t="shared" si="0"/>
        <v>3</v>
      </c>
      <c r="AJ30" s="46">
        <v>7</v>
      </c>
      <c r="AK30" s="46">
        <f t="shared" si="1"/>
        <v>3</v>
      </c>
      <c r="AL30" s="46">
        <v>29</v>
      </c>
      <c r="AM30" s="46">
        <v>5</v>
      </c>
    </row>
    <row r="31" spans="2:39" ht="15.75" thickBot="1" x14ac:dyDescent="0.3">
      <c r="B31" s="130" t="s">
        <v>827</v>
      </c>
      <c r="C31" s="130"/>
      <c r="D31" s="86">
        <v>17295</v>
      </c>
      <c r="E31" s="40" t="s">
        <v>1106</v>
      </c>
      <c r="F31" s="85">
        <v>2.5999999999999999E-2</v>
      </c>
      <c r="G31" s="85">
        <v>0.11600000000000001</v>
      </c>
      <c r="H31" s="87">
        <v>5668</v>
      </c>
      <c r="I31" s="40" t="s">
        <v>768</v>
      </c>
      <c r="AE31" s="67" t="s">
        <v>40</v>
      </c>
      <c r="AF31" s="111" t="s">
        <v>41</v>
      </c>
      <c r="AG31" s="46">
        <v>4</v>
      </c>
      <c r="AH31" s="46">
        <v>1</v>
      </c>
      <c r="AI31" s="46">
        <f t="shared" si="0"/>
        <v>3</v>
      </c>
      <c r="AJ31" s="46">
        <v>9</v>
      </c>
      <c r="AK31" s="46">
        <f t="shared" si="1"/>
        <v>5</v>
      </c>
      <c r="AL31" s="46">
        <v>30</v>
      </c>
      <c r="AM31" s="46">
        <v>5</v>
      </c>
    </row>
    <row r="32" spans="2:39" x14ac:dyDescent="0.25">
      <c r="AE32" s="67" t="s">
        <v>95</v>
      </c>
      <c r="AF32" s="111" t="s">
        <v>96</v>
      </c>
      <c r="AG32" s="46">
        <v>4</v>
      </c>
      <c r="AH32" s="46">
        <v>2</v>
      </c>
      <c r="AI32" s="46">
        <f t="shared" si="0"/>
        <v>2</v>
      </c>
      <c r="AJ32" s="46">
        <v>6</v>
      </c>
      <c r="AK32" s="46">
        <f t="shared" si="1"/>
        <v>2</v>
      </c>
      <c r="AL32" s="46">
        <v>31</v>
      </c>
      <c r="AM32" s="46">
        <v>5</v>
      </c>
    </row>
    <row r="33" spans="31:39" x14ac:dyDescent="0.25">
      <c r="AE33" s="67" t="s">
        <v>118</v>
      </c>
      <c r="AF33" s="111" t="s">
        <v>119</v>
      </c>
      <c r="AG33" s="46">
        <v>4</v>
      </c>
      <c r="AH33" s="46">
        <v>2</v>
      </c>
      <c r="AI33" s="46">
        <f t="shared" si="0"/>
        <v>2</v>
      </c>
      <c r="AJ33" s="46">
        <v>6</v>
      </c>
      <c r="AK33" s="46">
        <f t="shared" si="1"/>
        <v>2</v>
      </c>
      <c r="AL33" s="46">
        <v>32</v>
      </c>
      <c r="AM33" s="46">
        <v>5</v>
      </c>
    </row>
    <row r="34" spans="31:39" x14ac:dyDescent="0.25">
      <c r="AE34" s="67" t="s">
        <v>89</v>
      </c>
      <c r="AF34" s="111" t="s">
        <v>90</v>
      </c>
      <c r="AG34" s="46">
        <v>4</v>
      </c>
      <c r="AH34" s="46">
        <v>2</v>
      </c>
      <c r="AI34" s="46">
        <f t="shared" si="0"/>
        <v>2</v>
      </c>
      <c r="AJ34" s="46">
        <v>7</v>
      </c>
      <c r="AK34" s="46">
        <f t="shared" si="1"/>
        <v>3</v>
      </c>
      <c r="AL34" s="46">
        <v>33</v>
      </c>
      <c r="AM34" s="46">
        <v>5</v>
      </c>
    </row>
    <row r="35" spans="31:39" x14ac:dyDescent="0.25">
      <c r="AE35" s="67" t="s">
        <v>115</v>
      </c>
      <c r="AF35" s="111" t="s">
        <v>116</v>
      </c>
      <c r="AG35" s="46">
        <v>4</v>
      </c>
      <c r="AH35" s="46">
        <v>2</v>
      </c>
      <c r="AI35" s="46">
        <f t="shared" si="0"/>
        <v>2</v>
      </c>
      <c r="AJ35" s="46">
        <v>7</v>
      </c>
      <c r="AK35" s="46">
        <f t="shared" si="1"/>
        <v>3</v>
      </c>
      <c r="AL35" s="46">
        <v>34</v>
      </c>
      <c r="AM35" s="46">
        <v>5</v>
      </c>
    </row>
    <row r="36" spans="31:39" x14ac:dyDescent="0.25">
      <c r="AE36" s="67" t="s">
        <v>150</v>
      </c>
      <c r="AF36" s="111" t="s">
        <v>151</v>
      </c>
      <c r="AG36" s="46">
        <v>4</v>
      </c>
      <c r="AH36" s="46">
        <v>2</v>
      </c>
      <c r="AI36" s="46">
        <f t="shared" si="0"/>
        <v>2</v>
      </c>
      <c r="AJ36" s="46">
        <v>7</v>
      </c>
      <c r="AK36" s="46">
        <f t="shared" si="1"/>
        <v>3</v>
      </c>
      <c r="AL36" s="46">
        <v>35</v>
      </c>
      <c r="AM36" s="46">
        <v>5</v>
      </c>
    </row>
    <row r="37" spans="31:39" x14ac:dyDescent="0.25">
      <c r="AE37" s="119" t="s">
        <v>180</v>
      </c>
      <c r="AF37" s="111" t="s">
        <v>181</v>
      </c>
      <c r="AG37" s="46">
        <v>4</v>
      </c>
      <c r="AH37" s="46">
        <v>2</v>
      </c>
      <c r="AI37" s="46">
        <f t="shared" si="0"/>
        <v>2</v>
      </c>
      <c r="AJ37" s="46">
        <v>7</v>
      </c>
      <c r="AK37" s="46">
        <f t="shared" si="1"/>
        <v>3</v>
      </c>
      <c r="AL37" s="46">
        <v>36</v>
      </c>
      <c r="AM37" s="46">
        <v>5</v>
      </c>
    </row>
    <row r="38" spans="31:39" x14ac:dyDescent="0.25">
      <c r="AE38" s="67" t="s">
        <v>128</v>
      </c>
      <c r="AF38" s="111" t="s">
        <v>129</v>
      </c>
      <c r="AG38" s="46">
        <v>4</v>
      </c>
      <c r="AH38" s="46">
        <v>2</v>
      </c>
      <c r="AI38" s="46">
        <f t="shared" si="0"/>
        <v>2</v>
      </c>
      <c r="AJ38" s="46">
        <v>8</v>
      </c>
      <c r="AK38" s="46">
        <f t="shared" si="1"/>
        <v>4</v>
      </c>
      <c r="AL38" s="46">
        <v>37</v>
      </c>
      <c r="AM38" s="46">
        <v>5</v>
      </c>
    </row>
    <row r="39" spans="31:39" x14ac:dyDescent="0.25">
      <c r="AE39" s="67" t="s">
        <v>142</v>
      </c>
      <c r="AF39" s="111" t="s">
        <v>143</v>
      </c>
      <c r="AG39" s="46">
        <v>5</v>
      </c>
      <c r="AH39" s="46">
        <v>0</v>
      </c>
      <c r="AI39" s="46">
        <f t="shared" si="0"/>
        <v>5</v>
      </c>
      <c r="AJ39" s="46">
        <v>11</v>
      </c>
      <c r="AK39" s="46">
        <f t="shared" si="1"/>
        <v>6</v>
      </c>
      <c r="AL39" s="46">
        <v>38</v>
      </c>
      <c r="AM39" s="46">
        <v>5</v>
      </c>
    </row>
    <row r="40" spans="31:39" x14ac:dyDescent="0.25">
      <c r="AE40" s="67" t="s">
        <v>66</v>
      </c>
      <c r="AF40" s="111" t="s">
        <v>67</v>
      </c>
      <c r="AG40" s="46">
        <v>5</v>
      </c>
      <c r="AH40" s="46">
        <v>1</v>
      </c>
      <c r="AI40" s="46">
        <f t="shared" si="0"/>
        <v>4</v>
      </c>
      <c r="AJ40" s="46">
        <v>8</v>
      </c>
      <c r="AK40" s="46">
        <f t="shared" si="1"/>
        <v>3</v>
      </c>
      <c r="AL40" s="46">
        <v>39</v>
      </c>
      <c r="AM40" s="46">
        <v>5</v>
      </c>
    </row>
    <row r="41" spans="31:39" x14ac:dyDescent="0.25">
      <c r="AE41" s="67" t="s">
        <v>77</v>
      </c>
      <c r="AF41" s="111" t="s">
        <v>78</v>
      </c>
      <c r="AG41" s="46">
        <v>5</v>
      </c>
      <c r="AH41" s="46">
        <v>1</v>
      </c>
      <c r="AI41" s="46">
        <f t="shared" si="0"/>
        <v>4</v>
      </c>
      <c r="AJ41" s="46">
        <v>8</v>
      </c>
      <c r="AK41" s="46">
        <f t="shared" si="1"/>
        <v>3</v>
      </c>
      <c r="AL41" s="46">
        <v>40</v>
      </c>
      <c r="AM41" s="46">
        <v>5</v>
      </c>
    </row>
    <row r="42" spans="31:39" x14ac:dyDescent="0.25">
      <c r="AE42" s="67" t="s">
        <v>60</v>
      </c>
      <c r="AF42" s="111" t="s">
        <v>61</v>
      </c>
      <c r="AG42" s="46">
        <v>5</v>
      </c>
      <c r="AH42" s="46">
        <v>1</v>
      </c>
      <c r="AI42" s="46">
        <f t="shared" si="0"/>
        <v>4</v>
      </c>
      <c r="AJ42" s="46">
        <v>9</v>
      </c>
      <c r="AK42" s="46">
        <f t="shared" si="1"/>
        <v>4</v>
      </c>
      <c r="AL42" s="46">
        <v>41</v>
      </c>
      <c r="AM42" s="46">
        <v>5</v>
      </c>
    </row>
    <row r="43" spans="31:39" x14ac:dyDescent="0.25">
      <c r="AE43" s="67" t="s">
        <v>99</v>
      </c>
      <c r="AF43" s="111" t="s">
        <v>100</v>
      </c>
      <c r="AG43" s="46">
        <v>5</v>
      </c>
      <c r="AH43" s="46">
        <v>1</v>
      </c>
      <c r="AI43" s="46">
        <f t="shared" si="0"/>
        <v>4</v>
      </c>
      <c r="AJ43" s="46">
        <v>9</v>
      </c>
      <c r="AK43" s="46">
        <f t="shared" si="1"/>
        <v>4</v>
      </c>
      <c r="AL43" s="46">
        <v>42</v>
      </c>
      <c r="AM43" s="46">
        <v>5</v>
      </c>
    </row>
    <row r="44" spans="31:39" x14ac:dyDescent="0.25">
      <c r="AE44" s="67" t="s">
        <v>13</v>
      </c>
      <c r="AF44" s="111" t="s">
        <v>14</v>
      </c>
      <c r="AG44" s="46">
        <v>5</v>
      </c>
      <c r="AH44" s="46">
        <v>1</v>
      </c>
      <c r="AI44" s="46">
        <f t="shared" si="0"/>
        <v>4</v>
      </c>
      <c r="AJ44" s="46">
        <v>11</v>
      </c>
      <c r="AK44" s="46">
        <f t="shared" si="1"/>
        <v>6</v>
      </c>
      <c r="AL44" s="46">
        <v>43</v>
      </c>
      <c r="AM44" s="46">
        <v>5</v>
      </c>
    </row>
    <row r="45" spans="31:39" x14ac:dyDescent="0.25">
      <c r="AE45" s="67" t="s">
        <v>83</v>
      </c>
      <c r="AF45" s="111" t="s">
        <v>84</v>
      </c>
      <c r="AG45" s="46">
        <v>5</v>
      </c>
      <c r="AH45" s="46">
        <v>2</v>
      </c>
      <c r="AI45" s="46">
        <f t="shared" si="0"/>
        <v>3</v>
      </c>
      <c r="AJ45" s="46">
        <v>7</v>
      </c>
      <c r="AK45" s="46">
        <f t="shared" si="1"/>
        <v>2</v>
      </c>
      <c r="AL45" s="46">
        <v>44</v>
      </c>
      <c r="AM45" s="46">
        <v>5</v>
      </c>
    </row>
    <row r="46" spans="31:39" x14ac:dyDescent="0.25">
      <c r="AE46" s="67" t="s">
        <v>9</v>
      </c>
      <c r="AF46" s="111" t="s">
        <v>10</v>
      </c>
      <c r="AG46" s="46">
        <v>5</v>
      </c>
      <c r="AH46" s="46">
        <v>2</v>
      </c>
      <c r="AI46" s="46">
        <f t="shared" si="0"/>
        <v>3</v>
      </c>
      <c r="AJ46" s="46">
        <v>8</v>
      </c>
      <c r="AK46" s="46">
        <f t="shared" si="1"/>
        <v>3</v>
      </c>
      <c r="AL46" s="46">
        <v>45</v>
      </c>
      <c r="AM46" s="46">
        <v>5</v>
      </c>
    </row>
    <row r="47" spans="31:39" x14ac:dyDescent="0.25">
      <c r="AE47" s="67" t="s">
        <v>58</v>
      </c>
      <c r="AF47" s="111" t="s">
        <v>59</v>
      </c>
      <c r="AG47" s="46">
        <v>5</v>
      </c>
      <c r="AH47" s="46">
        <v>2</v>
      </c>
      <c r="AI47" s="46">
        <f t="shared" si="0"/>
        <v>3</v>
      </c>
      <c r="AJ47" s="46">
        <v>8</v>
      </c>
      <c r="AK47" s="46">
        <f t="shared" si="1"/>
        <v>3</v>
      </c>
      <c r="AL47" s="46">
        <v>46</v>
      </c>
      <c r="AM47" s="46">
        <v>5</v>
      </c>
    </row>
    <row r="48" spans="31:39" x14ac:dyDescent="0.25">
      <c r="AE48" s="67" t="s">
        <v>107</v>
      </c>
      <c r="AF48" s="111" t="s">
        <v>108</v>
      </c>
      <c r="AG48" s="46">
        <v>5</v>
      </c>
      <c r="AH48" s="46">
        <v>2</v>
      </c>
      <c r="AI48" s="46">
        <f t="shared" si="0"/>
        <v>3</v>
      </c>
      <c r="AJ48" s="46">
        <v>8</v>
      </c>
      <c r="AK48" s="46">
        <f t="shared" si="1"/>
        <v>3</v>
      </c>
      <c r="AL48" s="46">
        <v>47</v>
      </c>
      <c r="AM48" s="46">
        <v>5</v>
      </c>
    </row>
    <row r="49" spans="31:39" x14ac:dyDescent="0.25">
      <c r="AE49" s="67" t="s">
        <v>70</v>
      </c>
      <c r="AF49" s="111" t="s">
        <v>71</v>
      </c>
      <c r="AG49" s="46">
        <v>5</v>
      </c>
      <c r="AH49" s="46">
        <v>2</v>
      </c>
      <c r="AI49" s="46">
        <f t="shared" si="0"/>
        <v>3</v>
      </c>
      <c r="AJ49" s="46">
        <v>9</v>
      </c>
      <c r="AK49" s="46">
        <f t="shared" si="1"/>
        <v>4</v>
      </c>
      <c r="AL49" s="46">
        <v>48</v>
      </c>
      <c r="AM49" s="46">
        <v>5</v>
      </c>
    </row>
    <row r="50" spans="31:39" x14ac:dyDescent="0.25">
      <c r="AE50" s="67" t="s">
        <v>164</v>
      </c>
      <c r="AF50" s="111" t="s">
        <v>165</v>
      </c>
      <c r="AG50" s="46">
        <v>5</v>
      </c>
      <c r="AH50" s="46">
        <v>3</v>
      </c>
      <c r="AI50" s="46">
        <f t="shared" si="0"/>
        <v>2</v>
      </c>
      <c r="AJ50" s="46">
        <v>7</v>
      </c>
      <c r="AK50" s="46">
        <f t="shared" si="1"/>
        <v>2</v>
      </c>
      <c r="AL50" s="46">
        <v>49</v>
      </c>
      <c r="AM50" s="46">
        <v>5</v>
      </c>
    </row>
    <row r="51" spans="31:39" x14ac:dyDescent="0.25">
      <c r="AE51" s="67" t="s">
        <v>134</v>
      </c>
      <c r="AF51" s="111" t="s">
        <v>135</v>
      </c>
      <c r="AG51" s="46">
        <v>5</v>
      </c>
      <c r="AH51" s="46">
        <v>3</v>
      </c>
      <c r="AI51" s="46">
        <f t="shared" si="0"/>
        <v>2</v>
      </c>
      <c r="AJ51" s="46">
        <v>8</v>
      </c>
      <c r="AK51" s="46">
        <f t="shared" si="1"/>
        <v>3</v>
      </c>
      <c r="AL51" s="46">
        <v>50</v>
      </c>
      <c r="AM51" s="46">
        <v>5</v>
      </c>
    </row>
    <row r="52" spans="31:39" x14ac:dyDescent="0.25">
      <c r="AE52" s="67" t="s">
        <v>93</v>
      </c>
      <c r="AF52" s="111" t="s">
        <v>94</v>
      </c>
      <c r="AG52" s="46">
        <v>5</v>
      </c>
      <c r="AH52" s="46">
        <v>3</v>
      </c>
      <c r="AI52" s="46">
        <f t="shared" si="0"/>
        <v>2</v>
      </c>
      <c r="AJ52" s="46">
        <v>9</v>
      </c>
      <c r="AK52" s="46">
        <f t="shared" si="1"/>
        <v>4</v>
      </c>
      <c r="AL52" s="46">
        <v>51</v>
      </c>
      <c r="AM52" s="46">
        <v>5</v>
      </c>
    </row>
    <row r="53" spans="31:39" x14ac:dyDescent="0.25">
      <c r="AE53" s="67" t="s">
        <v>74</v>
      </c>
      <c r="AF53" s="111" t="s">
        <v>75</v>
      </c>
      <c r="AG53" s="46">
        <v>5</v>
      </c>
      <c r="AH53" s="46">
        <v>3</v>
      </c>
      <c r="AI53" s="46">
        <f t="shared" si="0"/>
        <v>2</v>
      </c>
      <c r="AJ53" s="46">
        <v>11</v>
      </c>
      <c r="AK53" s="46">
        <f t="shared" si="1"/>
        <v>6</v>
      </c>
      <c r="AL53" s="46">
        <v>52</v>
      </c>
      <c r="AM53" s="46">
        <v>5</v>
      </c>
    </row>
    <row r="54" spans="31:39" x14ac:dyDescent="0.25">
      <c r="AE54" s="67" t="s">
        <v>23</v>
      </c>
      <c r="AF54" s="111" t="s">
        <v>24</v>
      </c>
      <c r="AG54" s="46">
        <v>6</v>
      </c>
      <c r="AH54" s="46">
        <v>1</v>
      </c>
      <c r="AI54" s="46">
        <f t="shared" si="0"/>
        <v>5</v>
      </c>
      <c r="AJ54" s="46">
        <v>8</v>
      </c>
      <c r="AK54" s="46">
        <f t="shared" si="1"/>
        <v>2</v>
      </c>
      <c r="AL54" s="46">
        <v>53</v>
      </c>
      <c r="AM54" s="46">
        <v>5</v>
      </c>
    </row>
    <row r="55" spans="31:39" x14ac:dyDescent="0.25">
      <c r="AE55" s="67" t="s">
        <v>76</v>
      </c>
      <c r="AF55" s="111" t="s">
        <v>215</v>
      </c>
      <c r="AG55" s="46">
        <v>6</v>
      </c>
      <c r="AH55" s="46">
        <v>1</v>
      </c>
      <c r="AI55" s="46">
        <f t="shared" si="0"/>
        <v>5</v>
      </c>
      <c r="AJ55" s="46">
        <v>10</v>
      </c>
      <c r="AK55" s="46">
        <f t="shared" si="1"/>
        <v>4</v>
      </c>
      <c r="AL55" s="46">
        <v>54</v>
      </c>
      <c r="AM55" s="46">
        <v>5</v>
      </c>
    </row>
    <row r="56" spans="31:39" x14ac:dyDescent="0.25">
      <c r="AE56" s="67" t="s">
        <v>174</v>
      </c>
      <c r="AF56" s="111" t="s">
        <v>175</v>
      </c>
      <c r="AG56" s="46">
        <v>6</v>
      </c>
      <c r="AH56" s="46">
        <v>1</v>
      </c>
      <c r="AI56" s="46">
        <f t="shared" si="0"/>
        <v>5</v>
      </c>
      <c r="AJ56" s="46">
        <v>12</v>
      </c>
      <c r="AK56" s="46">
        <f t="shared" si="1"/>
        <v>6</v>
      </c>
      <c r="AL56" s="46">
        <v>55</v>
      </c>
      <c r="AM56" s="46">
        <v>5</v>
      </c>
    </row>
    <row r="57" spans="31:39" x14ac:dyDescent="0.25">
      <c r="AE57" s="67" t="s">
        <v>21</v>
      </c>
      <c r="AF57" s="111" t="s">
        <v>22</v>
      </c>
      <c r="AG57" s="46">
        <v>6</v>
      </c>
      <c r="AH57" s="46">
        <v>2</v>
      </c>
      <c r="AI57" s="46">
        <f t="shared" si="0"/>
        <v>4</v>
      </c>
      <c r="AJ57" s="46">
        <v>10</v>
      </c>
      <c r="AK57" s="46">
        <f t="shared" si="1"/>
        <v>4</v>
      </c>
      <c r="AL57" s="46">
        <v>56</v>
      </c>
      <c r="AM57" s="46">
        <v>5</v>
      </c>
    </row>
    <row r="58" spans="31:39" x14ac:dyDescent="0.25">
      <c r="AE58" s="67" t="s">
        <v>54</v>
      </c>
      <c r="AF58" s="111" t="s">
        <v>55</v>
      </c>
      <c r="AG58" s="46">
        <v>6</v>
      </c>
      <c r="AH58" s="46">
        <v>2</v>
      </c>
      <c r="AI58" s="46">
        <f t="shared" si="0"/>
        <v>4</v>
      </c>
      <c r="AJ58" s="46">
        <v>10</v>
      </c>
      <c r="AK58" s="46">
        <f t="shared" si="1"/>
        <v>4</v>
      </c>
      <c r="AL58" s="46">
        <v>57</v>
      </c>
      <c r="AM58" s="46">
        <v>5</v>
      </c>
    </row>
    <row r="59" spans="31:39" x14ac:dyDescent="0.25">
      <c r="AE59" s="67" t="s">
        <v>68</v>
      </c>
      <c r="AF59" s="111" t="s">
        <v>69</v>
      </c>
      <c r="AG59" s="46">
        <v>6</v>
      </c>
      <c r="AH59" s="46">
        <v>3</v>
      </c>
      <c r="AI59" s="46">
        <f t="shared" si="0"/>
        <v>3</v>
      </c>
      <c r="AJ59" s="46">
        <v>9</v>
      </c>
      <c r="AK59" s="46">
        <f t="shared" si="1"/>
        <v>3</v>
      </c>
      <c r="AL59" s="46">
        <v>58</v>
      </c>
      <c r="AM59" s="46">
        <v>5</v>
      </c>
    </row>
    <row r="60" spans="31:39" x14ac:dyDescent="0.25">
      <c r="AE60" s="67" t="s">
        <v>117</v>
      </c>
      <c r="AF60" s="113" t="s">
        <v>773</v>
      </c>
      <c r="AG60" s="46">
        <v>6</v>
      </c>
      <c r="AH60" s="46">
        <v>3</v>
      </c>
      <c r="AI60" s="46">
        <f t="shared" si="0"/>
        <v>3</v>
      </c>
      <c r="AJ60" s="46">
        <v>9</v>
      </c>
      <c r="AK60" s="46">
        <f t="shared" si="1"/>
        <v>3</v>
      </c>
      <c r="AL60" s="46">
        <v>59</v>
      </c>
      <c r="AM60" s="46">
        <v>5</v>
      </c>
    </row>
    <row r="61" spans="31:39" x14ac:dyDescent="0.25">
      <c r="AE61" s="67" t="s">
        <v>97</v>
      </c>
      <c r="AF61" s="111" t="s">
        <v>98</v>
      </c>
      <c r="AG61" s="46">
        <v>6</v>
      </c>
      <c r="AH61" s="46">
        <v>3</v>
      </c>
      <c r="AI61" s="46">
        <f t="shared" si="0"/>
        <v>3</v>
      </c>
      <c r="AJ61" s="46">
        <v>10</v>
      </c>
      <c r="AK61" s="46">
        <f t="shared" si="1"/>
        <v>4</v>
      </c>
      <c r="AL61" s="46">
        <v>60</v>
      </c>
      <c r="AM61" s="46">
        <v>5</v>
      </c>
    </row>
    <row r="62" spans="31:39" x14ac:dyDescent="0.25">
      <c r="AE62" s="67" t="s">
        <v>105</v>
      </c>
      <c r="AF62" s="111" t="s">
        <v>106</v>
      </c>
      <c r="AG62" s="46">
        <v>6</v>
      </c>
      <c r="AH62" s="46">
        <v>3</v>
      </c>
      <c r="AI62" s="46">
        <f t="shared" si="0"/>
        <v>3</v>
      </c>
      <c r="AJ62" s="46">
        <v>11</v>
      </c>
      <c r="AK62" s="46">
        <f t="shared" si="1"/>
        <v>5</v>
      </c>
      <c r="AL62" s="46">
        <v>61</v>
      </c>
      <c r="AM62" s="46">
        <v>5</v>
      </c>
    </row>
    <row r="63" spans="31:39" x14ac:dyDescent="0.25">
      <c r="AE63" s="67" t="s">
        <v>11</v>
      </c>
      <c r="AF63" s="111" t="s">
        <v>12</v>
      </c>
      <c r="AG63" s="46">
        <v>6</v>
      </c>
      <c r="AH63" s="46">
        <v>3</v>
      </c>
      <c r="AI63" s="46">
        <f t="shared" si="0"/>
        <v>3</v>
      </c>
      <c r="AJ63" s="46">
        <v>13</v>
      </c>
      <c r="AK63" s="46">
        <f t="shared" si="1"/>
        <v>7</v>
      </c>
      <c r="AL63" s="46">
        <v>62</v>
      </c>
      <c r="AM63" s="46">
        <v>5</v>
      </c>
    </row>
    <row r="64" spans="31:39" x14ac:dyDescent="0.25">
      <c r="AE64" s="67" t="s">
        <v>81</v>
      </c>
      <c r="AF64" s="111" t="s">
        <v>82</v>
      </c>
      <c r="AG64" s="46">
        <v>6</v>
      </c>
      <c r="AH64" s="46">
        <v>4</v>
      </c>
      <c r="AI64" s="46">
        <f t="shared" si="0"/>
        <v>2</v>
      </c>
      <c r="AJ64" s="46">
        <v>8</v>
      </c>
      <c r="AK64" s="46">
        <f t="shared" si="1"/>
        <v>2</v>
      </c>
      <c r="AL64" s="46">
        <v>63</v>
      </c>
      <c r="AM64" s="46">
        <v>5</v>
      </c>
    </row>
    <row r="65" spans="31:39" x14ac:dyDescent="0.25">
      <c r="AE65" s="67" t="s">
        <v>152</v>
      </c>
      <c r="AF65" s="111" t="s">
        <v>153</v>
      </c>
      <c r="AG65" s="46">
        <v>6</v>
      </c>
      <c r="AH65" s="46">
        <v>4</v>
      </c>
      <c r="AI65" s="46">
        <f t="shared" si="0"/>
        <v>2</v>
      </c>
      <c r="AJ65" s="46">
        <v>9</v>
      </c>
      <c r="AK65" s="46">
        <f t="shared" si="1"/>
        <v>3</v>
      </c>
      <c r="AL65" s="46">
        <v>64</v>
      </c>
      <c r="AM65" s="46">
        <v>5</v>
      </c>
    </row>
    <row r="66" spans="31:39" x14ac:dyDescent="0.25">
      <c r="AE66" s="67" t="s">
        <v>7</v>
      </c>
      <c r="AF66" s="111" t="s">
        <v>8</v>
      </c>
      <c r="AG66" s="46">
        <v>7</v>
      </c>
      <c r="AH66" s="46">
        <v>3</v>
      </c>
      <c r="AI66" s="46">
        <f t="shared" si="0"/>
        <v>4</v>
      </c>
      <c r="AJ66" s="46">
        <v>9</v>
      </c>
      <c r="AK66" s="46">
        <f t="shared" si="1"/>
        <v>2</v>
      </c>
      <c r="AL66" s="46">
        <v>65</v>
      </c>
      <c r="AM66" s="46">
        <v>5</v>
      </c>
    </row>
    <row r="67" spans="31:39" x14ac:dyDescent="0.25">
      <c r="AE67" s="67" t="s">
        <v>148</v>
      </c>
      <c r="AF67" s="111" t="s">
        <v>149</v>
      </c>
      <c r="AG67" s="46">
        <v>7</v>
      </c>
      <c r="AH67" s="46">
        <v>3</v>
      </c>
      <c r="AI67" s="46">
        <f t="shared" ref="AI67:AI76" si="2">AG67-AH67</f>
        <v>4</v>
      </c>
      <c r="AJ67" s="46">
        <v>10</v>
      </c>
      <c r="AK67" s="46">
        <f t="shared" ref="AK67:AK76" si="3">AJ67-AG67</f>
        <v>3</v>
      </c>
      <c r="AL67" s="46">
        <v>66</v>
      </c>
      <c r="AM67" s="46">
        <v>5</v>
      </c>
    </row>
    <row r="68" spans="31:39" x14ac:dyDescent="0.25">
      <c r="AE68" s="67" t="s">
        <v>4</v>
      </c>
      <c r="AF68" s="111" t="s">
        <v>214</v>
      </c>
      <c r="AG68" s="46">
        <v>7</v>
      </c>
      <c r="AH68" s="46">
        <v>4</v>
      </c>
      <c r="AI68" s="46">
        <f t="shared" si="2"/>
        <v>3</v>
      </c>
      <c r="AJ68" s="46">
        <v>11</v>
      </c>
      <c r="AK68" s="46">
        <f t="shared" si="3"/>
        <v>4</v>
      </c>
      <c r="AL68" s="46">
        <v>67</v>
      </c>
      <c r="AM68" s="46">
        <v>5</v>
      </c>
    </row>
    <row r="69" spans="31:39" x14ac:dyDescent="0.25">
      <c r="AE69" s="67" t="s">
        <v>130</v>
      </c>
      <c r="AF69" s="111" t="s">
        <v>131</v>
      </c>
      <c r="AG69" s="46">
        <v>7</v>
      </c>
      <c r="AH69" s="46">
        <v>4</v>
      </c>
      <c r="AI69" s="46">
        <f t="shared" si="2"/>
        <v>3</v>
      </c>
      <c r="AJ69" s="46">
        <v>11</v>
      </c>
      <c r="AK69" s="46">
        <f t="shared" si="3"/>
        <v>4</v>
      </c>
      <c r="AL69" s="46">
        <v>68</v>
      </c>
      <c r="AM69" s="46">
        <v>5</v>
      </c>
    </row>
    <row r="70" spans="31:39" x14ac:dyDescent="0.25">
      <c r="AE70" s="67" t="s">
        <v>132</v>
      </c>
      <c r="AF70" s="111" t="s">
        <v>133</v>
      </c>
      <c r="AG70" s="46">
        <v>8</v>
      </c>
      <c r="AH70" s="46">
        <v>2</v>
      </c>
      <c r="AI70" s="46">
        <f t="shared" si="2"/>
        <v>6</v>
      </c>
      <c r="AJ70" s="46">
        <v>14</v>
      </c>
      <c r="AK70" s="46">
        <f t="shared" si="3"/>
        <v>6</v>
      </c>
      <c r="AL70" s="46">
        <v>69</v>
      </c>
      <c r="AM70" s="46">
        <v>5</v>
      </c>
    </row>
    <row r="71" spans="31:39" x14ac:dyDescent="0.25">
      <c r="AE71" s="67" t="s">
        <v>113</v>
      </c>
      <c r="AF71" s="111" t="s">
        <v>114</v>
      </c>
      <c r="AG71" s="46">
        <v>8</v>
      </c>
      <c r="AH71" s="46">
        <v>3</v>
      </c>
      <c r="AI71" s="46">
        <f t="shared" si="2"/>
        <v>5</v>
      </c>
      <c r="AJ71" s="46">
        <v>10</v>
      </c>
      <c r="AK71" s="46">
        <f t="shared" si="3"/>
        <v>2</v>
      </c>
      <c r="AL71" s="46">
        <v>70</v>
      </c>
      <c r="AM71" s="46">
        <v>5</v>
      </c>
    </row>
    <row r="72" spans="31:39" x14ac:dyDescent="0.25">
      <c r="AE72" s="67" t="s">
        <v>19</v>
      </c>
      <c r="AF72" s="111" t="s">
        <v>20</v>
      </c>
      <c r="AG72" s="46">
        <v>8</v>
      </c>
      <c r="AH72" s="46">
        <v>4</v>
      </c>
      <c r="AI72" s="46">
        <f t="shared" si="2"/>
        <v>4</v>
      </c>
      <c r="AJ72" s="46">
        <v>12</v>
      </c>
      <c r="AK72" s="46">
        <f t="shared" si="3"/>
        <v>4</v>
      </c>
      <c r="AL72" s="46">
        <v>71</v>
      </c>
      <c r="AM72" s="46">
        <v>5</v>
      </c>
    </row>
    <row r="73" spans="31:39" x14ac:dyDescent="0.25">
      <c r="AE73" s="67" t="s">
        <v>158</v>
      </c>
      <c r="AF73" s="111" t="s">
        <v>159</v>
      </c>
      <c r="AG73" s="46">
        <v>8</v>
      </c>
      <c r="AH73" s="46">
        <v>5</v>
      </c>
      <c r="AI73" s="46">
        <f t="shared" si="2"/>
        <v>3</v>
      </c>
      <c r="AJ73" s="46">
        <v>12</v>
      </c>
      <c r="AK73" s="46">
        <f t="shared" si="3"/>
        <v>4</v>
      </c>
      <c r="AL73" s="46">
        <v>72</v>
      </c>
      <c r="AM73" s="46">
        <v>5</v>
      </c>
    </row>
    <row r="74" spans="31:39" x14ac:dyDescent="0.25">
      <c r="AE74" s="67" t="s">
        <v>136</v>
      </c>
      <c r="AF74" s="111" t="s">
        <v>137</v>
      </c>
      <c r="AG74" s="46">
        <v>9</v>
      </c>
      <c r="AH74" s="46">
        <v>6</v>
      </c>
      <c r="AI74" s="46">
        <f t="shared" si="2"/>
        <v>3</v>
      </c>
      <c r="AJ74" s="46">
        <v>16</v>
      </c>
      <c r="AK74" s="46">
        <f t="shared" si="3"/>
        <v>7</v>
      </c>
      <c r="AL74" s="46">
        <v>73</v>
      </c>
      <c r="AM74" s="46">
        <v>5</v>
      </c>
    </row>
    <row r="75" spans="31:39" x14ac:dyDescent="0.25">
      <c r="AE75" s="67" t="s">
        <v>160</v>
      </c>
      <c r="AF75" s="111" t="s">
        <v>161</v>
      </c>
      <c r="AG75" s="112">
        <v>11</v>
      </c>
      <c r="AH75" s="46">
        <v>6</v>
      </c>
      <c r="AI75" s="46">
        <f t="shared" si="2"/>
        <v>5</v>
      </c>
      <c r="AJ75" s="46">
        <v>15</v>
      </c>
      <c r="AK75" s="46">
        <f t="shared" si="3"/>
        <v>4</v>
      </c>
      <c r="AL75" s="46">
        <v>74</v>
      </c>
      <c r="AM75" s="46">
        <v>5</v>
      </c>
    </row>
    <row r="76" spans="31:39" x14ac:dyDescent="0.25">
      <c r="AE76" s="67" t="s">
        <v>48</v>
      </c>
      <c r="AF76" s="111" t="s">
        <v>49</v>
      </c>
      <c r="AG76" s="112">
        <v>13</v>
      </c>
      <c r="AH76" s="46">
        <v>8</v>
      </c>
      <c r="AI76" s="46">
        <f t="shared" si="2"/>
        <v>5</v>
      </c>
      <c r="AJ76" s="46">
        <v>28</v>
      </c>
      <c r="AK76" s="46">
        <f t="shared" si="3"/>
        <v>15</v>
      </c>
      <c r="AL76" s="46">
        <v>75</v>
      </c>
      <c r="AM76" s="46">
        <v>5</v>
      </c>
    </row>
  </sheetData>
  <mergeCells count="1">
    <mergeCell ref="B31:C3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'Lower Limb Bypass'!$B$2:$B$83</xm:f>
          </x14:formula1>
          <xm:sqref>B1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6"/>
  <sheetViews>
    <sheetView showGridLines="0" zoomScaleNormal="100" workbookViewId="0">
      <selection activeCell="B1" sqref="B1"/>
    </sheetView>
  </sheetViews>
  <sheetFormatPr defaultRowHeight="15" x14ac:dyDescent="0.25"/>
  <cols>
    <col min="1" max="1" width="12.42578125" bestFit="1" customWidth="1"/>
    <col min="2" max="2" width="62.42578125" customWidth="1"/>
    <col min="5" max="5" width="13.28515625" customWidth="1"/>
    <col min="7" max="7" width="10.85546875" customWidth="1"/>
    <col min="18" max="18" width="33.140625" bestFit="1" customWidth="1"/>
    <col min="27" max="31" width="9.140625" style="46"/>
    <col min="32" max="32" width="63.7109375" style="46" bestFit="1" customWidth="1"/>
    <col min="33" max="39" width="9.140625" style="46"/>
  </cols>
  <sheetData>
    <row r="1" spans="1:39" ht="30.75" customHeight="1" x14ac:dyDescent="0.25">
      <c r="A1" s="35" t="s">
        <v>825</v>
      </c>
      <c r="B1" s="36" t="s">
        <v>47</v>
      </c>
      <c r="AA1" s="106" t="s">
        <v>1103</v>
      </c>
      <c r="AB1" s="107" t="s">
        <v>835</v>
      </c>
      <c r="AC1" s="107" t="s">
        <v>836</v>
      </c>
      <c r="AD1" s="108" t="s">
        <v>832</v>
      </c>
      <c r="AE1" s="120" t="s">
        <v>189</v>
      </c>
      <c r="AF1" s="120" t="s">
        <v>183</v>
      </c>
      <c r="AG1" s="107" t="s">
        <v>829</v>
      </c>
      <c r="AH1" s="107" t="s">
        <v>830</v>
      </c>
      <c r="AI1" s="107" t="s">
        <v>1101</v>
      </c>
      <c r="AJ1" s="107" t="s">
        <v>831</v>
      </c>
      <c r="AK1" s="107" t="s">
        <v>1102</v>
      </c>
      <c r="AL1" s="107" t="s">
        <v>1004</v>
      </c>
      <c r="AM1" s="107" t="s">
        <v>1100</v>
      </c>
    </row>
    <row r="2" spans="1:39" x14ac:dyDescent="0.25">
      <c r="AA2" s="46" t="e">
        <f>VLOOKUP($B$1,$AF:$AM,2,FALSE)</f>
        <v>#N/A</v>
      </c>
      <c r="AB2" s="46" t="e">
        <f>VLOOKUP($B$1,$AF:$AM,4,FALSE)</f>
        <v>#N/A</v>
      </c>
      <c r="AC2" s="46" t="e">
        <f>VLOOKUP($B$1,$AF:$AM,6,FALSE)</f>
        <v>#N/A</v>
      </c>
      <c r="AD2" s="46" t="e">
        <f>VLOOKUP($B$1,$AF:$AM,7,FALSE)</f>
        <v>#N/A</v>
      </c>
      <c r="AE2" s="121" t="s">
        <v>33</v>
      </c>
      <c r="AF2" s="111" t="s">
        <v>34</v>
      </c>
      <c r="AG2" s="112">
        <v>0</v>
      </c>
      <c r="AH2" s="46">
        <v>0</v>
      </c>
      <c r="AI2" s="46">
        <f>AG2-AH2</f>
        <v>0</v>
      </c>
      <c r="AJ2" s="46">
        <v>0</v>
      </c>
      <c r="AK2" s="46">
        <f>AJ2-AG2</f>
        <v>0</v>
      </c>
      <c r="AL2" s="46">
        <v>1</v>
      </c>
      <c r="AM2" s="46">
        <v>5</v>
      </c>
    </row>
    <row r="3" spans="1:39" x14ac:dyDescent="0.25">
      <c r="AA3" s="110" t="s">
        <v>1145</v>
      </c>
      <c r="AB3" s="110" t="s">
        <v>1147</v>
      </c>
      <c r="AC3" s="110" t="s">
        <v>1146</v>
      </c>
      <c r="AD3" s="110" t="s">
        <v>832</v>
      </c>
      <c r="AE3" s="121" t="s">
        <v>120</v>
      </c>
      <c r="AF3" s="111" t="s">
        <v>121</v>
      </c>
      <c r="AG3" s="112">
        <v>1</v>
      </c>
      <c r="AH3" s="46">
        <v>1</v>
      </c>
      <c r="AI3" s="46">
        <f t="shared" ref="AI3:AI55" si="0">AG3-AH3</f>
        <v>0</v>
      </c>
      <c r="AJ3" s="46">
        <v>2</v>
      </c>
      <c r="AK3" s="46">
        <f t="shared" ref="AK3:AK55" si="1">AJ3-AG3</f>
        <v>1</v>
      </c>
      <c r="AL3" s="46">
        <v>2</v>
      </c>
      <c r="AM3" s="46">
        <v>5</v>
      </c>
    </row>
    <row r="4" spans="1:39" x14ac:dyDescent="0.25">
      <c r="AA4" s="122">
        <f>VLOOKUP($B$1,'Lower Limb Angioplasty'!$B:$AC,26,FALSE)</f>
        <v>1</v>
      </c>
      <c r="AB4" s="122">
        <f>VLOOKUP($B$1,'Lower Limb Angioplasty'!$B:$AC,27,FALSE)</f>
        <v>0.14000000000000001</v>
      </c>
      <c r="AC4" s="122">
        <f>VLOOKUP($B$1,'Lower Limb Angioplasty'!$B:$AC,28,FALSE)</f>
        <v>0</v>
      </c>
      <c r="AD4" s="46">
        <f>VLOOKUP($B$1,'Lower Limb Angioplasty'!$B:$AC,25,FALSE)</f>
        <v>46</v>
      </c>
      <c r="AE4" s="121" t="s">
        <v>25</v>
      </c>
      <c r="AF4" s="111" t="s">
        <v>26</v>
      </c>
      <c r="AG4" s="112">
        <v>2</v>
      </c>
      <c r="AH4" s="46">
        <v>0</v>
      </c>
      <c r="AI4" s="46">
        <f t="shared" si="0"/>
        <v>2</v>
      </c>
      <c r="AJ4" s="46">
        <v>5</v>
      </c>
      <c r="AK4" s="46">
        <f t="shared" si="1"/>
        <v>3</v>
      </c>
      <c r="AL4" s="46">
        <v>3</v>
      </c>
      <c r="AM4" s="46">
        <v>5</v>
      </c>
    </row>
    <row r="5" spans="1:39" x14ac:dyDescent="0.25">
      <c r="AE5" s="121" t="s">
        <v>126</v>
      </c>
      <c r="AF5" s="111" t="s">
        <v>127</v>
      </c>
      <c r="AG5" s="112">
        <v>2</v>
      </c>
      <c r="AH5" s="46">
        <v>0</v>
      </c>
      <c r="AI5" s="46">
        <f t="shared" si="0"/>
        <v>2</v>
      </c>
      <c r="AJ5" s="46">
        <v>7</v>
      </c>
      <c r="AK5" s="46">
        <f t="shared" si="1"/>
        <v>5</v>
      </c>
      <c r="AL5" s="46">
        <v>4</v>
      </c>
      <c r="AM5" s="46">
        <v>5</v>
      </c>
    </row>
    <row r="6" spans="1:39" x14ac:dyDescent="0.25">
      <c r="AE6" s="121" t="s">
        <v>124</v>
      </c>
      <c r="AF6" s="111" t="s">
        <v>125</v>
      </c>
      <c r="AG6" s="112">
        <v>2</v>
      </c>
      <c r="AH6" s="46">
        <v>1</v>
      </c>
      <c r="AI6" s="46">
        <f t="shared" si="0"/>
        <v>1</v>
      </c>
      <c r="AJ6" s="46">
        <v>6</v>
      </c>
      <c r="AK6" s="46">
        <f t="shared" si="1"/>
        <v>4</v>
      </c>
      <c r="AL6" s="46">
        <v>5</v>
      </c>
      <c r="AM6" s="46">
        <v>5</v>
      </c>
    </row>
    <row r="7" spans="1:39" x14ac:dyDescent="0.25">
      <c r="AE7" s="121" t="s">
        <v>118</v>
      </c>
      <c r="AF7" s="111" t="s">
        <v>119</v>
      </c>
      <c r="AG7" s="112">
        <v>2</v>
      </c>
      <c r="AH7" s="46">
        <v>1</v>
      </c>
      <c r="AI7" s="46">
        <f t="shared" si="0"/>
        <v>1</v>
      </c>
      <c r="AJ7" s="46">
        <v>7</v>
      </c>
      <c r="AK7" s="46">
        <f t="shared" si="1"/>
        <v>5</v>
      </c>
      <c r="AL7" s="46">
        <v>6</v>
      </c>
      <c r="AM7" s="46">
        <v>5</v>
      </c>
    </row>
    <row r="8" spans="1:39" x14ac:dyDescent="0.25">
      <c r="AE8" s="121" t="s">
        <v>156</v>
      </c>
      <c r="AF8" s="111" t="s">
        <v>157</v>
      </c>
      <c r="AG8" s="112">
        <v>3</v>
      </c>
      <c r="AH8" s="46">
        <v>0</v>
      </c>
      <c r="AI8" s="46">
        <f t="shared" si="0"/>
        <v>3</v>
      </c>
      <c r="AJ8" s="46">
        <v>5</v>
      </c>
      <c r="AK8" s="46">
        <f t="shared" si="1"/>
        <v>2</v>
      </c>
      <c r="AL8" s="46">
        <v>7</v>
      </c>
      <c r="AM8" s="46">
        <v>5</v>
      </c>
    </row>
    <row r="9" spans="1:39" x14ac:dyDescent="0.25">
      <c r="AE9" s="121" t="s">
        <v>93</v>
      </c>
      <c r="AF9" s="111" t="s">
        <v>94</v>
      </c>
      <c r="AG9" s="112">
        <v>3</v>
      </c>
      <c r="AH9" s="46">
        <v>1</v>
      </c>
      <c r="AI9" s="46">
        <f t="shared" si="0"/>
        <v>2</v>
      </c>
      <c r="AJ9" s="46">
        <v>5</v>
      </c>
      <c r="AK9" s="46">
        <f t="shared" si="1"/>
        <v>2</v>
      </c>
      <c r="AL9" s="46">
        <v>8</v>
      </c>
      <c r="AM9" s="46">
        <v>5</v>
      </c>
    </row>
    <row r="10" spans="1:39" x14ac:dyDescent="0.25">
      <c r="AE10" s="121" t="s">
        <v>130</v>
      </c>
      <c r="AF10" s="111" t="s">
        <v>131</v>
      </c>
      <c r="AG10" s="112">
        <v>3</v>
      </c>
      <c r="AH10" s="46">
        <v>1</v>
      </c>
      <c r="AI10" s="46">
        <f t="shared" si="0"/>
        <v>2</v>
      </c>
      <c r="AJ10" s="46">
        <v>6</v>
      </c>
      <c r="AK10" s="46">
        <f t="shared" si="1"/>
        <v>3</v>
      </c>
      <c r="AL10" s="46">
        <v>9</v>
      </c>
      <c r="AM10" s="46">
        <v>5</v>
      </c>
    </row>
    <row r="11" spans="1:39" x14ac:dyDescent="0.25">
      <c r="AE11" s="121" t="s">
        <v>68</v>
      </c>
      <c r="AF11" s="111" t="s">
        <v>69</v>
      </c>
      <c r="AG11" s="112">
        <v>3</v>
      </c>
      <c r="AH11" s="46">
        <v>1</v>
      </c>
      <c r="AI11" s="46">
        <f t="shared" si="0"/>
        <v>2</v>
      </c>
      <c r="AJ11" s="46">
        <v>7</v>
      </c>
      <c r="AK11" s="46">
        <f t="shared" si="1"/>
        <v>4</v>
      </c>
      <c r="AL11" s="46">
        <v>10</v>
      </c>
      <c r="AM11" s="46">
        <v>5</v>
      </c>
    </row>
    <row r="12" spans="1:39" x14ac:dyDescent="0.25">
      <c r="AE12" s="121" t="s">
        <v>154</v>
      </c>
      <c r="AF12" s="111" t="s">
        <v>155</v>
      </c>
      <c r="AG12" s="112">
        <v>3</v>
      </c>
      <c r="AH12" s="46">
        <v>1</v>
      </c>
      <c r="AI12" s="46">
        <f t="shared" si="0"/>
        <v>2</v>
      </c>
      <c r="AJ12" s="46">
        <v>7</v>
      </c>
      <c r="AK12" s="46">
        <f t="shared" si="1"/>
        <v>4</v>
      </c>
      <c r="AL12" s="46">
        <v>11</v>
      </c>
      <c r="AM12" s="46">
        <v>5</v>
      </c>
    </row>
    <row r="13" spans="1:39" x14ac:dyDescent="0.25">
      <c r="AE13" s="121" t="s">
        <v>170</v>
      </c>
      <c r="AF13" s="111" t="s">
        <v>171</v>
      </c>
      <c r="AG13" s="112">
        <v>3</v>
      </c>
      <c r="AH13" s="46">
        <v>1</v>
      </c>
      <c r="AI13" s="46">
        <f t="shared" si="0"/>
        <v>2</v>
      </c>
      <c r="AJ13" s="46">
        <v>7</v>
      </c>
      <c r="AK13" s="46">
        <f t="shared" si="1"/>
        <v>4</v>
      </c>
      <c r="AL13" s="46">
        <v>12</v>
      </c>
      <c r="AM13" s="46">
        <v>5</v>
      </c>
    </row>
    <row r="14" spans="1:39" x14ac:dyDescent="0.25">
      <c r="AE14" s="121" t="s">
        <v>35</v>
      </c>
      <c r="AF14" s="111" t="s">
        <v>36</v>
      </c>
      <c r="AG14" s="112">
        <v>3</v>
      </c>
      <c r="AH14" s="46">
        <v>1</v>
      </c>
      <c r="AI14" s="46">
        <f t="shared" si="0"/>
        <v>2</v>
      </c>
      <c r="AJ14" s="46">
        <v>8</v>
      </c>
      <c r="AK14" s="46">
        <f t="shared" si="1"/>
        <v>5</v>
      </c>
      <c r="AL14" s="46">
        <v>13</v>
      </c>
      <c r="AM14" s="46">
        <v>5</v>
      </c>
    </row>
    <row r="15" spans="1:39" x14ac:dyDescent="0.25">
      <c r="AE15" s="121" t="s">
        <v>60</v>
      </c>
      <c r="AF15" s="111" t="s">
        <v>61</v>
      </c>
      <c r="AG15" s="112">
        <v>4</v>
      </c>
      <c r="AH15" s="46">
        <v>1</v>
      </c>
      <c r="AI15" s="46">
        <f t="shared" si="0"/>
        <v>3</v>
      </c>
      <c r="AJ15" s="46">
        <v>7</v>
      </c>
      <c r="AK15" s="46">
        <f t="shared" si="1"/>
        <v>3</v>
      </c>
      <c r="AL15" s="46">
        <v>14</v>
      </c>
      <c r="AM15" s="46">
        <v>5</v>
      </c>
    </row>
    <row r="16" spans="1:39" x14ac:dyDescent="0.25">
      <c r="AE16" s="121" t="s">
        <v>166</v>
      </c>
      <c r="AF16" s="111" t="s">
        <v>167</v>
      </c>
      <c r="AG16" s="112">
        <v>4</v>
      </c>
      <c r="AH16" s="46">
        <v>1</v>
      </c>
      <c r="AI16" s="46">
        <f t="shared" si="0"/>
        <v>3</v>
      </c>
      <c r="AJ16" s="46">
        <v>8</v>
      </c>
      <c r="AK16" s="46">
        <f t="shared" si="1"/>
        <v>4</v>
      </c>
      <c r="AL16" s="46">
        <v>15</v>
      </c>
      <c r="AM16" s="46">
        <v>5</v>
      </c>
    </row>
    <row r="17" spans="2:39" x14ac:dyDescent="0.25">
      <c r="AE17" s="121" t="s">
        <v>56</v>
      </c>
      <c r="AF17" s="111" t="s">
        <v>57</v>
      </c>
      <c r="AG17" s="112">
        <v>4</v>
      </c>
      <c r="AH17" s="46">
        <v>2</v>
      </c>
      <c r="AI17" s="46">
        <f t="shared" si="0"/>
        <v>2</v>
      </c>
      <c r="AJ17" s="46">
        <v>7</v>
      </c>
      <c r="AK17" s="46">
        <f t="shared" si="1"/>
        <v>3</v>
      </c>
      <c r="AL17" s="46">
        <v>16</v>
      </c>
      <c r="AM17" s="46">
        <v>5</v>
      </c>
    </row>
    <row r="18" spans="2:39" x14ac:dyDescent="0.25">
      <c r="AE18" s="121" t="s">
        <v>87</v>
      </c>
      <c r="AF18" s="111" t="s">
        <v>88</v>
      </c>
      <c r="AG18" s="112">
        <v>4</v>
      </c>
      <c r="AH18" s="46">
        <v>2</v>
      </c>
      <c r="AI18" s="46">
        <f t="shared" si="0"/>
        <v>2</v>
      </c>
      <c r="AJ18" s="46">
        <v>7</v>
      </c>
      <c r="AK18" s="46">
        <f t="shared" si="1"/>
        <v>3</v>
      </c>
      <c r="AL18" s="46">
        <v>17</v>
      </c>
      <c r="AM18" s="46">
        <v>5</v>
      </c>
    </row>
    <row r="19" spans="2:39" x14ac:dyDescent="0.25">
      <c r="AE19" s="121" t="s">
        <v>164</v>
      </c>
      <c r="AF19" s="111" t="s">
        <v>165</v>
      </c>
      <c r="AG19" s="112">
        <v>4</v>
      </c>
      <c r="AH19" s="46">
        <v>3</v>
      </c>
      <c r="AI19" s="46">
        <f t="shared" si="0"/>
        <v>1</v>
      </c>
      <c r="AJ19" s="46">
        <v>9</v>
      </c>
      <c r="AK19" s="46">
        <f t="shared" si="1"/>
        <v>5</v>
      </c>
      <c r="AL19" s="46">
        <v>18</v>
      </c>
      <c r="AM19" s="46">
        <v>5</v>
      </c>
    </row>
    <row r="20" spans="2:39" x14ac:dyDescent="0.25">
      <c r="AE20" s="121" t="s">
        <v>158</v>
      </c>
      <c r="AF20" s="111" t="s">
        <v>159</v>
      </c>
      <c r="AG20" s="112">
        <v>5</v>
      </c>
      <c r="AH20" s="46">
        <v>1</v>
      </c>
      <c r="AI20" s="46">
        <f t="shared" si="0"/>
        <v>4</v>
      </c>
      <c r="AJ20" s="46">
        <v>8</v>
      </c>
      <c r="AK20" s="46">
        <f t="shared" si="1"/>
        <v>3</v>
      </c>
      <c r="AL20" s="46">
        <v>19</v>
      </c>
      <c r="AM20" s="46">
        <v>5</v>
      </c>
    </row>
    <row r="21" spans="2:39" x14ac:dyDescent="0.25">
      <c r="AE21" s="121" t="s">
        <v>40</v>
      </c>
      <c r="AF21" s="111" t="s">
        <v>41</v>
      </c>
      <c r="AG21" s="112">
        <v>5</v>
      </c>
      <c r="AH21" s="46">
        <v>1</v>
      </c>
      <c r="AI21" s="46">
        <f t="shared" si="0"/>
        <v>4</v>
      </c>
      <c r="AJ21" s="46">
        <v>9</v>
      </c>
      <c r="AK21" s="46">
        <f t="shared" si="1"/>
        <v>4</v>
      </c>
      <c r="AL21" s="46">
        <v>20</v>
      </c>
      <c r="AM21" s="46">
        <v>5</v>
      </c>
    </row>
    <row r="22" spans="2:39" x14ac:dyDescent="0.25">
      <c r="AE22" s="121" t="s">
        <v>15</v>
      </c>
      <c r="AF22" s="111" t="s">
        <v>16</v>
      </c>
      <c r="AG22" s="112">
        <v>5</v>
      </c>
      <c r="AH22" s="46">
        <v>1</v>
      </c>
      <c r="AI22" s="46">
        <f t="shared" si="0"/>
        <v>4</v>
      </c>
      <c r="AJ22" s="46">
        <v>10</v>
      </c>
      <c r="AK22" s="46">
        <f t="shared" si="1"/>
        <v>5</v>
      </c>
      <c r="AL22" s="46">
        <v>21</v>
      </c>
      <c r="AM22" s="46">
        <v>5</v>
      </c>
    </row>
    <row r="23" spans="2:39" x14ac:dyDescent="0.25">
      <c r="AE23" s="121" t="s">
        <v>174</v>
      </c>
      <c r="AF23" s="111" t="s">
        <v>175</v>
      </c>
      <c r="AG23" s="112">
        <v>5</v>
      </c>
      <c r="AH23" s="46">
        <v>1</v>
      </c>
      <c r="AI23" s="46">
        <f t="shared" si="0"/>
        <v>4</v>
      </c>
      <c r="AJ23" s="46">
        <v>12</v>
      </c>
      <c r="AK23" s="46">
        <f t="shared" si="1"/>
        <v>7</v>
      </c>
      <c r="AL23" s="46">
        <v>22</v>
      </c>
      <c r="AM23" s="46">
        <v>5</v>
      </c>
    </row>
    <row r="24" spans="2:39" x14ac:dyDescent="0.25">
      <c r="AE24" s="121" t="s">
        <v>9</v>
      </c>
      <c r="AF24" s="111" t="s">
        <v>10</v>
      </c>
      <c r="AG24" s="112">
        <v>5</v>
      </c>
      <c r="AH24" s="46">
        <v>2</v>
      </c>
      <c r="AI24" s="46">
        <f t="shared" si="0"/>
        <v>3</v>
      </c>
      <c r="AJ24" s="46">
        <v>8</v>
      </c>
      <c r="AK24" s="46">
        <f t="shared" si="1"/>
        <v>3</v>
      </c>
      <c r="AL24" s="46">
        <v>23</v>
      </c>
      <c r="AM24" s="46">
        <v>5</v>
      </c>
    </row>
    <row r="25" spans="2:39" x14ac:dyDescent="0.25">
      <c r="AE25" s="121" t="s">
        <v>89</v>
      </c>
      <c r="AF25" s="111" t="s">
        <v>90</v>
      </c>
      <c r="AG25" s="112">
        <v>5</v>
      </c>
      <c r="AH25" s="46">
        <v>2</v>
      </c>
      <c r="AI25" s="46">
        <f t="shared" si="0"/>
        <v>3</v>
      </c>
      <c r="AJ25" s="46">
        <v>8</v>
      </c>
      <c r="AK25" s="46">
        <f t="shared" si="1"/>
        <v>3</v>
      </c>
      <c r="AL25" s="46">
        <v>24</v>
      </c>
      <c r="AM25" s="46">
        <v>5</v>
      </c>
    </row>
    <row r="26" spans="2:39" x14ac:dyDescent="0.25">
      <c r="AE26" s="121" t="s">
        <v>180</v>
      </c>
      <c r="AF26" s="111" t="s">
        <v>181</v>
      </c>
      <c r="AG26" s="112">
        <v>5</v>
      </c>
      <c r="AH26" s="46">
        <v>2</v>
      </c>
      <c r="AI26" s="46">
        <f t="shared" si="0"/>
        <v>3</v>
      </c>
      <c r="AJ26" s="46">
        <v>8</v>
      </c>
      <c r="AK26" s="46">
        <f t="shared" si="1"/>
        <v>3</v>
      </c>
      <c r="AL26" s="46">
        <v>25</v>
      </c>
      <c r="AM26" s="46">
        <v>5</v>
      </c>
    </row>
    <row r="27" spans="2:39" x14ac:dyDescent="0.25">
      <c r="AE27" s="121" t="s">
        <v>11</v>
      </c>
      <c r="AF27" s="111" t="s">
        <v>12</v>
      </c>
      <c r="AG27" s="112">
        <v>5</v>
      </c>
      <c r="AH27" s="46">
        <v>2</v>
      </c>
      <c r="AI27" s="46">
        <f t="shared" si="0"/>
        <v>3</v>
      </c>
      <c r="AJ27" s="46">
        <v>9</v>
      </c>
      <c r="AK27" s="46">
        <f t="shared" si="1"/>
        <v>4</v>
      </c>
      <c r="AL27" s="46">
        <v>26</v>
      </c>
      <c r="AM27" s="46">
        <v>5</v>
      </c>
    </row>
    <row r="28" spans="2:39" ht="15.75" thickBot="1" x14ac:dyDescent="0.3">
      <c r="AE28" s="121" t="s">
        <v>128</v>
      </c>
      <c r="AF28" s="111" t="s">
        <v>129</v>
      </c>
      <c r="AG28" s="112">
        <v>5</v>
      </c>
      <c r="AH28" s="46">
        <v>3</v>
      </c>
      <c r="AI28" s="46">
        <f t="shared" si="0"/>
        <v>2</v>
      </c>
      <c r="AJ28" s="46">
        <v>7</v>
      </c>
      <c r="AK28" s="46">
        <f t="shared" si="1"/>
        <v>2</v>
      </c>
      <c r="AL28" s="46">
        <v>27</v>
      </c>
      <c r="AM28" s="46">
        <v>5</v>
      </c>
    </row>
    <row r="29" spans="2:39" ht="75.75" thickBot="1" x14ac:dyDescent="0.3">
      <c r="B29" s="37" t="s">
        <v>183</v>
      </c>
      <c r="C29" s="37" t="s">
        <v>189</v>
      </c>
      <c r="D29" s="82" t="s">
        <v>190</v>
      </c>
      <c r="E29" s="83" t="s">
        <v>1110</v>
      </c>
      <c r="F29" s="83" t="s">
        <v>1108</v>
      </c>
      <c r="G29" s="83" t="s">
        <v>1109</v>
      </c>
      <c r="H29" s="37" t="s">
        <v>206</v>
      </c>
      <c r="I29" s="82" t="s">
        <v>208</v>
      </c>
      <c r="J29" s="83" t="s">
        <v>1105</v>
      </c>
      <c r="K29" s="83" t="s">
        <v>523</v>
      </c>
      <c r="L29" s="83" t="s">
        <v>524</v>
      </c>
      <c r="AE29" s="121" t="s">
        <v>150</v>
      </c>
      <c r="AF29" s="111" t="s">
        <v>151</v>
      </c>
      <c r="AG29" s="112">
        <v>5</v>
      </c>
      <c r="AH29" s="46">
        <v>3</v>
      </c>
      <c r="AI29" s="46">
        <f t="shared" si="0"/>
        <v>2</v>
      </c>
      <c r="AJ29" s="46">
        <v>9</v>
      </c>
      <c r="AK29" s="46">
        <f t="shared" si="1"/>
        <v>4</v>
      </c>
      <c r="AL29" s="46">
        <v>28</v>
      </c>
      <c r="AM29" s="46">
        <v>5</v>
      </c>
    </row>
    <row r="30" spans="2:39" ht="15.75" thickBot="1" x14ac:dyDescent="0.3">
      <c r="B30" s="39" t="str">
        <f>B1</f>
        <v>Aintree University Hospital NHS Foundation Trust</v>
      </c>
      <c r="C30" s="41" t="str">
        <f>VLOOKUP($B30,'Lower Limb Angioplasty'!$B:$M,12,FALSE)</f>
        <v>REM</v>
      </c>
      <c r="D30" s="41">
        <f>VLOOKUP($B30,'Lower Limb Angioplasty'!$B:$M,2,FALSE)</f>
        <v>25</v>
      </c>
      <c r="E30" s="42">
        <f>VLOOKUP($B30,'Lower Limb Angioplasty'!$B:$M,3,FALSE)</f>
        <v>1</v>
      </c>
      <c r="F30" s="42">
        <f>VLOOKUP($B30,'Lower Limb Angioplasty'!$B:$M,4,FALSE)</f>
        <v>0.72</v>
      </c>
      <c r="G30" s="42">
        <f>VLOOKUP($B30,'Lower Limb Angioplasty'!$B:$M,5,FALSE)</f>
        <v>0.88</v>
      </c>
      <c r="H30" s="40" t="str">
        <f>VLOOKUP($B30,'Lower Limb Angioplasty'!$B:$M,6,FALSE)</f>
        <v>1 (0 - 2)</v>
      </c>
      <c r="I30" s="43" t="e">
        <f>VLOOKUP($B30,'Lower Limb Angioplasty'!$B:$M,7,FALSE)</f>
        <v>#N/A</v>
      </c>
      <c r="J30" s="43">
        <f>VLOOKUP($B30,'Lower Limb Angioplasty'!$B:$M,9,FALSE)</f>
        <v>0.14299999999999999</v>
      </c>
      <c r="K30" s="41">
        <f>VLOOKUP($B30,'Lower Limb Angioplasty'!$B:$M,10,FALSE)</f>
        <v>4</v>
      </c>
      <c r="L30" s="40" t="str">
        <f>VLOOKUP($B30,'Lower Limb Angioplasty'!$B:$M,11,FALSE)</f>
        <v>xx</v>
      </c>
      <c r="AE30" s="121" t="s">
        <v>77</v>
      </c>
      <c r="AF30" s="111" t="s">
        <v>78</v>
      </c>
      <c r="AG30" s="112">
        <v>5</v>
      </c>
      <c r="AH30" s="46">
        <v>4</v>
      </c>
      <c r="AI30" s="46">
        <f t="shared" si="0"/>
        <v>1</v>
      </c>
      <c r="AJ30" s="46">
        <v>9</v>
      </c>
      <c r="AK30" s="46">
        <f t="shared" si="1"/>
        <v>4</v>
      </c>
      <c r="AL30" s="46">
        <v>29</v>
      </c>
      <c r="AM30" s="46">
        <v>5</v>
      </c>
    </row>
    <row r="31" spans="2:39" ht="15.75" thickBot="1" x14ac:dyDescent="0.3">
      <c r="B31" s="130" t="s">
        <v>827</v>
      </c>
      <c r="C31" s="130"/>
      <c r="D31" s="86">
        <v>22019</v>
      </c>
      <c r="E31" s="88">
        <v>0.98</v>
      </c>
      <c r="F31" s="85"/>
      <c r="G31" s="85"/>
      <c r="H31" s="87"/>
      <c r="I31" s="85">
        <v>1.6E-2</v>
      </c>
      <c r="J31" s="41"/>
      <c r="K31" s="86">
        <v>5197</v>
      </c>
      <c r="L31" s="41"/>
      <c r="AE31" s="121" t="s">
        <v>76</v>
      </c>
      <c r="AF31" s="111" t="s">
        <v>215</v>
      </c>
      <c r="AG31" s="112">
        <v>6</v>
      </c>
      <c r="AH31" s="46">
        <v>1</v>
      </c>
      <c r="AI31" s="46">
        <f t="shared" si="0"/>
        <v>5</v>
      </c>
      <c r="AJ31" s="46">
        <v>11</v>
      </c>
      <c r="AK31" s="46">
        <f t="shared" si="1"/>
        <v>5</v>
      </c>
      <c r="AL31" s="46">
        <v>30</v>
      </c>
      <c r="AM31" s="46">
        <v>5</v>
      </c>
    </row>
    <row r="32" spans="2:39" x14ac:dyDescent="0.25">
      <c r="AE32" s="121" t="s">
        <v>23</v>
      </c>
      <c r="AF32" s="111" t="s">
        <v>24</v>
      </c>
      <c r="AG32" s="112">
        <v>6</v>
      </c>
      <c r="AH32" s="46">
        <v>1</v>
      </c>
      <c r="AI32" s="46">
        <f t="shared" si="0"/>
        <v>5</v>
      </c>
      <c r="AJ32" s="46">
        <v>12</v>
      </c>
      <c r="AK32" s="46">
        <f t="shared" si="1"/>
        <v>6</v>
      </c>
      <c r="AL32" s="46">
        <v>31</v>
      </c>
      <c r="AM32" s="46">
        <v>5</v>
      </c>
    </row>
    <row r="33" spans="31:39" x14ac:dyDescent="0.25">
      <c r="AE33" s="121" t="s">
        <v>103</v>
      </c>
      <c r="AF33" s="111" t="s">
        <v>104</v>
      </c>
      <c r="AG33" s="112">
        <v>6</v>
      </c>
      <c r="AH33" s="46">
        <v>1</v>
      </c>
      <c r="AI33" s="46">
        <f t="shared" si="0"/>
        <v>5</v>
      </c>
      <c r="AJ33" s="46">
        <v>14</v>
      </c>
      <c r="AK33" s="46">
        <f t="shared" si="1"/>
        <v>8</v>
      </c>
      <c r="AL33" s="46">
        <v>32</v>
      </c>
      <c r="AM33" s="46">
        <v>5</v>
      </c>
    </row>
    <row r="34" spans="31:39" x14ac:dyDescent="0.25">
      <c r="AE34" s="121" t="s">
        <v>105</v>
      </c>
      <c r="AF34" s="111" t="s">
        <v>106</v>
      </c>
      <c r="AG34" s="112">
        <v>6</v>
      </c>
      <c r="AH34" s="46">
        <v>2</v>
      </c>
      <c r="AI34" s="46">
        <f t="shared" si="0"/>
        <v>4</v>
      </c>
      <c r="AJ34" s="46">
        <v>12</v>
      </c>
      <c r="AK34" s="46">
        <f t="shared" si="1"/>
        <v>6</v>
      </c>
      <c r="AL34" s="46">
        <v>33</v>
      </c>
      <c r="AM34" s="46">
        <v>5</v>
      </c>
    </row>
    <row r="35" spans="31:39" x14ac:dyDescent="0.25">
      <c r="AE35" s="121" t="s">
        <v>66</v>
      </c>
      <c r="AF35" s="111" t="s">
        <v>67</v>
      </c>
      <c r="AG35" s="112">
        <v>6</v>
      </c>
      <c r="AH35" s="46">
        <v>3</v>
      </c>
      <c r="AI35" s="46">
        <f t="shared" si="0"/>
        <v>3</v>
      </c>
      <c r="AJ35" s="46">
        <v>8</v>
      </c>
      <c r="AK35" s="46">
        <f t="shared" si="1"/>
        <v>2</v>
      </c>
      <c r="AL35" s="46">
        <v>34</v>
      </c>
      <c r="AM35" s="46">
        <v>5</v>
      </c>
    </row>
    <row r="36" spans="31:39" x14ac:dyDescent="0.25">
      <c r="AE36" s="121" t="s">
        <v>140</v>
      </c>
      <c r="AF36" s="111" t="s">
        <v>141</v>
      </c>
      <c r="AG36" s="112">
        <v>6</v>
      </c>
      <c r="AH36" s="46">
        <v>3</v>
      </c>
      <c r="AI36" s="46">
        <f t="shared" si="0"/>
        <v>3</v>
      </c>
      <c r="AJ36" s="46">
        <v>9</v>
      </c>
      <c r="AK36" s="46">
        <f t="shared" si="1"/>
        <v>3</v>
      </c>
      <c r="AL36" s="46">
        <v>35</v>
      </c>
      <c r="AM36" s="46">
        <v>5</v>
      </c>
    </row>
    <row r="37" spans="31:39" x14ac:dyDescent="0.25">
      <c r="AE37" s="121" t="s">
        <v>107</v>
      </c>
      <c r="AF37" s="111" t="s">
        <v>108</v>
      </c>
      <c r="AG37" s="112">
        <v>6</v>
      </c>
      <c r="AH37" s="46">
        <v>3</v>
      </c>
      <c r="AI37" s="46">
        <f t="shared" si="0"/>
        <v>3</v>
      </c>
      <c r="AJ37" s="46">
        <v>11</v>
      </c>
      <c r="AK37" s="46">
        <f t="shared" si="1"/>
        <v>5</v>
      </c>
      <c r="AL37" s="46">
        <v>36</v>
      </c>
      <c r="AM37" s="46">
        <v>5</v>
      </c>
    </row>
    <row r="38" spans="31:39" x14ac:dyDescent="0.25">
      <c r="AE38" s="121" t="s">
        <v>113</v>
      </c>
      <c r="AF38" s="111" t="s">
        <v>114</v>
      </c>
      <c r="AG38" s="112">
        <v>6</v>
      </c>
      <c r="AH38" s="46">
        <v>3</v>
      </c>
      <c r="AI38" s="46">
        <f t="shared" si="0"/>
        <v>3</v>
      </c>
      <c r="AJ38" s="46">
        <v>11</v>
      </c>
      <c r="AK38" s="46">
        <f t="shared" si="1"/>
        <v>5</v>
      </c>
      <c r="AL38" s="46">
        <v>37</v>
      </c>
      <c r="AM38" s="46">
        <v>5</v>
      </c>
    </row>
    <row r="39" spans="31:39" x14ac:dyDescent="0.25">
      <c r="AE39" s="121" t="s">
        <v>70</v>
      </c>
      <c r="AF39" s="111" t="s">
        <v>71</v>
      </c>
      <c r="AG39" s="112">
        <v>6</v>
      </c>
      <c r="AH39" s="46">
        <v>3</v>
      </c>
      <c r="AI39" s="46">
        <f t="shared" si="0"/>
        <v>3</v>
      </c>
      <c r="AJ39" s="46">
        <v>12</v>
      </c>
      <c r="AK39" s="46">
        <f t="shared" si="1"/>
        <v>6</v>
      </c>
      <c r="AL39" s="46">
        <v>38</v>
      </c>
      <c r="AM39" s="46">
        <v>5</v>
      </c>
    </row>
    <row r="40" spans="31:39" x14ac:dyDescent="0.25">
      <c r="AE40" s="121" t="s">
        <v>99</v>
      </c>
      <c r="AF40" s="111" t="s">
        <v>100</v>
      </c>
      <c r="AG40" s="112">
        <v>6</v>
      </c>
      <c r="AH40" s="46">
        <v>3</v>
      </c>
      <c r="AI40" s="46">
        <f t="shared" si="0"/>
        <v>3</v>
      </c>
      <c r="AJ40" s="46">
        <v>14</v>
      </c>
      <c r="AK40" s="46">
        <f t="shared" si="1"/>
        <v>8</v>
      </c>
      <c r="AL40" s="46">
        <v>39</v>
      </c>
      <c r="AM40" s="46">
        <v>5</v>
      </c>
    </row>
    <row r="41" spans="31:39" x14ac:dyDescent="0.25">
      <c r="AE41" s="121" t="s">
        <v>176</v>
      </c>
      <c r="AF41" s="111" t="s">
        <v>177</v>
      </c>
      <c r="AG41" s="112">
        <v>6</v>
      </c>
      <c r="AH41" s="46">
        <v>5</v>
      </c>
      <c r="AI41" s="46">
        <f t="shared" si="0"/>
        <v>1</v>
      </c>
      <c r="AJ41" s="46">
        <v>9</v>
      </c>
      <c r="AK41" s="46">
        <f t="shared" si="1"/>
        <v>3</v>
      </c>
      <c r="AL41" s="46">
        <v>40</v>
      </c>
      <c r="AM41" s="46">
        <v>5</v>
      </c>
    </row>
    <row r="42" spans="31:39" x14ac:dyDescent="0.25">
      <c r="AE42" s="121" t="s">
        <v>21</v>
      </c>
      <c r="AF42" s="111" t="s">
        <v>22</v>
      </c>
      <c r="AG42" s="112">
        <v>7</v>
      </c>
      <c r="AH42" s="46">
        <v>2</v>
      </c>
      <c r="AI42" s="46">
        <f t="shared" si="0"/>
        <v>5</v>
      </c>
      <c r="AJ42" s="46">
        <v>15</v>
      </c>
      <c r="AK42" s="46">
        <f t="shared" si="1"/>
        <v>8</v>
      </c>
      <c r="AL42" s="46">
        <v>41</v>
      </c>
      <c r="AM42" s="46">
        <v>5</v>
      </c>
    </row>
    <row r="43" spans="31:39" x14ac:dyDescent="0.25">
      <c r="AE43" s="121" t="s">
        <v>117</v>
      </c>
      <c r="AF43" s="113" t="s">
        <v>773</v>
      </c>
      <c r="AG43" s="112">
        <v>7</v>
      </c>
      <c r="AH43" s="46">
        <v>3</v>
      </c>
      <c r="AI43" s="46">
        <f t="shared" si="0"/>
        <v>4</v>
      </c>
      <c r="AJ43" s="46">
        <v>11</v>
      </c>
      <c r="AK43" s="46">
        <f t="shared" si="1"/>
        <v>4</v>
      </c>
      <c r="AL43" s="46">
        <v>42</v>
      </c>
      <c r="AM43" s="46">
        <v>5</v>
      </c>
    </row>
    <row r="44" spans="31:39" x14ac:dyDescent="0.25">
      <c r="AE44" s="121" t="s">
        <v>95</v>
      </c>
      <c r="AF44" s="111" t="s">
        <v>96</v>
      </c>
      <c r="AG44" s="112">
        <v>7</v>
      </c>
      <c r="AH44" s="46">
        <v>3</v>
      </c>
      <c r="AI44" s="46">
        <f t="shared" si="0"/>
        <v>4</v>
      </c>
      <c r="AJ44" s="46">
        <v>13</v>
      </c>
      <c r="AK44" s="46">
        <f t="shared" si="1"/>
        <v>6</v>
      </c>
      <c r="AL44" s="46">
        <v>43</v>
      </c>
      <c r="AM44" s="46">
        <v>5</v>
      </c>
    </row>
    <row r="45" spans="31:39" x14ac:dyDescent="0.25">
      <c r="AE45" s="121" t="s">
        <v>136</v>
      </c>
      <c r="AF45" s="111" t="s">
        <v>137</v>
      </c>
      <c r="AG45" s="112">
        <v>7</v>
      </c>
      <c r="AH45" s="46">
        <v>3</v>
      </c>
      <c r="AI45" s="46">
        <f t="shared" si="0"/>
        <v>4</v>
      </c>
      <c r="AJ45" s="46">
        <v>14</v>
      </c>
      <c r="AK45" s="46">
        <f t="shared" si="1"/>
        <v>7</v>
      </c>
      <c r="AL45" s="46">
        <v>44</v>
      </c>
      <c r="AM45" s="46">
        <v>5</v>
      </c>
    </row>
    <row r="46" spans="31:39" x14ac:dyDescent="0.25">
      <c r="AE46" s="121" t="s">
        <v>48</v>
      </c>
      <c r="AF46" s="111" t="s">
        <v>49</v>
      </c>
      <c r="AG46" s="112">
        <v>7</v>
      </c>
      <c r="AH46" s="46">
        <v>4</v>
      </c>
      <c r="AI46" s="46">
        <f t="shared" si="0"/>
        <v>3</v>
      </c>
      <c r="AJ46" s="46">
        <v>11</v>
      </c>
      <c r="AK46" s="46">
        <f t="shared" si="1"/>
        <v>4</v>
      </c>
      <c r="AL46" s="46">
        <v>45</v>
      </c>
      <c r="AM46" s="46">
        <v>5</v>
      </c>
    </row>
    <row r="47" spans="31:39" x14ac:dyDescent="0.25">
      <c r="AE47" s="121" t="s">
        <v>178</v>
      </c>
      <c r="AF47" s="111" t="s">
        <v>179</v>
      </c>
      <c r="AG47" s="112">
        <v>7</v>
      </c>
      <c r="AH47" s="46">
        <v>5</v>
      </c>
      <c r="AI47" s="46">
        <f t="shared" si="0"/>
        <v>2</v>
      </c>
      <c r="AJ47" s="46">
        <v>13</v>
      </c>
      <c r="AK47" s="46">
        <f t="shared" si="1"/>
        <v>6</v>
      </c>
      <c r="AL47" s="46">
        <v>46</v>
      </c>
      <c r="AM47" s="46">
        <v>5</v>
      </c>
    </row>
    <row r="48" spans="31:39" x14ac:dyDescent="0.25">
      <c r="AE48" s="121" t="s">
        <v>138</v>
      </c>
      <c r="AF48" s="111" t="s">
        <v>139</v>
      </c>
      <c r="AG48" s="112">
        <v>8</v>
      </c>
      <c r="AH48" s="46">
        <v>2</v>
      </c>
      <c r="AI48" s="46">
        <f t="shared" si="0"/>
        <v>6</v>
      </c>
      <c r="AJ48" s="46">
        <v>18</v>
      </c>
      <c r="AK48" s="46">
        <f t="shared" si="1"/>
        <v>10</v>
      </c>
      <c r="AL48" s="46">
        <v>47</v>
      </c>
      <c r="AM48" s="46">
        <v>5</v>
      </c>
    </row>
    <row r="49" spans="2:39" x14ac:dyDescent="0.25">
      <c r="AE49" s="121" t="s">
        <v>13</v>
      </c>
      <c r="AF49" s="111" t="s">
        <v>14</v>
      </c>
      <c r="AG49" s="112">
        <v>8</v>
      </c>
      <c r="AH49" s="46">
        <v>4</v>
      </c>
      <c r="AI49" s="46">
        <f t="shared" si="0"/>
        <v>4</v>
      </c>
      <c r="AJ49" s="46">
        <v>14</v>
      </c>
      <c r="AK49" s="46">
        <f t="shared" si="1"/>
        <v>6</v>
      </c>
      <c r="AL49" s="46">
        <v>48</v>
      </c>
      <c r="AM49" s="46">
        <v>5</v>
      </c>
    </row>
    <row r="50" spans="2:39" x14ac:dyDescent="0.25">
      <c r="AE50" s="121" t="s">
        <v>39</v>
      </c>
      <c r="AF50" s="111" t="s">
        <v>216</v>
      </c>
      <c r="AG50" s="112">
        <v>8</v>
      </c>
      <c r="AH50" s="46">
        <v>4</v>
      </c>
      <c r="AI50" s="46">
        <f t="shared" si="0"/>
        <v>4</v>
      </c>
      <c r="AJ50" s="46">
        <v>15</v>
      </c>
      <c r="AK50" s="46">
        <f t="shared" si="1"/>
        <v>7</v>
      </c>
      <c r="AL50" s="46">
        <v>49</v>
      </c>
      <c r="AM50" s="46">
        <v>5</v>
      </c>
    </row>
    <row r="51" spans="2:39" x14ac:dyDescent="0.25">
      <c r="AE51" s="121" t="s">
        <v>85</v>
      </c>
      <c r="AF51" s="111" t="s">
        <v>86</v>
      </c>
      <c r="AG51" s="112">
        <v>8</v>
      </c>
      <c r="AH51" s="46">
        <v>4</v>
      </c>
      <c r="AI51" s="46">
        <f t="shared" si="0"/>
        <v>4</v>
      </c>
      <c r="AJ51" s="46">
        <v>17</v>
      </c>
      <c r="AK51" s="46">
        <f t="shared" si="1"/>
        <v>9</v>
      </c>
      <c r="AL51" s="46">
        <v>50</v>
      </c>
      <c r="AM51" s="46">
        <v>5</v>
      </c>
    </row>
    <row r="52" spans="2:39" x14ac:dyDescent="0.25">
      <c r="AE52" s="121" t="s">
        <v>4</v>
      </c>
      <c r="AF52" s="111" t="s">
        <v>214</v>
      </c>
      <c r="AG52" s="112">
        <v>9</v>
      </c>
      <c r="AH52" s="46">
        <v>6</v>
      </c>
      <c r="AI52" s="46">
        <f t="shared" si="0"/>
        <v>3</v>
      </c>
      <c r="AJ52" s="46">
        <v>13</v>
      </c>
      <c r="AK52" s="46">
        <f t="shared" si="1"/>
        <v>4</v>
      </c>
      <c r="AL52" s="46">
        <v>51</v>
      </c>
      <c r="AM52" s="46">
        <v>5</v>
      </c>
    </row>
    <row r="53" spans="2:39" x14ac:dyDescent="0.25">
      <c r="AE53" s="121" t="s">
        <v>7</v>
      </c>
      <c r="AF53" s="111" t="s">
        <v>8</v>
      </c>
      <c r="AG53" s="112">
        <v>9</v>
      </c>
      <c r="AH53" s="46">
        <v>7</v>
      </c>
      <c r="AI53" s="46">
        <f t="shared" si="0"/>
        <v>2</v>
      </c>
      <c r="AJ53" s="46">
        <v>15</v>
      </c>
      <c r="AK53" s="46">
        <f t="shared" si="1"/>
        <v>6</v>
      </c>
      <c r="AL53" s="46">
        <v>52</v>
      </c>
      <c r="AM53" s="46">
        <v>5</v>
      </c>
    </row>
    <row r="54" spans="2:39" ht="15.75" x14ac:dyDescent="0.25">
      <c r="B54" s="47" t="s">
        <v>862</v>
      </c>
      <c r="AE54" s="121" t="s">
        <v>79</v>
      </c>
      <c r="AF54" s="111" t="s">
        <v>80</v>
      </c>
      <c r="AG54" s="112">
        <v>10</v>
      </c>
      <c r="AH54" s="46">
        <v>3</v>
      </c>
      <c r="AI54" s="46">
        <f t="shared" si="0"/>
        <v>7</v>
      </c>
      <c r="AJ54" s="46">
        <v>15</v>
      </c>
      <c r="AK54" s="46">
        <f t="shared" si="1"/>
        <v>5</v>
      </c>
      <c r="AL54" s="46">
        <v>53</v>
      </c>
      <c r="AM54" s="46">
        <v>5</v>
      </c>
    </row>
    <row r="55" spans="2:39" ht="15.75" x14ac:dyDescent="0.25">
      <c r="B55" s="36" t="s">
        <v>1110</v>
      </c>
      <c r="R55" s="46">
        <f>MATCH(B55,'Lower Limb Angioplasty'!$D$1:$F$1,0)</f>
        <v>1</v>
      </c>
      <c r="AE55" s="121" t="s">
        <v>5</v>
      </c>
      <c r="AF55" s="111" t="s">
        <v>6</v>
      </c>
      <c r="AG55" s="112">
        <v>11</v>
      </c>
      <c r="AH55" s="46">
        <v>3</v>
      </c>
      <c r="AI55" s="46">
        <f t="shared" si="0"/>
        <v>8</v>
      </c>
      <c r="AJ55" s="46">
        <v>15</v>
      </c>
      <c r="AK55" s="46">
        <f t="shared" si="1"/>
        <v>4</v>
      </c>
      <c r="AL55" s="46">
        <v>54</v>
      </c>
      <c r="AM55" s="46">
        <v>5</v>
      </c>
    </row>
    <row r="56" spans="2:39" x14ac:dyDescent="0.25">
      <c r="AE56" s="67"/>
      <c r="AF56" s="111"/>
    </row>
    <row r="57" spans="2:39" x14ac:dyDescent="0.25">
      <c r="AE57" s="67"/>
      <c r="AF57" s="111"/>
    </row>
    <row r="58" spans="2:39" x14ac:dyDescent="0.25">
      <c r="AE58" s="67"/>
      <c r="AF58" s="111"/>
    </row>
    <row r="59" spans="2:39" x14ac:dyDescent="0.25">
      <c r="AE59" s="67"/>
      <c r="AF59" s="111"/>
    </row>
    <row r="60" spans="2:39" x14ac:dyDescent="0.25">
      <c r="AE60" s="67"/>
      <c r="AF60" s="113"/>
    </row>
    <row r="61" spans="2:39" x14ac:dyDescent="0.25">
      <c r="AE61" s="67"/>
      <c r="AF61" s="111"/>
    </row>
    <row r="62" spans="2:39" x14ac:dyDescent="0.25">
      <c r="AE62" s="67"/>
      <c r="AF62" s="111"/>
    </row>
    <row r="63" spans="2:39" x14ac:dyDescent="0.25">
      <c r="AE63" s="67"/>
      <c r="AF63" s="111"/>
    </row>
    <row r="64" spans="2:39" x14ac:dyDescent="0.25">
      <c r="AE64" s="67"/>
      <c r="AF64" s="111"/>
    </row>
    <row r="65" spans="31:32" x14ac:dyDescent="0.25">
      <c r="AE65" s="67"/>
      <c r="AF65" s="111"/>
    </row>
    <row r="66" spans="31:32" x14ac:dyDescent="0.25">
      <c r="AE66" s="67"/>
      <c r="AF66" s="111"/>
    </row>
    <row r="67" spans="31:32" x14ac:dyDescent="0.25">
      <c r="AE67" s="67"/>
      <c r="AF67" s="111"/>
    </row>
    <row r="68" spans="31:32" x14ac:dyDescent="0.25">
      <c r="AE68" s="67"/>
      <c r="AF68" s="111"/>
    </row>
    <row r="69" spans="31:32" x14ac:dyDescent="0.25">
      <c r="AE69" s="67"/>
      <c r="AF69" s="111"/>
    </row>
    <row r="70" spans="31:32" x14ac:dyDescent="0.25">
      <c r="AE70" s="67"/>
      <c r="AF70" s="111"/>
    </row>
    <row r="71" spans="31:32" x14ac:dyDescent="0.25">
      <c r="AE71" s="67"/>
      <c r="AF71" s="111"/>
    </row>
    <row r="72" spans="31:32" x14ac:dyDescent="0.25">
      <c r="AE72" s="67"/>
      <c r="AF72" s="111"/>
    </row>
    <row r="73" spans="31:32" x14ac:dyDescent="0.25">
      <c r="AE73" s="67"/>
      <c r="AF73" s="111"/>
    </row>
    <row r="74" spans="31:32" x14ac:dyDescent="0.25">
      <c r="AE74" s="67"/>
      <c r="AF74" s="111"/>
    </row>
    <row r="75" spans="31:32" x14ac:dyDescent="0.25">
      <c r="AE75" s="67"/>
      <c r="AF75" s="111"/>
    </row>
    <row r="76" spans="31:32" x14ac:dyDescent="0.25">
      <c r="AE76" s="67"/>
      <c r="AF76" s="111"/>
    </row>
  </sheetData>
  <mergeCells count="1">
    <mergeCell ref="B31:C31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1" manualBreakCount="1">
    <brk id="53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'Lower Limb Angioplasty'!$B$2:$B$98</xm:f>
          </x14:formula1>
          <xm:sqref>B1</xm:sqref>
        </x14:dataValidation>
        <x14:dataValidation type="list" allowBlank="1" showInputMessage="1" showErrorMessage="1">
          <x14:formula1>
            <xm:f>'Lower Limb Angioplasty'!$D$1:$F$1</xm:f>
          </x14:formula1>
          <xm:sqref>B55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0"/>
  <sheetViews>
    <sheetView showGridLines="0" workbookViewId="0">
      <selection activeCell="B1" sqref="B1"/>
    </sheetView>
  </sheetViews>
  <sheetFormatPr defaultRowHeight="15" x14ac:dyDescent="0.25"/>
  <cols>
    <col min="1" max="1" width="12" customWidth="1"/>
    <col min="2" max="2" width="53.140625" bestFit="1" customWidth="1"/>
    <col min="4" max="4" width="9.140625" customWidth="1"/>
    <col min="5" max="5" width="26" customWidth="1"/>
    <col min="6" max="6" width="14.5703125" customWidth="1"/>
    <col min="7" max="7" width="9.140625" customWidth="1"/>
    <col min="8" max="8" width="16" customWidth="1"/>
    <col min="9" max="9" width="15.140625" customWidth="1"/>
    <col min="10" max="10" width="14.85546875" customWidth="1"/>
    <col min="17" max="17" width="34.140625" customWidth="1"/>
    <col min="27" max="30" width="9.140625" style="46"/>
    <col min="31" max="31" width="6.42578125" style="46" bestFit="1" customWidth="1"/>
    <col min="32" max="32" width="63.7109375" style="46" bestFit="1" customWidth="1"/>
    <col min="33" max="33" width="5.140625" style="46" bestFit="1" customWidth="1"/>
    <col min="34" max="34" width="3.28515625" style="46" bestFit="1" customWidth="1"/>
    <col min="35" max="38" width="9.140625" style="46"/>
  </cols>
  <sheetData>
    <row r="1" spans="1:38" ht="30.75" customHeight="1" x14ac:dyDescent="0.25">
      <c r="A1" s="35" t="s">
        <v>825</v>
      </c>
      <c r="B1" s="36" t="s">
        <v>10</v>
      </c>
      <c r="AA1" s="106" t="s">
        <v>1103</v>
      </c>
      <c r="AB1" s="107" t="s">
        <v>835</v>
      </c>
      <c r="AC1" s="107" t="s">
        <v>836</v>
      </c>
      <c r="AD1" s="108" t="s">
        <v>832</v>
      </c>
      <c r="AE1" s="120" t="s">
        <v>189</v>
      </c>
      <c r="AF1" s="120" t="s">
        <v>183</v>
      </c>
      <c r="AG1" s="107" t="s">
        <v>829</v>
      </c>
      <c r="AH1" s="107" t="s">
        <v>830</v>
      </c>
      <c r="AI1" s="107" t="s">
        <v>1101</v>
      </c>
      <c r="AJ1" s="107" t="s">
        <v>831</v>
      </c>
      <c r="AK1" s="107" t="s">
        <v>1102</v>
      </c>
      <c r="AL1" s="107" t="s">
        <v>1004</v>
      </c>
    </row>
    <row r="2" spans="1:38" ht="15.75" x14ac:dyDescent="0.25">
      <c r="Q2" s="47" t="s">
        <v>862</v>
      </c>
      <c r="AA2" s="46">
        <f>VLOOKUP($B$1,'Major Lower Limb Amputation'!$B:$AC,26,FALSE)</f>
        <v>84</v>
      </c>
      <c r="AB2" s="46">
        <f>VLOOKUP($B$1,'Major Lower Limb Amputation'!$B:$AC,27,FALSE)</f>
        <v>28.228857755661011</v>
      </c>
      <c r="AC2" s="46">
        <f>VLOOKUP($B$1,'Major Lower Limb Amputation'!$B:$AC,28,FALSE)</f>
        <v>70.745891332626343</v>
      </c>
      <c r="AD2" s="46">
        <f>VLOOKUP($B$1,'Major Lower Limb Amputation'!$B:$AC,25,FALSE)</f>
        <v>35</v>
      </c>
      <c r="AE2" s="46" t="s">
        <v>117</v>
      </c>
      <c r="AF2" s="113" t="s">
        <v>773</v>
      </c>
      <c r="AG2" s="46">
        <v>2</v>
      </c>
      <c r="AH2" s="46">
        <v>1</v>
      </c>
      <c r="AI2" s="46">
        <f>AG2-AH2</f>
        <v>1</v>
      </c>
      <c r="AJ2" s="46">
        <v>4</v>
      </c>
      <c r="AK2" s="46">
        <f>AJ2-AG2</f>
        <v>2</v>
      </c>
      <c r="AL2" s="46">
        <v>1</v>
      </c>
    </row>
    <row r="3" spans="1:38" ht="15.75" x14ac:dyDescent="0.25">
      <c r="Q3" s="71" t="s">
        <v>210</v>
      </c>
      <c r="AB3" s="45" t="s">
        <v>852</v>
      </c>
      <c r="AC3" s="45"/>
      <c r="AD3" s="45" t="s">
        <v>853</v>
      </c>
      <c r="AE3" s="46" t="s">
        <v>166</v>
      </c>
      <c r="AF3" s="111" t="s">
        <v>167</v>
      </c>
      <c r="AG3" s="46">
        <v>3</v>
      </c>
      <c r="AH3" s="46">
        <v>1</v>
      </c>
      <c r="AI3" s="46">
        <f t="shared" ref="AI3:AI66" si="0">AG3-AH3</f>
        <v>2</v>
      </c>
      <c r="AJ3" s="46">
        <v>10</v>
      </c>
      <c r="AK3" s="46">
        <f t="shared" ref="AK3:AK66" si="1">AJ3-AG3</f>
        <v>7</v>
      </c>
      <c r="AL3" s="46">
        <v>2</v>
      </c>
    </row>
    <row r="4" spans="1:38" x14ac:dyDescent="0.25">
      <c r="Q4" s="46">
        <f>MATCH(Q3,'Major Lower Limb Amputation'!$E$7:$F$7,0)</f>
        <v>2</v>
      </c>
      <c r="AB4" s="45">
        <f>VLOOKUP($B$1,'Major Lower Limb Amputation'!$B:$W,13,FALSE)</f>
        <v>0.85899999999999999</v>
      </c>
      <c r="AC4" s="45"/>
      <c r="AD4" s="45">
        <f>VLOOKUP($B$1,'Major Lower Limb Amputation'!$B:$W,12,FALSE)</f>
        <v>50</v>
      </c>
      <c r="AE4" s="46" t="s">
        <v>0</v>
      </c>
      <c r="AF4" s="111" t="s">
        <v>1</v>
      </c>
      <c r="AG4" s="46">
        <v>3</v>
      </c>
      <c r="AH4" s="46">
        <v>2</v>
      </c>
      <c r="AI4" s="46">
        <f t="shared" si="0"/>
        <v>1</v>
      </c>
      <c r="AJ4" s="46">
        <v>8</v>
      </c>
      <c r="AK4" s="46">
        <f t="shared" si="1"/>
        <v>5</v>
      </c>
      <c r="AL4" s="46">
        <v>3</v>
      </c>
    </row>
    <row r="5" spans="1:38" x14ac:dyDescent="0.25">
      <c r="AE5" s="46" t="s">
        <v>83</v>
      </c>
      <c r="AF5" s="111" t="s">
        <v>84</v>
      </c>
      <c r="AG5" s="46">
        <v>4</v>
      </c>
      <c r="AH5" s="46">
        <v>2</v>
      </c>
      <c r="AI5" s="46">
        <f t="shared" si="0"/>
        <v>2</v>
      </c>
      <c r="AJ5" s="46">
        <v>11</v>
      </c>
      <c r="AK5" s="46">
        <f t="shared" si="1"/>
        <v>7</v>
      </c>
      <c r="AL5" s="46">
        <v>4</v>
      </c>
    </row>
    <row r="6" spans="1:38" x14ac:dyDescent="0.25">
      <c r="AE6" s="46" t="s">
        <v>89</v>
      </c>
      <c r="AF6" s="111" t="s">
        <v>90</v>
      </c>
      <c r="AG6" s="46">
        <v>5</v>
      </c>
      <c r="AH6" s="46">
        <v>2</v>
      </c>
      <c r="AI6" s="46">
        <f t="shared" si="0"/>
        <v>3</v>
      </c>
      <c r="AJ6" s="46">
        <v>10</v>
      </c>
      <c r="AK6" s="46">
        <f t="shared" si="1"/>
        <v>5</v>
      </c>
      <c r="AL6" s="46">
        <v>5</v>
      </c>
    </row>
    <row r="7" spans="1:38" x14ac:dyDescent="0.25">
      <c r="AE7" s="46" t="s">
        <v>122</v>
      </c>
      <c r="AF7" s="111" t="s">
        <v>123</v>
      </c>
      <c r="AG7" s="46">
        <v>5</v>
      </c>
      <c r="AH7" s="46">
        <v>2</v>
      </c>
      <c r="AI7" s="46">
        <f t="shared" si="0"/>
        <v>3</v>
      </c>
      <c r="AJ7" s="46">
        <v>10</v>
      </c>
      <c r="AK7" s="46">
        <f t="shared" si="1"/>
        <v>5</v>
      </c>
      <c r="AL7" s="46">
        <v>6</v>
      </c>
    </row>
    <row r="8" spans="1:38" x14ac:dyDescent="0.25">
      <c r="AE8" s="46" t="s">
        <v>144</v>
      </c>
      <c r="AF8" s="111" t="s">
        <v>145</v>
      </c>
      <c r="AG8" s="46">
        <v>5</v>
      </c>
      <c r="AH8" s="46">
        <v>2</v>
      </c>
      <c r="AI8" s="46">
        <f t="shared" si="0"/>
        <v>3</v>
      </c>
      <c r="AJ8" s="46">
        <v>10</v>
      </c>
      <c r="AK8" s="46">
        <f t="shared" si="1"/>
        <v>5</v>
      </c>
      <c r="AL8" s="46">
        <v>7</v>
      </c>
    </row>
    <row r="9" spans="1:38" x14ac:dyDescent="0.25">
      <c r="AE9" s="46" t="s">
        <v>128</v>
      </c>
      <c r="AF9" s="111" t="s">
        <v>129</v>
      </c>
      <c r="AG9" s="46">
        <v>5</v>
      </c>
      <c r="AH9" s="46">
        <v>2</v>
      </c>
      <c r="AI9" s="46">
        <f t="shared" si="0"/>
        <v>3</v>
      </c>
      <c r="AJ9" s="46">
        <v>11</v>
      </c>
      <c r="AK9" s="46">
        <f t="shared" si="1"/>
        <v>6</v>
      </c>
      <c r="AL9" s="46">
        <v>8</v>
      </c>
    </row>
    <row r="10" spans="1:38" x14ac:dyDescent="0.25">
      <c r="AE10" s="46" t="s">
        <v>42</v>
      </c>
      <c r="AF10" s="111" t="s">
        <v>43</v>
      </c>
      <c r="AG10" s="46">
        <v>5</v>
      </c>
      <c r="AH10" s="46">
        <v>2</v>
      </c>
      <c r="AI10" s="46">
        <f t="shared" si="0"/>
        <v>3</v>
      </c>
      <c r="AJ10" s="46">
        <v>12</v>
      </c>
      <c r="AK10" s="46">
        <f t="shared" si="1"/>
        <v>7</v>
      </c>
      <c r="AL10" s="46">
        <v>9</v>
      </c>
    </row>
    <row r="11" spans="1:38" x14ac:dyDescent="0.25">
      <c r="AE11" s="46" t="s">
        <v>87</v>
      </c>
      <c r="AF11" s="111" t="s">
        <v>88</v>
      </c>
      <c r="AG11" s="46">
        <v>5</v>
      </c>
      <c r="AH11" s="46">
        <v>2</v>
      </c>
      <c r="AI11" s="46">
        <f t="shared" si="0"/>
        <v>3</v>
      </c>
      <c r="AJ11" s="46">
        <v>13</v>
      </c>
      <c r="AK11" s="46">
        <f t="shared" si="1"/>
        <v>8</v>
      </c>
      <c r="AL11" s="46">
        <v>10</v>
      </c>
    </row>
    <row r="12" spans="1:38" x14ac:dyDescent="0.25">
      <c r="AE12" s="46" t="s">
        <v>95</v>
      </c>
      <c r="AF12" s="111" t="s">
        <v>96</v>
      </c>
      <c r="AG12" s="46">
        <v>5</v>
      </c>
      <c r="AH12" s="46">
        <v>2</v>
      </c>
      <c r="AI12" s="46">
        <f t="shared" si="0"/>
        <v>3</v>
      </c>
      <c r="AJ12" s="46">
        <v>13</v>
      </c>
      <c r="AK12" s="46">
        <f t="shared" si="1"/>
        <v>8</v>
      </c>
      <c r="AL12" s="46">
        <v>11</v>
      </c>
    </row>
    <row r="13" spans="1:38" x14ac:dyDescent="0.25">
      <c r="AE13" s="46" t="s">
        <v>74</v>
      </c>
      <c r="AF13" s="111" t="s">
        <v>75</v>
      </c>
      <c r="AG13" s="46">
        <v>5</v>
      </c>
      <c r="AH13" s="46">
        <v>2</v>
      </c>
      <c r="AI13" s="46">
        <f t="shared" si="0"/>
        <v>3</v>
      </c>
      <c r="AJ13" s="46">
        <v>17</v>
      </c>
      <c r="AK13" s="46">
        <f t="shared" si="1"/>
        <v>12</v>
      </c>
      <c r="AL13" s="46">
        <v>12</v>
      </c>
    </row>
    <row r="14" spans="1:38" x14ac:dyDescent="0.25">
      <c r="AE14" s="46" t="s">
        <v>156</v>
      </c>
      <c r="AF14" s="111" t="s">
        <v>157</v>
      </c>
      <c r="AG14" s="46">
        <v>5</v>
      </c>
      <c r="AH14" s="46">
        <v>2</v>
      </c>
      <c r="AI14" s="46">
        <f t="shared" si="0"/>
        <v>3</v>
      </c>
      <c r="AJ14" s="46">
        <v>18</v>
      </c>
      <c r="AK14" s="46">
        <f t="shared" si="1"/>
        <v>13</v>
      </c>
      <c r="AL14" s="46">
        <v>13</v>
      </c>
    </row>
    <row r="15" spans="1:38" x14ac:dyDescent="0.25">
      <c r="AE15" s="46" t="s">
        <v>120</v>
      </c>
      <c r="AF15" s="111" t="s">
        <v>121</v>
      </c>
      <c r="AG15" s="46">
        <v>5</v>
      </c>
      <c r="AH15" s="46">
        <v>3</v>
      </c>
      <c r="AI15" s="46">
        <f t="shared" si="0"/>
        <v>2</v>
      </c>
      <c r="AJ15" s="46">
        <v>11</v>
      </c>
      <c r="AK15" s="46">
        <f t="shared" si="1"/>
        <v>6</v>
      </c>
      <c r="AL15" s="46">
        <v>14</v>
      </c>
    </row>
    <row r="16" spans="1:38" x14ac:dyDescent="0.25">
      <c r="AE16" s="46" t="s">
        <v>9</v>
      </c>
      <c r="AF16" s="111" t="s">
        <v>10</v>
      </c>
      <c r="AG16" s="46">
        <v>5</v>
      </c>
      <c r="AH16" s="46">
        <v>3</v>
      </c>
      <c r="AI16" s="46">
        <f t="shared" si="0"/>
        <v>2</v>
      </c>
      <c r="AJ16" s="46">
        <v>14</v>
      </c>
      <c r="AK16" s="46">
        <f t="shared" si="1"/>
        <v>9</v>
      </c>
      <c r="AL16" s="46">
        <v>15</v>
      </c>
    </row>
    <row r="17" spans="2:38" x14ac:dyDescent="0.25">
      <c r="AE17" s="46" t="s">
        <v>170</v>
      </c>
      <c r="AF17" s="111" t="s">
        <v>171</v>
      </c>
      <c r="AG17" s="46">
        <v>5</v>
      </c>
      <c r="AH17" s="46">
        <v>3</v>
      </c>
      <c r="AI17" s="46">
        <f t="shared" si="0"/>
        <v>2</v>
      </c>
      <c r="AJ17" s="46">
        <v>15</v>
      </c>
      <c r="AK17" s="46">
        <f t="shared" si="1"/>
        <v>10</v>
      </c>
      <c r="AL17" s="46">
        <v>16</v>
      </c>
    </row>
    <row r="18" spans="2:38" x14ac:dyDescent="0.25">
      <c r="AE18" s="46" t="s">
        <v>140</v>
      </c>
      <c r="AF18" s="111" t="s">
        <v>141</v>
      </c>
      <c r="AG18" s="46">
        <v>6</v>
      </c>
      <c r="AH18" s="46">
        <v>2</v>
      </c>
      <c r="AI18" s="46">
        <f t="shared" si="0"/>
        <v>4</v>
      </c>
      <c r="AJ18" s="46">
        <v>11</v>
      </c>
      <c r="AK18" s="46">
        <f t="shared" si="1"/>
        <v>5</v>
      </c>
      <c r="AL18" s="46">
        <v>17</v>
      </c>
    </row>
    <row r="19" spans="2:38" x14ac:dyDescent="0.25">
      <c r="AE19" s="46" t="s">
        <v>91</v>
      </c>
      <c r="AF19" s="111" t="s">
        <v>92</v>
      </c>
      <c r="AG19" s="46">
        <v>6</v>
      </c>
      <c r="AH19" s="46">
        <v>2</v>
      </c>
      <c r="AI19" s="46">
        <f t="shared" si="0"/>
        <v>4</v>
      </c>
      <c r="AJ19" s="46">
        <v>13</v>
      </c>
      <c r="AK19" s="46">
        <f t="shared" si="1"/>
        <v>7</v>
      </c>
      <c r="AL19" s="46">
        <v>18</v>
      </c>
    </row>
    <row r="20" spans="2:38" x14ac:dyDescent="0.25">
      <c r="AE20" s="46" t="s">
        <v>11</v>
      </c>
      <c r="AF20" s="111" t="s">
        <v>12</v>
      </c>
      <c r="AG20" s="46">
        <v>6</v>
      </c>
      <c r="AH20" s="46">
        <v>3</v>
      </c>
      <c r="AI20" s="46">
        <f t="shared" si="0"/>
        <v>3</v>
      </c>
      <c r="AJ20" s="46">
        <v>19</v>
      </c>
      <c r="AK20" s="46">
        <f t="shared" si="1"/>
        <v>13</v>
      </c>
      <c r="AL20" s="46">
        <v>19</v>
      </c>
    </row>
    <row r="21" spans="2:38" x14ac:dyDescent="0.25">
      <c r="AE21" s="46" t="s">
        <v>115</v>
      </c>
      <c r="AF21" s="111" t="s">
        <v>116</v>
      </c>
      <c r="AG21" s="46">
        <v>6</v>
      </c>
      <c r="AH21" s="46">
        <v>4</v>
      </c>
      <c r="AI21" s="46">
        <f t="shared" si="0"/>
        <v>2</v>
      </c>
      <c r="AJ21" s="46">
        <v>16</v>
      </c>
      <c r="AK21" s="46">
        <f t="shared" si="1"/>
        <v>10</v>
      </c>
      <c r="AL21" s="46">
        <v>20</v>
      </c>
    </row>
    <row r="22" spans="2:38" x14ac:dyDescent="0.25">
      <c r="AE22" s="46" t="s">
        <v>99</v>
      </c>
      <c r="AF22" s="111" t="s">
        <v>100</v>
      </c>
      <c r="AG22" s="46">
        <v>7</v>
      </c>
      <c r="AH22" s="46">
        <v>2</v>
      </c>
      <c r="AI22" s="46">
        <f t="shared" si="0"/>
        <v>5</v>
      </c>
      <c r="AJ22" s="46">
        <v>13</v>
      </c>
      <c r="AK22" s="46">
        <f t="shared" si="1"/>
        <v>6</v>
      </c>
      <c r="AL22" s="46">
        <v>21</v>
      </c>
    </row>
    <row r="23" spans="2:38" x14ac:dyDescent="0.25">
      <c r="AE23" s="46" t="s">
        <v>40</v>
      </c>
      <c r="AF23" s="111" t="s">
        <v>41</v>
      </c>
      <c r="AG23" s="46">
        <v>7</v>
      </c>
      <c r="AH23" s="46">
        <v>2</v>
      </c>
      <c r="AI23" s="46">
        <f t="shared" si="0"/>
        <v>5</v>
      </c>
      <c r="AJ23" s="46">
        <v>21</v>
      </c>
      <c r="AK23" s="46">
        <f t="shared" si="1"/>
        <v>14</v>
      </c>
      <c r="AL23" s="46">
        <v>22</v>
      </c>
    </row>
    <row r="24" spans="2:38" x14ac:dyDescent="0.25">
      <c r="AE24" s="46" t="s">
        <v>176</v>
      </c>
      <c r="AF24" s="111" t="s">
        <v>177</v>
      </c>
      <c r="AG24" s="46">
        <v>7</v>
      </c>
      <c r="AH24" s="46">
        <v>3</v>
      </c>
      <c r="AI24" s="46">
        <f t="shared" si="0"/>
        <v>4</v>
      </c>
      <c r="AJ24" s="46">
        <v>11</v>
      </c>
      <c r="AK24" s="46">
        <f t="shared" si="1"/>
        <v>4</v>
      </c>
      <c r="AL24" s="46">
        <v>23</v>
      </c>
    </row>
    <row r="25" spans="2:38" x14ac:dyDescent="0.25">
      <c r="AE25" s="46" t="s">
        <v>142</v>
      </c>
      <c r="AF25" s="111" t="s">
        <v>143</v>
      </c>
      <c r="AG25" s="46">
        <v>7</v>
      </c>
      <c r="AH25" s="46">
        <v>3</v>
      </c>
      <c r="AI25" s="46">
        <f t="shared" si="0"/>
        <v>4</v>
      </c>
      <c r="AJ25" s="46">
        <v>12</v>
      </c>
      <c r="AK25" s="46">
        <f t="shared" si="1"/>
        <v>5</v>
      </c>
      <c r="AL25" s="46">
        <v>24</v>
      </c>
    </row>
    <row r="26" spans="2:38" x14ac:dyDescent="0.25">
      <c r="AE26" s="46" t="s">
        <v>60</v>
      </c>
      <c r="AF26" s="111" t="s">
        <v>61</v>
      </c>
      <c r="AG26" s="46">
        <v>7</v>
      </c>
      <c r="AH26" s="46">
        <v>3</v>
      </c>
      <c r="AI26" s="46">
        <f t="shared" si="0"/>
        <v>4</v>
      </c>
      <c r="AJ26" s="46">
        <v>16</v>
      </c>
      <c r="AK26" s="46">
        <f t="shared" si="1"/>
        <v>9</v>
      </c>
      <c r="AL26" s="46">
        <v>25</v>
      </c>
    </row>
    <row r="27" spans="2:38" ht="15.75" thickBot="1" x14ac:dyDescent="0.3">
      <c r="AE27" s="46" t="s">
        <v>70</v>
      </c>
      <c r="AF27" s="111" t="s">
        <v>71</v>
      </c>
      <c r="AG27" s="46">
        <v>7</v>
      </c>
      <c r="AH27" s="46">
        <v>3</v>
      </c>
      <c r="AI27" s="46">
        <f t="shared" si="0"/>
        <v>4</v>
      </c>
      <c r="AJ27" s="46">
        <v>16</v>
      </c>
      <c r="AK27" s="46">
        <f t="shared" si="1"/>
        <v>9</v>
      </c>
      <c r="AL27" s="46">
        <v>26</v>
      </c>
    </row>
    <row r="28" spans="2:38" ht="60.75" thickBot="1" x14ac:dyDescent="0.3">
      <c r="B28" s="37" t="s">
        <v>183</v>
      </c>
      <c r="C28" s="37" t="s">
        <v>189</v>
      </c>
      <c r="D28" s="38" t="s">
        <v>197</v>
      </c>
      <c r="E28" s="89" t="s">
        <v>774</v>
      </c>
      <c r="F28" s="37" t="s">
        <v>206</v>
      </c>
      <c r="G28" s="38" t="s">
        <v>210</v>
      </c>
      <c r="H28" s="38" t="s">
        <v>211</v>
      </c>
      <c r="I28" s="90" t="s">
        <v>212</v>
      </c>
      <c r="J28" s="38" t="s">
        <v>213</v>
      </c>
      <c r="AE28" s="46" t="s">
        <v>54</v>
      </c>
      <c r="AF28" s="111" t="s">
        <v>55</v>
      </c>
      <c r="AG28" s="46">
        <v>7</v>
      </c>
      <c r="AH28" s="46">
        <v>3</v>
      </c>
      <c r="AI28" s="46">
        <f t="shared" si="0"/>
        <v>4</v>
      </c>
      <c r="AJ28" s="46">
        <v>17</v>
      </c>
      <c r="AK28" s="46">
        <f t="shared" si="1"/>
        <v>10</v>
      </c>
      <c r="AL28" s="46">
        <v>27</v>
      </c>
    </row>
    <row r="29" spans="2:38" ht="15.75" thickBot="1" x14ac:dyDescent="0.3">
      <c r="B29" s="39" t="str">
        <f>B1</f>
        <v>Aneurin Bevan University Health Board</v>
      </c>
      <c r="C29" s="84">
        <f>VLOOKUP($B29,'Major Lower Limb Amputation'!$B:$W,12,FALSE)</f>
        <v>50</v>
      </c>
      <c r="D29" s="84">
        <f>VLOOKUP($B29,'Major Lower Limb Amputation'!$B:$W,2,FALSE)</f>
        <v>92</v>
      </c>
      <c r="E29" s="40" t="str">
        <f>VLOOKUP($B29,'Major Lower Limb Amputation'!$B:$W,4,FALSE)</f>
        <v>5 (3 - 14)</v>
      </c>
      <c r="F29" s="40" t="str">
        <f>VLOOKUP($B29,'Major Lower Limb Amputation'!$B:$W,3,FALSE)</f>
        <v>28 (14 - 41)</v>
      </c>
      <c r="G29" s="91">
        <f>VLOOKUP($B29,'Major Lower Limb Amputation'!$B:$W,5,FALSE)</f>
        <v>0.84</v>
      </c>
      <c r="H29" s="85">
        <f>VLOOKUP($B29,'Major Lower Limb Amputation'!$B:$W,6,FALSE)</f>
        <v>0.91300000000000003</v>
      </c>
      <c r="I29" s="85">
        <f>VLOOKUP($B29,'Major Lower Limb Amputation'!$B:$W,7,FALSE)</f>
        <v>0.85899999999999999</v>
      </c>
      <c r="J29" s="85">
        <f>VLOOKUP($B29,'Major Lower Limb Amputation'!$B:$W,8,FALSE)</f>
        <v>3.6999999999999998E-2</v>
      </c>
      <c r="AE29" s="46" t="s">
        <v>118</v>
      </c>
      <c r="AF29" s="111" t="s">
        <v>119</v>
      </c>
      <c r="AG29" s="46">
        <v>7</v>
      </c>
      <c r="AH29" s="46">
        <v>3</v>
      </c>
      <c r="AI29" s="46">
        <f t="shared" si="0"/>
        <v>4</v>
      </c>
      <c r="AJ29" s="46">
        <v>19</v>
      </c>
      <c r="AK29" s="46">
        <f t="shared" si="1"/>
        <v>12</v>
      </c>
      <c r="AL29" s="46">
        <v>28</v>
      </c>
    </row>
    <row r="30" spans="2:38" ht="15.75" thickBot="1" x14ac:dyDescent="0.3">
      <c r="B30" s="130" t="s">
        <v>827</v>
      </c>
      <c r="C30" s="130"/>
      <c r="D30" s="86">
        <v>9508</v>
      </c>
      <c r="E30" s="40" t="s">
        <v>1112</v>
      </c>
      <c r="F30" s="40" t="s">
        <v>455</v>
      </c>
      <c r="G30" s="84">
        <v>0.91</v>
      </c>
      <c r="H30" s="85">
        <v>0.79400000000000004</v>
      </c>
      <c r="I30" s="43">
        <v>0.67500000000000004</v>
      </c>
      <c r="J30" s="43">
        <v>4.8000000000000001E-2</v>
      </c>
      <c r="AE30" s="46" t="s">
        <v>124</v>
      </c>
      <c r="AF30" s="111" t="s">
        <v>125</v>
      </c>
      <c r="AG30" s="46">
        <v>7</v>
      </c>
      <c r="AH30" s="46">
        <v>3</v>
      </c>
      <c r="AI30" s="46">
        <f t="shared" si="0"/>
        <v>4</v>
      </c>
      <c r="AJ30" s="46">
        <v>19</v>
      </c>
      <c r="AK30" s="46">
        <f t="shared" si="1"/>
        <v>12</v>
      </c>
      <c r="AL30" s="46">
        <v>29</v>
      </c>
    </row>
    <row r="31" spans="2:38" ht="15.75" x14ac:dyDescent="0.25">
      <c r="Q31" s="47" t="s">
        <v>862</v>
      </c>
      <c r="AE31" s="46" t="s">
        <v>158</v>
      </c>
      <c r="AF31" s="111" t="s">
        <v>159</v>
      </c>
      <c r="AG31" s="46">
        <v>7</v>
      </c>
      <c r="AH31" s="46">
        <v>3</v>
      </c>
      <c r="AI31" s="46">
        <f t="shared" si="0"/>
        <v>4</v>
      </c>
      <c r="AJ31" s="46">
        <v>19</v>
      </c>
      <c r="AK31" s="46">
        <f t="shared" si="1"/>
        <v>12</v>
      </c>
      <c r="AL31" s="46">
        <v>30</v>
      </c>
    </row>
    <row r="32" spans="2:38" ht="15.75" x14ac:dyDescent="0.25">
      <c r="Q32" s="36" t="s">
        <v>212</v>
      </c>
      <c r="AE32" s="46" t="s">
        <v>48</v>
      </c>
      <c r="AF32" s="111" t="s">
        <v>49</v>
      </c>
      <c r="AG32" s="46">
        <v>7</v>
      </c>
      <c r="AH32" s="46">
        <v>3</v>
      </c>
      <c r="AI32" s="46">
        <f t="shared" si="0"/>
        <v>4</v>
      </c>
      <c r="AJ32" s="46">
        <v>24</v>
      </c>
      <c r="AK32" s="46">
        <f t="shared" si="1"/>
        <v>17</v>
      </c>
      <c r="AL32" s="46">
        <v>31</v>
      </c>
    </row>
    <row r="33" spans="17:38" x14ac:dyDescent="0.25">
      <c r="Q33" s="46">
        <f>MATCH(Q32,'Major Lower Limb Amputation'!$G$7:$H$7,0)</f>
        <v>2</v>
      </c>
      <c r="AE33" s="46" t="s">
        <v>58</v>
      </c>
      <c r="AF33" s="111" t="s">
        <v>59</v>
      </c>
      <c r="AG33" s="46">
        <v>7</v>
      </c>
      <c r="AH33" s="46">
        <v>5</v>
      </c>
      <c r="AI33" s="46">
        <f t="shared" si="0"/>
        <v>2</v>
      </c>
      <c r="AJ33" s="46">
        <v>21</v>
      </c>
      <c r="AK33" s="46">
        <f t="shared" si="1"/>
        <v>14</v>
      </c>
      <c r="AL33" s="46">
        <v>32</v>
      </c>
    </row>
    <row r="34" spans="17:38" x14ac:dyDescent="0.25">
      <c r="AE34" s="46" t="s">
        <v>66</v>
      </c>
      <c r="AF34" s="111" t="s">
        <v>67</v>
      </c>
      <c r="AG34" s="46">
        <v>8</v>
      </c>
      <c r="AH34" s="46">
        <v>3</v>
      </c>
      <c r="AI34" s="46">
        <f t="shared" si="0"/>
        <v>5</v>
      </c>
      <c r="AJ34" s="46">
        <v>14</v>
      </c>
      <c r="AK34" s="46">
        <f t="shared" si="1"/>
        <v>6</v>
      </c>
      <c r="AL34" s="46">
        <v>33</v>
      </c>
    </row>
    <row r="35" spans="17:38" x14ac:dyDescent="0.25">
      <c r="AE35" s="46" t="s">
        <v>39</v>
      </c>
      <c r="AF35" s="111" t="s">
        <v>216</v>
      </c>
      <c r="AG35" s="46">
        <v>8</v>
      </c>
      <c r="AH35" s="46">
        <v>3</v>
      </c>
      <c r="AI35" s="46">
        <f t="shared" si="0"/>
        <v>5</v>
      </c>
      <c r="AJ35" s="46">
        <v>15</v>
      </c>
      <c r="AK35" s="46">
        <f t="shared" si="1"/>
        <v>7</v>
      </c>
      <c r="AL35" s="46">
        <v>34</v>
      </c>
    </row>
    <row r="36" spans="17:38" x14ac:dyDescent="0.25">
      <c r="AE36" s="46" t="s">
        <v>178</v>
      </c>
      <c r="AF36" s="111" t="s">
        <v>179</v>
      </c>
      <c r="AG36" s="46">
        <v>8</v>
      </c>
      <c r="AH36" s="46">
        <v>3</v>
      </c>
      <c r="AI36" s="46">
        <f t="shared" si="0"/>
        <v>5</v>
      </c>
      <c r="AJ36" s="46">
        <v>16</v>
      </c>
      <c r="AK36" s="46">
        <f t="shared" si="1"/>
        <v>8</v>
      </c>
      <c r="AL36" s="46">
        <v>35</v>
      </c>
    </row>
    <row r="37" spans="17:38" x14ac:dyDescent="0.25">
      <c r="AE37" s="46" t="s">
        <v>126</v>
      </c>
      <c r="AF37" s="111" t="s">
        <v>127</v>
      </c>
      <c r="AG37" s="46">
        <v>8</v>
      </c>
      <c r="AH37" s="46">
        <v>3</v>
      </c>
      <c r="AI37" s="46">
        <f t="shared" si="0"/>
        <v>5</v>
      </c>
      <c r="AJ37" s="46">
        <v>19</v>
      </c>
      <c r="AK37" s="46">
        <f t="shared" si="1"/>
        <v>11</v>
      </c>
      <c r="AL37" s="46">
        <v>36</v>
      </c>
    </row>
    <row r="38" spans="17:38" x14ac:dyDescent="0.25">
      <c r="AE38" s="46" t="s">
        <v>138</v>
      </c>
      <c r="AF38" s="111" t="s">
        <v>139</v>
      </c>
      <c r="AG38" s="46">
        <v>8</v>
      </c>
      <c r="AH38" s="46">
        <v>3</v>
      </c>
      <c r="AI38" s="46">
        <f t="shared" si="0"/>
        <v>5</v>
      </c>
      <c r="AJ38" s="46">
        <v>21</v>
      </c>
      <c r="AK38" s="46">
        <f t="shared" si="1"/>
        <v>13</v>
      </c>
      <c r="AL38" s="46">
        <v>37</v>
      </c>
    </row>
    <row r="39" spans="17:38" x14ac:dyDescent="0.25">
      <c r="AE39" s="46" t="s">
        <v>23</v>
      </c>
      <c r="AF39" s="111" t="s">
        <v>24</v>
      </c>
      <c r="AG39" s="46">
        <v>8</v>
      </c>
      <c r="AH39" s="46">
        <v>3</v>
      </c>
      <c r="AI39" s="46">
        <f t="shared" si="0"/>
        <v>5</v>
      </c>
      <c r="AJ39" s="46">
        <v>22</v>
      </c>
      <c r="AK39" s="46">
        <f t="shared" si="1"/>
        <v>14</v>
      </c>
      <c r="AL39" s="46">
        <v>38</v>
      </c>
    </row>
    <row r="40" spans="17:38" x14ac:dyDescent="0.25">
      <c r="AE40" s="46" t="s">
        <v>105</v>
      </c>
      <c r="AF40" s="111" t="s">
        <v>106</v>
      </c>
      <c r="AG40" s="46">
        <v>8</v>
      </c>
      <c r="AH40" s="46">
        <v>3</v>
      </c>
      <c r="AI40" s="46">
        <f t="shared" si="0"/>
        <v>5</v>
      </c>
      <c r="AJ40" s="46">
        <v>23</v>
      </c>
      <c r="AK40" s="46">
        <f t="shared" si="1"/>
        <v>15</v>
      </c>
      <c r="AL40" s="46">
        <v>39</v>
      </c>
    </row>
    <row r="41" spans="17:38" x14ac:dyDescent="0.25">
      <c r="AE41" s="46" t="s">
        <v>35</v>
      </c>
      <c r="AF41" s="111" t="s">
        <v>36</v>
      </c>
      <c r="AG41" s="46">
        <v>8</v>
      </c>
      <c r="AH41" s="46">
        <v>3</v>
      </c>
      <c r="AI41" s="46">
        <f t="shared" si="0"/>
        <v>5</v>
      </c>
      <c r="AJ41" s="46">
        <v>45</v>
      </c>
      <c r="AK41" s="46">
        <f t="shared" si="1"/>
        <v>37</v>
      </c>
      <c r="AL41" s="46">
        <v>40</v>
      </c>
    </row>
    <row r="42" spans="17:38" x14ac:dyDescent="0.25">
      <c r="AE42" s="46" t="s">
        <v>107</v>
      </c>
      <c r="AF42" s="111" t="s">
        <v>108</v>
      </c>
      <c r="AG42" s="46">
        <v>8</v>
      </c>
      <c r="AH42" s="46">
        <v>4</v>
      </c>
      <c r="AI42" s="46">
        <f t="shared" si="0"/>
        <v>4</v>
      </c>
      <c r="AJ42" s="46">
        <v>16</v>
      </c>
      <c r="AK42" s="46">
        <f t="shared" si="1"/>
        <v>8</v>
      </c>
      <c r="AL42" s="46">
        <v>41</v>
      </c>
    </row>
    <row r="43" spans="17:38" x14ac:dyDescent="0.25">
      <c r="AE43" s="46" t="s">
        <v>132</v>
      </c>
      <c r="AF43" s="111" t="s">
        <v>133</v>
      </c>
      <c r="AG43" s="46">
        <v>8</v>
      </c>
      <c r="AH43" s="46">
        <v>4</v>
      </c>
      <c r="AI43" s="46">
        <f t="shared" si="0"/>
        <v>4</v>
      </c>
      <c r="AJ43" s="46">
        <v>16</v>
      </c>
      <c r="AK43" s="46">
        <f t="shared" si="1"/>
        <v>8</v>
      </c>
      <c r="AL43" s="46">
        <v>42</v>
      </c>
    </row>
    <row r="44" spans="17:38" x14ac:dyDescent="0.25">
      <c r="AE44" s="46" t="s">
        <v>72</v>
      </c>
      <c r="AF44" s="111" t="s">
        <v>73</v>
      </c>
      <c r="AG44" s="46">
        <v>8</v>
      </c>
      <c r="AH44" s="46">
        <v>4</v>
      </c>
      <c r="AI44" s="46">
        <f t="shared" si="0"/>
        <v>4</v>
      </c>
      <c r="AJ44" s="46">
        <v>17</v>
      </c>
      <c r="AK44" s="46">
        <f t="shared" si="1"/>
        <v>9</v>
      </c>
      <c r="AL44" s="46">
        <v>43</v>
      </c>
    </row>
    <row r="45" spans="17:38" x14ac:dyDescent="0.25">
      <c r="AE45" s="46" t="s">
        <v>101</v>
      </c>
      <c r="AF45" s="111" t="s">
        <v>102</v>
      </c>
      <c r="AG45" s="46">
        <v>8</v>
      </c>
      <c r="AH45" s="46">
        <v>4</v>
      </c>
      <c r="AI45" s="46">
        <f t="shared" si="0"/>
        <v>4</v>
      </c>
      <c r="AJ45" s="46">
        <v>18</v>
      </c>
      <c r="AK45" s="46">
        <f t="shared" si="1"/>
        <v>10</v>
      </c>
      <c r="AL45" s="46">
        <v>44</v>
      </c>
    </row>
    <row r="46" spans="17:38" x14ac:dyDescent="0.25">
      <c r="AE46" s="46" t="s">
        <v>154</v>
      </c>
      <c r="AF46" s="111" t="s">
        <v>155</v>
      </c>
      <c r="AG46" s="46">
        <v>8</v>
      </c>
      <c r="AH46" s="46">
        <v>4</v>
      </c>
      <c r="AI46" s="46">
        <f t="shared" si="0"/>
        <v>4</v>
      </c>
      <c r="AJ46" s="46">
        <v>20</v>
      </c>
      <c r="AK46" s="46">
        <f t="shared" si="1"/>
        <v>12</v>
      </c>
      <c r="AL46" s="46">
        <v>45</v>
      </c>
    </row>
    <row r="47" spans="17:38" x14ac:dyDescent="0.25">
      <c r="AE47" s="46" t="s">
        <v>56</v>
      </c>
      <c r="AF47" s="111" t="s">
        <v>57</v>
      </c>
      <c r="AG47" s="46">
        <v>8</v>
      </c>
      <c r="AH47" s="46">
        <v>4</v>
      </c>
      <c r="AI47" s="46">
        <f t="shared" si="0"/>
        <v>4</v>
      </c>
      <c r="AJ47" s="46">
        <v>21</v>
      </c>
      <c r="AK47" s="46">
        <f t="shared" si="1"/>
        <v>13</v>
      </c>
      <c r="AL47" s="46">
        <v>46</v>
      </c>
    </row>
    <row r="48" spans="17:38" x14ac:dyDescent="0.25">
      <c r="AE48" s="46" t="s">
        <v>150</v>
      </c>
      <c r="AF48" s="111" t="s">
        <v>151</v>
      </c>
      <c r="AG48" s="46">
        <v>8</v>
      </c>
      <c r="AH48" s="46">
        <v>4</v>
      </c>
      <c r="AI48" s="46">
        <f t="shared" si="0"/>
        <v>4</v>
      </c>
      <c r="AJ48" s="46">
        <v>21</v>
      </c>
      <c r="AK48" s="46">
        <f t="shared" si="1"/>
        <v>13</v>
      </c>
      <c r="AL48" s="46">
        <v>47</v>
      </c>
    </row>
    <row r="49" spans="31:38" x14ac:dyDescent="0.25">
      <c r="AE49" s="46" t="s">
        <v>164</v>
      </c>
      <c r="AF49" s="111" t="s">
        <v>165</v>
      </c>
      <c r="AG49" s="46">
        <v>8</v>
      </c>
      <c r="AH49" s="46">
        <v>4</v>
      </c>
      <c r="AI49" s="46">
        <f t="shared" si="0"/>
        <v>4</v>
      </c>
      <c r="AJ49" s="46">
        <v>24</v>
      </c>
      <c r="AK49" s="46">
        <f t="shared" si="1"/>
        <v>16</v>
      </c>
      <c r="AL49" s="46">
        <v>48</v>
      </c>
    </row>
    <row r="50" spans="31:38" x14ac:dyDescent="0.25">
      <c r="AE50" s="46" t="s">
        <v>68</v>
      </c>
      <c r="AF50" s="111" t="s">
        <v>69</v>
      </c>
      <c r="AG50" s="46">
        <v>8</v>
      </c>
      <c r="AH50" s="46">
        <v>4</v>
      </c>
      <c r="AI50" s="46">
        <f t="shared" si="0"/>
        <v>4</v>
      </c>
      <c r="AJ50" s="46">
        <v>25</v>
      </c>
      <c r="AK50" s="46">
        <f t="shared" si="1"/>
        <v>17</v>
      </c>
      <c r="AL50" s="46">
        <v>49</v>
      </c>
    </row>
    <row r="51" spans="31:38" x14ac:dyDescent="0.25">
      <c r="AE51" s="46" t="s">
        <v>19</v>
      </c>
      <c r="AF51" s="111" t="s">
        <v>20</v>
      </c>
      <c r="AG51" s="46">
        <v>8</v>
      </c>
      <c r="AH51" s="46">
        <v>5</v>
      </c>
      <c r="AI51" s="46">
        <f t="shared" si="0"/>
        <v>3</v>
      </c>
      <c r="AJ51" s="46">
        <v>18</v>
      </c>
      <c r="AK51" s="46">
        <f t="shared" si="1"/>
        <v>10</v>
      </c>
      <c r="AL51" s="46">
        <v>50</v>
      </c>
    </row>
    <row r="52" spans="31:38" x14ac:dyDescent="0.25">
      <c r="AE52" s="46" t="s">
        <v>136</v>
      </c>
      <c r="AF52" s="111" t="s">
        <v>137</v>
      </c>
      <c r="AG52" s="46">
        <v>8</v>
      </c>
      <c r="AH52" s="46">
        <v>8</v>
      </c>
      <c r="AI52" s="46">
        <f t="shared" si="0"/>
        <v>0</v>
      </c>
      <c r="AJ52" s="46">
        <v>10</v>
      </c>
      <c r="AK52" s="46">
        <f t="shared" si="1"/>
        <v>2</v>
      </c>
      <c r="AL52" s="46">
        <v>51</v>
      </c>
    </row>
    <row r="53" spans="31:38" x14ac:dyDescent="0.25">
      <c r="AE53" s="46" t="s">
        <v>134</v>
      </c>
      <c r="AF53" s="111" t="s">
        <v>135</v>
      </c>
      <c r="AG53" s="46">
        <v>9</v>
      </c>
      <c r="AH53" s="46">
        <v>2</v>
      </c>
      <c r="AI53" s="46">
        <f t="shared" si="0"/>
        <v>7</v>
      </c>
      <c r="AJ53" s="46">
        <v>16</v>
      </c>
      <c r="AK53" s="46">
        <f t="shared" si="1"/>
        <v>7</v>
      </c>
      <c r="AL53" s="46">
        <v>52</v>
      </c>
    </row>
    <row r="54" spans="31:38" x14ac:dyDescent="0.25">
      <c r="AE54" s="46" t="s">
        <v>25</v>
      </c>
      <c r="AF54" s="111" t="s">
        <v>26</v>
      </c>
      <c r="AG54" s="46">
        <v>9</v>
      </c>
      <c r="AH54" s="46">
        <v>3</v>
      </c>
      <c r="AI54" s="46">
        <f t="shared" si="0"/>
        <v>6</v>
      </c>
      <c r="AJ54" s="46">
        <v>16</v>
      </c>
      <c r="AK54" s="46">
        <f t="shared" si="1"/>
        <v>7</v>
      </c>
      <c r="AL54" s="46">
        <v>53</v>
      </c>
    </row>
    <row r="55" spans="31:38" x14ac:dyDescent="0.25">
      <c r="AE55" s="46" t="s">
        <v>44</v>
      </c>
      <c r="AF55" s="111" t="s">
        <v>45</v>
      </c>
      <c r="AG55" s="46">
        <v>9</v>
      </c>
      <c r="AH55" s="46">
        <v>3</v>
      </c>
      <c r="AI55" s="46">
        <f t="shared" si="0"/>
        <v>6</v>
      </c>
      <c r="AJ55" s="46">
        <v>22</v>
      </c>
      <c r="AK55" s="46">
        <f t="shared" si="1"/>
        <v>13</v>
      </c>
      <c r="AL55" s="46">
        <v>54</v>
      </c>
    </row>
    <row r="56" spans="31:38" x14ac:dyDescent="0.25">
      <c r="AE56" s="46" t="s">
        <v>15</v>
      </c>
      <c r="AF56" s="111" t="s">
        <v>16</v>
      </c>
      <c r="AG56" s="46">
        <v>9</v>
      </c>
      <c r="AH56" s="46">
        <v>4</v>
      </c>
      <c r="AI56" s="46">
        <f t="shared" si="0"/>
        <v>5</v>
      </c>
      <c r="AJ56" s="46">
        <v>19</v>
      </c>
      <c r="AK56" s="46">
        <f t="shared" si="1"/>
        <v>10</v>
      </c>
      <c r="AL56" s="46">
        <v>55</v>
      </c>
    </row>
    <row r="57" spans="31:38" x14ac:dyDescent="0.25">
      <c r="AE57" s="46" t="s">
        <v>97</v>
      </c>
      <c r="AF57" s="111" t="s">
        <v>98</v>
      </c>
      <c r="AG57" s="46">
        <v>9</v>
      </c>
      <c r="AH57" s="46">
        <v>4</v>
      </c>
      <c r="AI57" s="46">
        <f t="shared" si="0"/>
        <v>5</v>
      </c>
      <c r="AJ57" s="46">
        <v>21</v>
      </c>
      <c r="AK57" s="46">
        <f t="shared" si="1"/>
        <v>12</v>
      </c>
      <c r="AL57" s="46">
        <v>56</v>
      </c>
    </row>
    <row r="58" spans="31:38" x14ac:dyDescent="0.25">
      <c r="AE58" s="46" t="s">
        <v>31</v>
      </c>
      <c r="AF58" s="111" t="s">
        <v>32</v>
      </c>
      <c r="AG58" s="46">
        <v>9</v>
      </c>
      <c r="AH58" s="46">
        <v>4</v>
      </c>
      <c r="AI58" s="46">
        <f t="shared" si="0"/>
        <v>5</v>
      </c>
      <c r="AJ58" s="46">
        <v>27</v>
      </c>
      <c r="AK58" s="46">
        <f t="shared" si="1"/>
        <v>18</v>
      </c>
      <c r="AL58" s="46">
        <v>57</v>
      </c>
    </row>
    <row r="59" spans="31:38" x14ac:dyDescent="0.25">
      <c r="AE59" s="46" t="s">
        <v>174</v>
      </c>
      <c r="AF59" s="111" t="s">
        <v>175</v>
      </c>
      <c r="AG59" s="46">
        <v>9</v>
      </c>
      <c r="AH59" s="46">
        <v>5</v>
      </c>
      <c r="AI59" s="46">
        <f t="shared" si="0"/>
        <v>4</v>
      </c>
      <c r="AJ59" s="46">
        <v>19</v>
      </c>
      <c r="AK59" s="46">
        <f t="shared" si="1"/>
        <v>10</v>
      </c>
      <c r="AL59" s="46">
        <v>58</v>
      </c>
    </row>
    <row r="60" spans="31:38" x14ac:dyDescent="0.25">
      <c r="AE60" s="46" t="s">
        <v>160</v>
      </c>
      <c r="AF60" s="111" t="s">
        <v>161</v>
      </c>
      <c r="AG60" s="46">
        <v>9</v>
      </c>
      <c r="AH60" s="46">
        <v>6</v>
      </c>
      <c r="AI60" s="46">
        <f t="shared" si="0"/>
        <v>3</v>
      </c>
      <c r="AJ60" s="46">
        <v>28</v>
      </c>
      <c r="AK60" s="46">
        <f t="shared" si="1"/>
        <v>19</v>
      </c>
      <c r="AL60" s="46">
        <v>59</v>
      </c>
    </row>
    <row r="61" spans="31:38" x14ac:dyDescent="0.25">
      <c r="AE61" s="46" t="s">
        <v>81</v>
      </c>
      <c r="AF61" s="111" t="s">
        <v>82</v>
      </c>
      <c r="AG61" s="46">
        <v>10</v>
      </c>
      <c r="AH61" s="46">
        <v>3</v>
      </c>
      <c r="AI61" s="46">
        <f t="shared" si="0"/>
        <v>7</v>
      </c>
      <c r="AJ61" s="46">
        <v>20</v>
      </c>
      <c r="AK61" s="46">
        <f t="shared" si="1"/>
        <v>10</v>
      </c>
      <c r="AL61" s="46">
        <v>60</v>
      </c>
    </row>
    <row r="62" spans="31:38" x14ac:dyDescent="0.25">
      <c r="AE62" s="46" t="s">
        <v>4</v>
      </c>
      <c r="AF62" s="111" t="s">
        <v>214</v>
      </c>
      <c r="AG62" s="46">
        <v>10</v>
      </c>
      <c r="AH62" s="46">
        <v>4</v>
      </c>
      <c r="AI62" s="46">
        <f t="shared" si="0"/>
        <v>6</v>
      </c>
      <c r="AJ62" s="46">
        <v>28</v>
      </c>
      <c r="AK62" s="46">
        <f t="shared" si="1"/>
        <v>18</v>
      </c>
      <c r="AL62" s="46">
        <v>61</v>
      </c>
    </row>
    <row r="63" spans="31:38" x14ac:dyDescent="0.25">
      <c r="AE63" s="46" t="s">
        <v>180</v>
      </c>
      <c r="AF63" s="111" t="s">
        <v>181</v>
      </c>
      <c r="AG63" s="46">
        <v>10</v>
      </c>
      <c r="AH63" s="46">
        <v>5</v>
      </c>
      <c r="AI63" s="46">
        <f t="shared" si="0"/>
        <v>5</v>
      </c>
      <c r="AJ63" s="46">
        <v>26</v>
      </c>
      <c r="AK63" s="46">
        <f t="shared" si="1"/>
        <v>16</v>
      </c>
      <c r="AL63" s="46">
        <v>62</v>
      </c>
    </row>
    <row r="64" spans="31:38" x14ac:dyDescent="0.25">
      <c r="AE64" s="46" t="s">
        <v>37</v>
      </c>
      <c r="AF64" s="111" t="s">
        <v>38</v>
      </c>
      <c r="AG64" s="46">
        <v>11</v>
      </c>
      <c r="AH64" s="46">
        <v>3</v>
      </c>
      <c r="AI64" s="46">
        <f t="shared" si="0"/>
        <v>8</v>
      </c>
      <c r="AJ64" s="46">
        <v>63</v>
      </c>
      <c r="AK64" s="46">
        <f t="shared" si="1"/>
        <v>52</v>
      </c>
      <c r="AL64" s="46">
        <v>63</v>
      </c>
    </row>
    <row r="65" spans="31:38" x14ac:dyDescent="0.25">
      <c r="AE65" s="46" t="s">
        <v>33</v>
      </c>
      <c r="AF65" s="111" t="s">
        <v>34</v>
      </c>
      <c r="AG65" s="46">
        <v>11</v>
      </c>
      <c r="AH65" s="46">
        <v>5</v>
      </c>
      <c r="AI65" s="46">
        <f t="shared" si="0"/>
        <v>6</v>
      </c>
      <c r="AJ65" s="46">
        <v>31</v>
      </c>
      <c r="AK65" s="46">
        <f t="shared" si="1"/>
        <v>20</v>
      </c>
      <c r="AL65" s="46">
        <v>64</v>
      </c>
    </row>
    <row r="66" spans="31:38" x14ac:dyDescent="0.25">
      <c r="AE66" s="46" t="s">
        <v>17</v>
      </c>
      <c r="AF66" s="111" t="s">
        <v>18</v>
      </c>
      <c r="AG66" s="46">
        <v>13</v>
      </c>
      <c r="AH66" s="46">
        <v>2</v>
      </c>
      <c r="AI66" s="46">
        <f t="shared" si="0"/>
        <v>11</v>
      </c>
      <c r="AJ66" s="46">
        <v>51</v>
      </c>
      <c r="AK66" s="46">
        <f t="shared" si="1"/>
        <v>38</v>
      </c>
      <c r="AL66" s="46">
        <v>65</v>
      </c>
    </row>
    <row r="67" spans="31:38" x14ac:dyDescent="0.25">
      <c r="AE67" s="46" t="s">
        <v>13</v>
      </c>
      <c r="AF67" s="111" t="s">
        <v>14</v>
      </c>
      <c r="AG67" s="46">
        <v>13</v>
      </c>
      <c r="AH67" s="46">
        <v>5</v>
      </c>
      <c r="AI67" s="46">
        <f t="shared" ref="AI67:AI80" si="2">AG67-AH67</f>
        <v>8</v>
      </c>
      <c r="AJ67" s="46">
        <v>21</v>
      </c>
      <c r="AK67" s="46">
        <f t="shared" ref="AK67:AK80" si="3">AJ67-AG67</f>
        <v>8</v>
      </c>
      <c r="AL67" s="46">
        <v>66</v>
      </c>
    </row>
    <row r="68" spans="31:38" x14ac:dyDescent="0.25">
      <c r="AE68" s="46" t="s">
        <v>148</v>
      </c>
      <c r="AF68" s="111" t="s">
        <v>149</v>
      </c>
      <c r="AG68" s="46">
        <v>13</v>
      </c>
      <c r="AH68" s="46">
        <v>5</v>
      </c>
      <c r="AI68" s="46">
        <f t="shared" si="2"/>
        <v>8</v>
      </c>
      <c r="AJ68" s="46">
        <v>28</v>
      </c>
      <c r="AK68" s="46">
        <f t="shared" si="3"/>
        <v>15</v>
      </c>
      <c r="AL68" s="46">
        <v>67</v>
      </c>
    </row>
    <row r="69" spans="31:38" x14ac:dyDescent="0.25">
      <c r="AE69" s="46" t="s">
        <v>93</v>
      </c>
      <c r="AF69" s="111" t="s">
        <v>94</v>
      </c>
      <c r="AG69" s="46">
        <v>13</v>
      </c>
      <c r="AH69" s="46">
        <v>5</v>
      </c>
      <c r="AI69" s="46">
        <f t="shared" si="2"/>
        <v>8</v>
      </c>
      <c r="AJ69" s="46">
        <v>29</v>
      </c>
      <c r="AK69" s="46">
        <f t="shared" si="3"/>
        <v>16</v>
      </c>
      <c r="AL69" s="46">
        <v>68</v>
      </c>
    </row>
    <row r="70" spans="31:38" x14ac:dyDescent="0.25">
      <c r="AE70" s="46" t="s">
        <v>5</v>
      </c>
      <c r="AF70" s="111" t="s">
        <v>6</v>
      </c>
      <c r="AG70" s="46">
        <v>13</v>
      </c>
      <c r="AH70" s="46">
        <v>5</v>
      </c>
      <c r="AI70" s="46">
        <f t="shared" si="2"/>
        <v>8</v>
      </c>
      <c r="AJ70" s="46">
        <v>37</v>
      </c>
      <c r="AK70" s="46">
        <f t="shared" si="3"/>
        <v>24</v>
      </c>
      <c r="AL70" s="46">
        <v>69</v>
      </c>
    </row>
    <row r="71" spans="31:38" x14ac:dyDescent="0.25">
      <c r="AE71" s="46" t="s">
        <v>76</v>
      </c>
      <c r="AF71" s="111" t="s">
        <v>215</v>
      </c>
      <c r="AG71" s="46">
        <v>13</v>
      </c>
      <c r="AH71" s="46">
        <v>5</v>
      </c>
      <c r="AI71" s="46">
        <f t="shared" si="2"/>
        <v>8</v>
      </c>
      <c r="AJ71" s="46">
        <v>59</v>
      </c>
      <c r="AK71" s="46">
        <f t="shared" si="3"/>
        <v>46</v>
      </c>
      <c r="AL71" s="46">
        <v>70</v>
      </c>
    </row>
    <row r="72" spans="31:38" x14ac:dyDescent="0.25">
      <c r="AE72" s="46" t="s">
        <v>168</v>
      </c>
      <c r="AF72" s="111" t="s">
        <v>169</v>
      </c>
      <c r="AG72" s="46">
        <v>14</v>
      </c>
      <c r="AH72" s="46">
        <v>5</v>
      </c>
      <c r="AI72" s="46">
        <f t="shared" si="2"/>
        <v>9</v>
      </c>
      <c r="AJ72" s="46">
        <v>57</v>
      </c>
      <c r="AK72" s="46">
        <f t="shared" si="3"/>
        <v>43</v>
      </c>
      <c r="AL72" s="46">
        <v>71</v>
      </c>
    </row>
    <row r="73" spans="31:38" x14ac:dyDescent="0.25">
      <c r="AE73" s="46" t="s">
        <v>113</v>
      </c>
      <c r="AF73" s="111" t="s">
        <v>114</v>
      </c>
      <c r="AG73" s="46">
        <v>14</v>
      </c>
      <c r="AH73" s="46">
        <v>10</v>
      </c>
      <c r="AI73" s="46">
        <f t="shared" si="2"/>
        <v>4</v>
      </c>
      <c r="AJ73" s="46">
        <v>44</v>
      </c>
      <c r="AK73" s="46">
        <f t="shared" si="3"/>
        <v>30</v>
      </c>
      <c r="AL73" s="46">
        <v>72</v>
      </c>
    </row>
    <row r="74" spans="31:38" x14ac:dyDescent="0.25">
      <c r="AE74" s="46" t="s">
        <v>152</v>
      </c>
      <c r="AF74" s="111" t="s">
        <v>153</v>
      </c>
      <c r="AG74" s="46">
        <v>15</v>
      </c>
      <c r="AH74" s="46">
        <v>6</v>
      </c>
      <c r="AI74" s="46">
        <f t="shared" si="2"/>
        <v>9</v>
      </c>
      <c r="AJ74" s="46">
        <v>39</v>
      </c>
      <c r="AK74" s="46">
        <f t="shared" si="3"/>
        <v>24</v>
      </c>
      <c r="AL74" s="46">
        <v>73</v>
      </c>
    </row>
    <row r="75" spans="31:38" x14ac:dyDescent="0.25">
      <c r="AE75" s="46" t="s">
        <v>130</v>
      </c>
      <c r="AF75" s="111" t="s">
        <v>131</v>
      </c>
      <c r="AG75" s="46">
        <v>15</v>
      </c>
      <c r="AH75" s="46">
        <v>6</v>
      </c>
      <c r="AI75" s="46">
        <f t="shared" si="2"/>
        <v>9</v>
      </c>
      <c r="AJ75" s="46">
        <v>40</v>
      </c>
      <c r="AK75" s="46">
        <f t="shared" si="3"/>
        <v>25</v>
      </c>
      <c r="AL75" s="46">
        <v>74</v>
      </c>
    </row>
    <row r="76" spans="31:38" x14ac:dyDescent="0.25">
      <c r="AE76" s="46" t="s">
        <v>77</v>
      </c>
      <c r="AF76" s="111" t="s">
        <v>78</v>
      </c>
      <c r="AG76" s="46">
        <v>16</v>
      </c>
      <c r="AH76" s="46">
        <v>7</v>
      </c>
      <c r="AI76" s="46">
        <f t="shared" si="2"/>
        <v>9</v>
      </c>
      <c r="AJ76" s="46">
        <v>30</v>
      </c>
      <c r="AK76" s="46">
        <f t="shared" si="3"/>
        <v>14</v>
      </c>
      <c r="AL76" s="46">
        <v>75</v>
      </c>
    </row>
    <row r="77" spans="31:38" x14ac:dyDescent="0.25">
      <c r="AE77" s="46" t="s">
        <v>21</v>
      </c>
      <c r="AF77" s="111" t="s">
        <v>22</v>
      </c>
      <c r="AG77" s="46">
        <v>22</v>
      </c>
      <c r="AH77" s="46">
        <v>5</v>
      </c>
      <c r="AI77" s="46">
        <f t="shared" si="2"/>
        <v>17</v>
      </c>
      <c r="AJ77" s="46">
        <v>30</v>
      </c>
      <c r="AK77" s="46">
        <f t="shared" si="3"/>
        <v>8</v>
      </c>
      <c r="AL77" s="46">
        <v>76</v>
      </c>
    </row>
    <row r="78" spans="31:38" x14ac:dyDescent="0.25">
      <c r="AE78" s="46" t="s">
        <v>103</v>
      </c>
      <c r="AF78" s="111" t="s">
        <v>104</v>
      </c>
      <c r="AG78" s="46">
        <v>28</v>
      </c>
      <c r="AH78" s="46">
        <v>8</v>
      </c>
      <c r="AI78" s="46">
        <f t="shared" si="2"/>
        <v>20</v>
      </c>
      <c r="AJ78" s="46">
        <v>53</v>
      </c>
      <c r="AK78" s="46">
        <f t="shared" si="3"/>
        <v>25</v>
      </c>
      <c r="AL78" s="46">
        <v>77</v>
      </c>
    </row>
    <row r="79" spans="31:38" x14ac:dyDescent="0.25">
      <c r="AE79" s="46" t="s">
        <v>7</v>
      </c>
      <c r="AF79" s="111" t="s">
        <v>8</v>
      </c>
      <c r="AG79" s="46">
        <v>35</v>
      </c>
      <c r="AH79" s="46">
        <v>20</v>
      </c>
      <c r="AI79" s="46">
        <f t="shared" si="2"/>
        <v>15</v>
      </c>
      <c r="AJ79" s="46">
        <v>84</v>
      </c>
      <c r="AK79" s="46">
        <f t="shared" si="3"/>
        <v>49</v>
      </c>
      <c r="AL79" s="46">
        <v>78</v>
      </c>
    </row>
    <row r="80" spans="31:38" x14ac:dyDescent="0.25">
      <c r="AE80" s="46" t="s">
        <v>162</v>
      </c>
      <c r="AF80" s="111" t="s">
        <v>163</v>
      </c>
      <c r="AG80" s="46">
        <v>48</v>
      </c>
      <c r="AH80" s="46">
        <v>5</v>
      </c>
      <c r="AI80" s="46">
        <f t="shared" si="2"/>
        <v>43</v>
      </c>
      <c r="AJ80" s="46">
        <v>119</v>
      </c>
      <c r="AK80" s="46">
        <f t="shared" si="3"/>
        <v>71</v>
      </c>
      <c r="AL80" s="46">
        <v>79</v>
      </c>
    </row>
  </sheetData>
  <mergeCells count="1">
    <mergeCell ref="B30:C30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'Major Lower Limb Amputation'!$G$7:$H$7</xm:f>
          </x14:formula1>
          <xm:sqref>Q32</xm:sqref>
        </x14:dataValidation>
        <x14:dataValidation type="list" allowBlank="1" showInputMessage="1" showErrorMessage="1">
          <x14:formula1>
            <xm:f>'Major Lower Limb Amputation'!$E$7:$F$7</xm:f>
          </x14:formula1>
          <xm:sqref>Q3</xm:sqref>
        </x14:dataValidation>
        <x14:dataValidation type="list" allowBlank="1" showInputMessage="1" showErrorMessage="1">
          <x14:formula1>
            <xm:f>'Major Lower Limb Amputation'!$B$8:$B$87</xm:f>
          </x14:formula1>
          <xm:sqref>B1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RowHeight="15" x14ac:dyDescent="0.25"/>
  <cols>
    <col min="1" max="1" width="10.42578125" style="2" bestFit="1" customWidth="1"/>
    <col min="2" max="2" width="63.7109375" style="2" bestFit="1" customWidth="1"/>
    <col min="3" max="3" width="13.140625" style="2" bestFit="1" customWidth="1"/>
    <col min="4" max="4" width="20.7109375" style="2" bestFit="1" customWidth="1"/>
    <col min="5" max="5" width="26.7109375" style="2" bestFit="1" customWidth="1"/>
    <col min="6" max="6" width="37" style="2" bestFit="1" customWidth="1"/>
    <col min="7" max="7" width="38.28515625" style="2" bestFit="1" customWidth="1"/>
  </cols>
  <sheetData>
    <row r="1" spans="1:7" x14ac:dyDescent="0.25">
      <c r="A1" s="3" t="s">
        <v>182</v>
      </c>
      <c r="B1" s="3" t="s">
        <v>183</v>
      </c>
      <c r="C1" s="3" t="s">
        <v>184</v>
      </c>
      <c r="D1" s="3" t="s">
        <v>185</v>
      </c>
      <c r="E1" s="3" t="s">
        <v>186</v>
      </c>
      <c r="F1" s="3" t="s">
        <v>187</v>
      </c>
      <c r="G1" s="3" t="s">
        <v>188</v>
      </c>
    </row>
    <row r="2" spans="1:7" x14ac:dyDescent="0.25">
      <c r="A2" s="1" t="s">
        <v>0</v>
      </c>
      <c r="B2" s="1" t="s">
        <v>1</v>
      </c>
      <c r="C2" s="1" t="s">
        <v>3</v>
      </c>
      <c r="D2" s="1" t="s">
        <v>3</v>
      </c>
      <c r="E2" s="1" t="s">
        <v>3</v>
      </c>
      <c r="F2" s="1" t="s">
        <v>3</v>
      </c>
      <c r="G2" s="1" t="s">
        <v>3</v>
      </c>
    </row>
    <row r="3" spans="1:7" x14ac:dyDescent="0.25">
      <c r="A3" s="1" t="s">
        <v>4</v>
      </c>
      <c r="B3" t="s">
        <v>214</v>
      </c>
      <c r="C3" s="1" t="s">
        <v>3</v>
      </c>
      <c r="D3" s="1" t="s">
        <v>3</v>
      </c>
      <c r="E3" s="1" t="s">
        <v>3</v>
      </c>
      <c r="F3" s="1" t="s">
        <v>3</v>
      </c>
      <c r="G3" s="1" t="s">
        <v>3</v>
      </c>
    </row>
    <row r="4" spans="1:7" x14ac:dyDescent="0.25">
      <c r="A4" s="1" t="s">
        <v>5</v>
      </c>
      <c r="B4" s="1" t="s">
        <v>6</v>
      </c>
      <c r="C4" s="1" t="s">
        <v>3</v>
      </c>
      <c r="D4" s="1" t="s">
        <v>3</v>
      </c>
      <c r="E4" s="1" t="s">
        <v>3</v>
      </c>
      <c r="F4" s="1" t="s">
        <v>3</v>
      </c>
      <c r="G4" s="1" t="s">
        <v>3</v>
      </c>
    </row>
    <row r="5" spans="1:7" x14ac:dyDescent="0.25">
      <c r="A5" s="1" t="s">
        <v>7</v>
      </c>
      <c r="B5" s="1" t="s">
        <v>8</v>
      </c>
      <c r="C5" s="1" t="s">
        <v>3</v>
      </c>
      <c r="D5" s="1" t="s">
        <v>3</v>
      </c>
      <c r="E5" s="1" t="s">
        <v>3</v>
      </c>
      <c r="F5" s="1" t="s">
        <v>3</v>
      </c>
      <c r="G5" s="1" t="s">
        <v>3</v>
      </c>
    </row>
    <row r="6" spans="1:7" x14ac:dyDescent="0.25">
      <c r="A6" s="1" t="s">
        <v>9</v>
      </c>
      <c r="B6" s="1" t="s">
        <v>10</v>
      </c>
      <c r="C6" s="1" t="s">
        <v>3</v>
      </c>
      <c r="D6" s="1" t="s">
        <v>3</v>
      </c>
      <c r="E6" s="1" t="s">
        <v>3</v>
      </c>
      <c r="F6" s="1" t="s">
        <v>3</v>
      </c>
      <c r="G6" s="1" t="s">
        <v>3</v>
      </c>
    </row>
    <row r="7" spans="1:7" x14ac:dyDescent="0.25">
      <c r="A7" s="1" t="s">
        <v>11</v>
      </c>
      <c r="B7" s="1" t="s">
        <v>12</v>
      </c>
      <c r="C7" s="1" t="s">
        <v>3</v>
      </c>
      <c r="D7" s="1" t="s">
        <v>3</v>
      </c>
      <c r="E7" s="1" t="s">
        <v>3</v>
      </c>
      <c r="F7" s="1" t="s">
        <v>3</v>
      </c>
      <c r="G7" s="1" t="s">
        <v>3</v>
      </c>
    </row>
    <row r="8" spans="1:7" x14ac:dyDescent="0.25">
      <c r="A8" s="1" t="s">
        <v>13</v>
      </c>
      <c r="B8" s="1" t="s">
        <v>14</v>
      </c>
      <c r="C8" s="1" t="s">
        <v>3</v>
      </c>
      <c r="D8" s="1" t="s">
        <v>3</v>
      </c>
      <c r="E8" s="1" t="s">
        <v>3</v>
      </c>
      <c r="F8" s="1" t="s">
        <v>3</v>
      </c>
      <c r="G8" s="1" t="s">
        <v>3</v>
      </c>
    </row>
    <row r="9" spans="1:7" x14ac:dyDescent="0.25">
      <c r="A9" s="1" t="s">
        <v>15</v>
      </c>
      <c r="B9" s="1" t="s">
        <v>16</v>
      </c>
      <c r="C9" s="1" t="s">
        <v>3</v>
      </c>
      <c r="D9" s="1" t="s">
        <v>3</v>
      </c>
      <c r="E9" s="1" t="s">
        <v>3</v>
      </c>
      <c r="F9" s="1" t="s">
        <v>3</v>
      </c>
      <c r="G9" s="1" t="s">
        <v>3</v>
      </c>
    </row>
    <row r="10" spans="1:7" x14ac:dyDescent="0.25">
      <c r="A10" s="21" t="s">
        <v>307</v>
      </c>
      <c r="B10" t="s">
        <v>749</v>
      </c>
      <c r="C10" s="29" t="s">
        <v>2</v>
      </c>
      <c r="D10" s="29" t="s">
        <v>2</v>
      </c>
      <c r="E10" s="29" t="s">
        <v>2</v>
      </c>
      <c r="F10" s="29" t="s">
        <v>3</v>
      </c>
      <c r="G10" s="29" t="s">
        <v>2</v>
      </c>
    </row>
    <row r="11" spans="1:7" x14ac:dyDescent="0.25">
      <c r="A11" s="1" t="s">
        <v>17</v>
      </c>
      <c r="B11" s="1" t="s">
        <v>18</v>
      </c>
      <c r="C11" s="1" t="s">
        <v>3</v>
      </c>
      <c r="D11" s="1" t="s">
        <v>3</v>
      </c>
      <c r="E11" s="1" t="s">
        <v>3</v>
      </c>
      <c r="F11" s="1" t="s">
        <v>3</v>
      </c>
      <c r="G11" s="1" t="s">
        <v>3</v>
      </c>
    </row>
    <row r="12" spans="1:7" x14ac:dyDescent="0.25">
      <c r="A12" s="1" t="s">
        <v>19</v>
      </c>
      <c r="B12" s="1" t="s">
        <v>20</v>
      </c>
      <c r="C12" s="1" t="s">
        <v>3</v>
      </c>
      <c r="D12" s="1" t="s">
        <v>3</v>
      </c>
      <c r="E12" s="1" t="s">
        <v>3</v>
      </c>
      <c r="F12" s="1" t="s">
        <v>3</v>
      </c>
      <c r="G12" s="1" t="s">
        <v>3</v>
      </c>
    </row>
    <row r="13" spans="1:7" x14ac:dyDescent="0.25">
      <c r="A13" s="1" t="s">
        <v>21</v>
      </c>
      <c r="B13" s="1" t="s">
        <v>22</v>
      </c>
      <c r="C13" s="1" t="s">
        <v>3</v>
      </c>
      <c r="D13" s="1" t="s">
        <v>3</v>
      </c>
      <c r="E13" s="1" t="s">
        <v>3</v>
      </c>
      <c r="F13" s="1" t="s">
        <v>3</v>
      </c>
      <c r="G13" s="1" t="s">
        <v>3</v>
      </c>
    </row>
    <row r="14" spans="1:7" x14ac:dyDescent="0.25">
      <c r="A14" s="1" t="s">
        <v>23</v>
      </c>
      <c r="B14" s="1" t="s">
        <v>24</v>
      </c>
      <c r="C14" s="1" t="s">
        <v>3</v>
      </c>
      <c r="D14" s="1" t="s">
        <v>3</v>
      </c>
      <c r="E14" s="1" t="s">
        <v>3</v>
      </c>
      <c r="F14" s="1" t="s">
        <v>3</v>
      </c>
      <c r="G14" s="1" t="s">
        <v>3</v>
      </c>
    </row>
    <row r="15" spans="1:7" x14ac:dyDescent="0.25">
      <c r="A15" s="1" t="s">
        <v>25</v>
      </c>
      <c r="B15" s="1" t="s">
        <v>26</v>
      </c>
      <c r="C15" s="1" t="s">
        <v>3</v>
      </c>
      <c r="D15" s="1" t="s">
        <v>3</v>
      </c>
      <c r="E15" s="1" t="s">
        <v>3</v>
      </c>
      <c r="F15" s="1" t="s">
        <v>3</v>
      </c>
      <c r="G15" s="1" t="s">
        <v>3</v>
      </c>
    </row>
    <row r="16" spans="1:7" x14ac:dyDescent="0.25">
      <c r="A16" s="1" t="s">
        <v>27</v>
      </c>
      <c r="B16" s="1" t="s">
        <v>28</v>
      </c>
      <c r="C16" s="1" t="s">
        <v>2</v>
      </c>
      <c r="D16" s="1" t="s">
        <v>2</v>
      </c>
      <c r="E16" s="1" t="s">
        <v>2</v>
      </c>
      <c r="F16" s="1" t="s">
        <v>3</v>
      </c>
      <c r="G16" s="1" t="s">
        <v>2</v>
      </c>
    </row>
    <row r="17" spans="1:7" x14ac:dyDescent="0.25">
      <c r="A17" s="1" t="s">
        <v>29</v>
      </c>
      <c r="B17" s="1" t="s">
        <v>30</v>
      </c>
      <c r="C17" s="1" t="s">
        <v>2</v>
      </c>
      <c r="D17" s="1" t="s">
        <v>2</v>
      </c>
      <c r="E17" s="1" t="s">
        <v>2</v>
      </c>
      <c r="F17" s="1" t="s">
        <v>3</v>
      </c>
      <c r="G17" s="1" t="s">
        <v>2</v>
      </c>
    </row>
    <row r="18" spans="1:7" x14ac:dyDescent="0.25">
      <c r="A18" s="1" t="s">
        <v>31</v>
      </c>
      <c r="B18" s="1" t="s">
        <v>32</v>
      </c>
      <c r="C18" s="1" t="s">
        <v>2</v>
      </c>
      <c r="D18" s="1" t="s">
        <v>2</v>
      </c>
      <c r="E18" s="1" t="s">
        <v>3</v>
      </c>
      <c r="F18" s="1" t="s">
        <v>3</v>
      </c>
      <c r="G18" s="1" t="s">
        <v>3</v>
      </c>
    </row>
    <row r="19" spans="1:7" x14ac:dyDescent="0.25">
      <c r="A19" s="1" t="s">
        <v>33</v>
      </c>
      <c r="B19" s="1" t="s">
        <v>34</v>
      </c>
      <c r="C19" s="1" t="s">
        <v>3</v>
      </c>
      <c r="D19" s="1" t="s">
        <v>3</v>
      </c>
      <c r="E19" s="1" t="s">
        <v>3</v>
      </c>
      <c r="F19" s="1" t="s">
        <v>3</v>
      </c>
      <c r="G19" s="1" t="s">
        <v>3</v>
      </c>
    </row>
    <row r="20" spans="1:7" x14ac:dyDescent="0.25">
      <c r="A20" s="1" t="s">
        <v>35</v>
      </c>
      <c r="B20" s="1" t="s">
        <v>36</v>
      </c>
      <c r="C20" s="1" t="s">
        <v>3</v>
      </c>
      <c r="D20" s="1" t="s">
        <v>3</v>
      </c>
      <c r="E20" s="1" t="s">
        <v>3</v>
      </c>
      <c r="F20" s="1" t="s">
        <v>3</v>
      </c>
      <c r="G20" s="1" t="s">
        <v>3</v>
      </c>
    </row>
    <row r="21" spans="1:7" x14ac:dyDescent="0.25">
      <c r="A21" s="21" t="s">
        <v>351</v>
      </c>
      <c r="B21" t="s">
        <v>750</v>
      </c>
      <c r="C21" s="29" t="s">
        <v>2</v>
      </c>
      <c r="D21" s="29" t="s">
        <v>2</v>
      </c>
      <c r="E21" s="29" t="s">
        <v>2</v>
      </c>
      <c r="F21" s="29" t="s">
        <v>3</v>
      </c>
      <c r="G21" s="29" t="s">
        <v>2</v>
      </c>
    </row>
    <row r="22" spans="1:7" x14ac:dyDescent="0.25">
      <c r="A22" s="1" t="s">
        <v>37</v>
      </c>
      <c r="B22" s="1" t="s">
        <v>38</v>
      </c>
      <c r="C22" s="1" t="s">
        <v>3</v>
      </c>
      <c r="D22" s="1" t="s">
        <v>3</v>
      </c>
      <c r="E22" s="1" t="s">
        <v>3</v>
      </c>
      <c r="F22" s="1" t="s">
        <v>3</v>
      </c>
      <c r="G22" s="1" t="s">
        <v>3</v>
      </c>
    </row>
    <row r="23" spans="1:7" x14ac:dyDescent="0.25">
      <c r="A23" s="1" t="s">
        <v>39</v>
      </c>
      <c r="B23" s="16" t="s">
        <v>216</v>
      </c>
      <c r="C23" s="1" t="s">
        <v>3</v>
      </c>
      <c r="D23" s="1" t="s">
        <v>3</v>
      </c>
      <c r="E23" s="1" t="s">
        <v>3</v>
      </c>
      <c r="F23" s="1" t="s">
        <v>3</v>
      </c>
      <c r="G23" s="1" t="s">
        <v>3</v>
      </c>
    </row>
    <row r="24" spans="1:7" x14ac:dyDescent="0.25">
      <c r="A24" s="1" t="s">
        <v>40</v>
      </c>
      <c r="B24" s="1" t="s">
        <v>41</v>
      </c>
      <c r="C24" s="1" t="s">
        <v>3</v>
      </c>
      <c r="D24" s="1" t="s">
        <v>3</v>
      </c>
      <c r="E24" s="1" t="s">
        <v>3</v>
      </c>
      <c r="F24" s="1" t="s">
        <v>3</v>
      </c>
      <c r="G24" s="1" t="s">
        <v>3</v>
      </c>
    </row>
    <row r="25" spans="1:7" x14ac:dyDescent="0.25">
      <c r="A25" s="1" t="s">
        <v>42</v>
      </c>
      <c r="B25" s="1" t="s">
        <v>43</v>
      </c>
      <c r="C25" s="1" t="s">
        <v>3</v>
      </c>
      <c r="D25" s="1" t="s">
        <v>3</v>
      </c>
      <c r="E25" s="1" t="s">
        <v>3</v>
      </c>
      <c r="F25" s="1" t="s">
        <v>3</v>
      </c>
      <c r="G25" s="1" t="s">
        <v>3</v>
      </c>
    </row>
    <row r="26" spans="1:7" x14ac:dyDescent="0.25">
      <c r="A26" s="1" t="s">
        <v>44</v>
      </c>
      <c r="B26" s="1" t="s">
        <v>45</v>
      </c>
      <c r="C26" s="1" t="s">
        <v>3</v>
      </c>
      <c r="D26" s="1" t="s">
        <v>3</v>
      </c>
      <c r="E26" s="1" t="s">
        <v>3</v>
      </c>
      <c r="F26" s="1" t="s">
        <v>3</v>
      </c>
      <c r="G26" s="1" t="s">
        <v>3</v>
      </c>
    </row>
    <row r="27" spans="1:7" x14ac:dyDescent="0.25">
      <c r="A27" s="1" t="s">
        <v>46</v>
      </c>
      <c r="B27" s="1" t="s">
        <v>47</v>
      </c>
      <c r="C27" s="1" t="s">
        <v>2</v>
      </c>
      <c r="D27" s="1" t="s">
        <v>2</v>
      </c>
      <c r="E27" s="1" t="s">
        <v>2</v>
      </c>
      <c r="F27" s="1" t="s">
        <v>3</v>
      </c>
      <c r="G27" s="1" t="s">
        <v>2</v>
      </c>
    </row>
    <row r="28" spans="1:7" x14ac:dyDescent="0.25">
      <c r="A28" s="1" t="s">
        <v>48</v>
      </c>
      <c r="B28" s="1" t="s">
        <v>49</v>
      </c>
      <c r="C28" s="1" t="s">
        <v>3</v>
      </c>
      <c r="D28" s="1" t="s">
        <v>3</v>
      </c>
      <c r="E28" s="1" t="s">
        <v>3</v>
      </c>
      <c r="F28" s="1" t="s">
        <v>3</v>
      </c>
      <c r="G28" s="1" t="s">
        <v>3</v>
      </c>
    </row>
    <row r="29" spans="1:7" x14ac:dyDescent="0.25">
      <c r="A29" s="1" t="s">
        <v>50</v>
      </c>
      <c r="B29" s="1" t="s">
        <v>51</v>
      </c>
      <c r="C29" s="1" t="s">
        <v>2</v>
      </c>
      <c r="D29" s="1" t="s">
        <v>2</v>
      </c>
      <c r="E29" s="1" t="s">
        <v>2</v>
      </c>
      <c r="F29" s="1" t="s">
        <v>3</v>
      </c>
      <c r="G29" s="1" t="s">
        <v>2</v>
      </c>
    </row>
    <row r="30" spans="1:7" x14ac:dyDescent="0.25">
      <c r="A30" s="1" t="s">
        <v>52</v>
      </c>
      <c r="B30" s="1" t="s">
        <v>53</v>
      </c>
      <c r="C30" s="1" t="s">
        <v>2</v>
      </c>
      <c r="D30" s="1" t="s">
        <v>2</v>
      </c>
      <c r="E30" s="1" t="s">
        <v>2</v>
      </c>
      <c r="F30" s="1" t="s">
        <v>3</v>
      </c>
      <c r="G30" s="1" t="s">
        <v>2</v>
      </c>
    </row>
    <row r="31" spans="1:7" x14ac:dyDescent="0.25">
      <c r="A31" s="1" t="s">
        <v>54</v>
      </c>
      <c r="B31" s="1" t="s">
        <v>55</v>
      </c>
      <c r="C31" s="1" t="s">
        <v>3</v>
      </c>
      <c r="D31" s="1" t="s">
        <v>3</v>
      </c>
      <c r="E31" s="1" t="s">
        <v>3</v>
      </c>
      <c r="F31" s="1" t="s">
        <v>3</v>
      </c>
      <c r="G31" s="1" t="s">
        <v>3</v>
      </c>
    </row>
    <row r="32" spans="1:7" x14ac:dyDescent="0.25">
      <c r="A32" s="1" t="s">
        <v>56</v>
      </c>
      <c r="B32" s="1" t="s">
        <v>57</v>
      </c>
      <c r="C32" s="1" t="s">
        <v>3</v>
      </c>
      <c r="D32" s="1" t="s">
        <v>3</v>
      </c>
      <c r="E32" s="1" t="s">
        <v>3</v>
      </c>
      <c r="F32" s="1" t="s">
        <v>3</v>
      </c>
      <c r="G32" s="1" t="s">
        <v>3</v>
      </c>
    </row>
    <row r="33" spans="1:7" x14ac:dyDescent="0.25">
      <c r="A33" s="1" t="s">
        <v>58</v>
      </c>
      <c r="B33" s="1" t="s">
        <v>59</v>
      </c>
      <c r="C33" s="1" t="s">
        <v>3</v>
      </c>
      <c r="D33" s="1" t="s">
        <v>3</v>
      </c>
      <c r="E33" s="1" t="s">
        <v>3</v>
      </c>
      <c r="F33" s="1" t="s">
        <v>3</v>
      </c>
      <c r="G33" s="1" t="s">
        <v>3</v>
      </c>
    </row>
    <row r="34" spans="1:7" x14ac:dyDescent="0.25">
      <c r="A34" s="1" t="s">
        <v>60</v>
      </c>
      <c r="B34" s="1" t="s">
        <v>61</v>
      </c>
      <c r="C34" s="1" t="s">
        <v>3</v>
      </c>
      <c r="D34" s="1" t="s">
        <v>3</v>
      </c>
      <c r="E34" s="1" t="s">
        <v>3</v>
      </c>
      <c r="F34" s="1" t="s">
        <v>3</v>
      </c>
      <c r="G34" s="1" t="s">
        <v>3</v>
      </c>
    </row>
    <row r="35" spans="1:7" x14ac:dyDescent="0.25">
      <c r="A35" s="1" t="s">
        <v>62</v>
      </c>
      <c r="B35" s="1" t="s">
        <v>63</v>
      </c>
      <c r="C35" s="1" t="s">
        <v>2</v>
      </c>
      <c r="D35" s="1" t="s">
        <v>2</v>
      </c>
      <c r="E35" s="1" t="s">
        <v>2</v>
      </c>
      <c r="F35" s="1" t="s">
        <v>3</v>
      </c>
      <c r="G35" s="1" t="s">
        <v>2</v>
      </c>
    </row>
    <row r="36" spans="1:7" x14ac:dyDescent="0.25">
      <c r="A36" s="1" t="s">
        <v>64</v>
      </c>
      <c r="B36" s="1" t="s">
        <v>65</v>
      </c>
      <c r="C36" s="1" t="s">
        <v>2</v>
      </c>
      <c r="D36" s="1" t="s">
        <v>2</v>
      </c>
      <c r="E36" s="1" t="s">
        <v>2</v>
      </c>
      <c r="F36" s="1" t="s">
        <v>3</v>
      </c>
      <c r="G36" s="1" t="s">
        <v>2</v>
      </c>
    </row>
    <row r="37" spans="1:7" x14ac:dyDescent="0.25">
      <c r="A37" s="1" t="s">
        <v>66</v>
      </c>
      <c r="B37" s="1" t="s">
        <v>67</v>
      </c>
      <c r="C37" s="1" t="s">
        <v>3</v>
      </c>
      <c r="D37" s="1" t="s">
        <v>3</v>
      </c>
      <c r="E37" s="1" t="s">
        <v>3</v>
      </c>
      <c r="F37" s="1" t="s">
        <v>3</v>
      </c>
      <c r="G37" s="1" t="s">
        <v>3</v>
      </c>
    </row>
    <row r="38" spans="1:7" x14ac:dyDescent="0.25">
      <c r="A38" s="1" t="s">
        <v>68</v>
      </c>
      <c r="B38" s="1" t="s">
        <v>69</v>
      </c>
      <c r="C38" s="1" t="s">
        <v>3</v>
      </c>
      <c r="D38" s="1" t="s">
        <v>3</v>
      </c>
      <c r="E38" s="1" t="s">
        <v>3</v>
      </c>
      <c r="F38" s="1" t="s">
        <v>3</v>
      </c>
      <c r="G38" s="1" t="s">
        <v>3</v>
      </c>
    </row>
    <row r="39" spans="1:7" x14ac:dyDescent="0.25">
      <c r="A39" s="1" t="s">
        <v>70</v>
      </c>
      <c r="B39" s="1" t="s">
        <v>71</v>
      </c>
      <c r="C39" s="1" t="s">
        <v>3</v>
      </c>
      <c r="D39" s="1" t="s">
        <v>3</v>
      </c>
      <c r="E39" s="1" t="s">
        <v>3</v>
      </c>
      <c r="F39" s="1" t="s">
        <v>3</v>
      </c>
      <c r="G39" s="1" t="s">
        <v>3</v>
      </c>
    </row>
    <row r="40" spans="1:7" x14ac:dyDescent="0.25">
      <c r="A40" s="1" t="s">
        <v>72</v>
      </c>
      <c r="B40" s="1" t="s">
        <v>73</v>
      </c>
      <c r="C40" s="1" t="s">
        <v>3</v>
      </c>
      <c r="D40" s="1" t="s">
        <v>3</v>
      </c>
      <c r="E40" s="1" t="s">
        <v>3</v>
      </c>
      <c r="F40" s="1" t="s">
        <v>3</v>
      </c>
      <c r="G40" s="1" t="s">
        <v>3</v>
      </c>
    </row>
    <row r="41" spans="1:7" x14ac:dyDescent="0.25">
      <c r="A41" s="1" t="s">
        <v>74</v>
      </c>
      <c r="B41" s="1" t="s">
        <v>75</v>
      </c>
      <c r="C41" s="1" t="s">
        <v>3</v>
      </c>
      <c r="D41" s="1" t="s">
        <v>3</v>
      </c>
      <c r="E41" s="1" t="s">
        <v>3</v>
      </c>
      <c r="F41" s="1" t="s">
        <v>3</v>
      </c>
      <c r="G41" s="1" t="s">
        <v>3</v>
      </c>
    </row>
    <row r="42" spans="1:7" x14ac:dyDescent="0.25">
      <c r="A42" s="1" t="s">
        <v>76</v>
      </c>
      <c r="B42" s="16" t="s">
        <v>215</v>
      </c>
      <c r="C42" s="1" t="s">
        <v>3</v>
      </c>
      <c r="D42" s="1" t="s">
        <v>3</v>
      </c>
      <c r="E42" s="1" t="s">
        <v>3</v>
      </c>
      <c r="F42" s="1" t="s">
        <v>3</v>
      </c>
      <c r="G42" s="1" t="s">
        <v>3</v>
      </c>
    </row>
    <row r="43" spans="1:7" x14ac:dyDescent="0.25">
      <c r="A43" s="1" t="s">
        <v>77</v>
      </c>
      <c r="B43" s="1" t="s">
        <v>78</v>
      </c>
      <c r="C43" s="1" t="s">
        <v>3</v>
      </c>
      <c r="D43" s="1" t="s">
        <v>3</v>
      </c>
      <c r="E43" s="1" t="s">
        <v>3</v>
      </c>
      <c r="F43" s="1" t="s">
        <v>3</v>
      </c>
      <c r="G43" s="1" t="s">
        <v>3</v>
      </c>
    </row>
    <row r="44" spans="1:7" x14ac:dyDescent="0.25">
      <c r="A44" s="1" t="s">
        <v>79</v>
      </c>
      <c r="B44" s="1" t="s">
        <v>80</v>
      </c>
      <c r="C44" s="1" t="s">
        <v>2</v>
      </c>
      <c r="D44" s="1" t="s">
        <v>2</v>
      </c>
      <c r="E44" s="1" t="s">
        <v>2</v>
      </c>
      <c r="F44" s="1" t="s">
        <v>3</v>
      </c>
      <c r="G44" s="1" t="s">
        <v>2</v>
      </c>
    </row>
    <row r="45" spans="1:7" x14ac:dyDescent="0.25">
      <c r="A45" s="1" t="s">
        <v>81</v>
      </c>
      <c r="B45" s="1" t="s">
        <v>82</v>
      </c>
      <c r="C45" s="1" t="s">
        <v>3</v>
      </c>
      <c r="D45" s="1" t="s">
        <v>3</v>
      </c>
      <c r="E45" s="1" t="s">
        <v>3</v>
      </c>
      <c r="F45" s="1" t="s">
        <v>3</v>
      </c>
      <c r="G45" s="1" t="s">
        <v>3</v>
      </c>
    </row>
    <row r="46" spans="1:7" x14ac:dyDescent="0.25">
      <c r="A46" s="1" t="s">
        <v>83</v>
      </c>
      <c r="B46" s="1" t="s">
        <v>84</v>
      </c>
      <c r="C46" s="1" t="s">
        <v>3</v>
      </c>
      <c r="D46" s="1" t="s">
        <v>3</v>
      </c>
      <c r="E46" s="1" t="s">
        <v>3</v>
      </c>
      <c r="F46" s="1" t="s">
        <v>3</v>
      </c>
      <c r="G46" s="1" t="s">
        <v>3</v>
      </c>
    </row>
    <row r="47" spans="1:7" x14ac:dyDescent="0.25">
      <c r="A47" s="1" t="s">
        <v>85</v>
      </c>
      <c r="B47" s="1" t="s">
        <v>86</v>
      </c>
      <c r="C47" s="1" t="s">
        <v>2</v>
      </c>
      <c r="D47" s="1" t="s">
        <v>2</v>
      </c>
      <c r="E47" s="1" t="s">
        <v>2</v>
      </c>
      <c r="F47" s="1" t="s">
        <v>3</v>
      </c>
      <c r="G47" s="1" t="s">
        <v>2</v>
      </c>
    </row>
    <row r="48" spans="1:7" x14ac:dyDescent="0.25">
      <c r="A48" s="21" t="s">
        <v>352</v>
      </c>
      <c r="B48" t="s">
        <v>751</v>
      </c>
      <c r="C48" s="29" t="s">
        <v>2</v>
      </c>
      <c r="D48" s="29" t="s">
        <v>2</v>
      </c>
      <c r="E48" s="29" t="s">
        <v>2</v>
      </c>
      <c r="F48" s="29" t="s">
        <v>3</v>
      </c>
      <c r="G48" s="29" t="s">
        <v>2</v>
      </c>
    </row>
    <row r="49" spans="1:7" x14ac:dyDescent="0.25">
      <c r="A49" s="21" t="s">
        <v>353</v>
      </c>
      <c r="B49" s="30" t="s">
        <v>752</v>
      </c>
      <c r="C49" s="29" t="s">
        <v>2</v>
      </c>
      <c r="D49" s="29" t="s">
        <v>2</v>
      </c>
      <c r="E49" s="29" t="s">
        <v>2</v>
      </c>
      <c r="F49" s="29" t="s">
        <v>3</v>
      </c>
      <c r="G49" s="29" t="s">
        <v>2</v>
      </c>
    </row>
    <row r="50" spans="1:7" x14ac:dyDescent="0.25">
      <c r="A50" s="1" t="s">
        <v>87</v>
      </c>
      <c r="B50" s="1" t="s">
        <v>88</v>
      </c>
      <c r="C50" s="1" t="s">
        <v>3</v>
      </c>
      <c r="D50" s="1" t="s">
        <v>3</v>
      </c>
      <c r="E50" s="1" t="s">
        <v>3</v>
      </c>
      <c r="F50" s="1" t="s">
        <v>3</v>
      </c>
      <c r="G50" s="1" t="s">
        <v>3</v>
      </c>
    </row>
    <row r="51" spans="1:7" x14ac:dyDescent="0.25">
      <c r="A51" s="1" t="s">
        <v>89</v>
      </c>
      <c r="B51" s="1" t="s">
        <v>90</v>
      </c>
      <c r="C51" s="1" t="s">
        <v>3</v>
      </c>
      <c r="D51" s="1" t="s">
        <v>3</v>
      </c>
      <c r="E51" s="1" t="s">
        <v>3</v>
      </c>
      <c r="F51" s="1" t="s">
        <v>3</v>
      </c>
      <c r="G51" s="1" t="s">
        <v>3</v>
      </c>
    </row>
    <row r="52" spans="1:7" x14ac:dyDescent="0.25">
      <c r="A52" s="1" t="s">
        <v>91</v>
      </c>
      <c r="B52" s="1" t="s">
        <v>92</v>
      </c>
      <c r="C52" s="1" t="s">
        <v>3</v>
      </c>
      <c r="D52" s="1" t="s">
        <v>3</v>
      </c>
      <c r="E52" s="1" t="s">
        <v>3</v>
      </c>
      <c r="F52" s="1" t="s">
        <v>3</v>
      </c>
      <c r="G52" s="1" t="s">
        <v>3</v>
      </c>
    </row>
    <row r="53" spans="1:7" x14ac:dyDescent="0.25">
      <c r="A53" s="1" t="s">
        <v>93</v>
      </c>
      <c r="B53" s="1" t="s">
        <v>94</v>
      </c>
      <c r="C53" s="1" t="s">
        <v>3</v>
      </c>
      <c r="D53" s="1" t="s">
        <v>3</v>
      </c>
      <c r="E53" s="1" t="s">
        <v>3</v>
      </c>
      <c r="F53" s="1" t="s">
        <v>3</v>
      </c>
      <c r="G53" s="1" t="s">
        <v>3</v>
      </c>
    </row>
    <row r="54" spans="1:7" x14ac:dyDescent="0.25">
      <c r="A54" s="1" t="s">
        <v>95</v>
      </c>
      <c r="B54" s="1" t="s">
        <v>96</v>
      </c>
      <c r="C54" s="1" t="s">
        <v>3</v>
      </c>
      <c r="D54" s="1" t="s">
        <v>3</v>
      </c>
      <c r="E54" s="1" t="s">
        <v>3</v>
      </c>
      <c r="F54" s="1" t="s">
        <v>3</v>
      </c>
      <c r="G54" s="1" t="s">
        <v>3</v>
      </c>
    </row>
    <row r="55" spans="1:7" x14ac:dyDescent="0.25">
      <c r="A55" s="1" t="s">
        <v>97</v>
      </c>
      <c r="B55" s="1" t="s">
        <v>98</v>
      </c>
      <c r="C55" s="1" t="s">
        <v>3</v>
      </c>
      <c r="D55" s="1" t="s">
        <v>3</v>
      </c>
      <c r="E55" s="1" t="s">
        <v>3</v>
      </c>
      <c r="F55" s="1" t="s">
        <v>3</v>
      </c>
      <c r="G55" s="1" t="s">
        <v>3</v>
      </c>
    </row>
    <row r="56" spans="1:7" x14ac:dyDescent="0.25">
      <c r="A56" s="1" t="s">
        <v>99</v>
      </c>
      <c r="B56" s="1" t="s">
        <v>100</v>
      </c>
      <c r="C56" s="1" t="s">
        <v>3</v>
      </c>
      <c r="D56" s="1" t="s">
        <v>3</v>
      </c>
      <c r="E56" s="1" t="s">
        <v>3</v>
      </c>
      <c r="F56" s="1" t="s">
        <v>3</v>
      </c>
      <c r="G56" s="1" t="s">
        <v>3</v>
      </c>
    </row>
    <row r="57" spans="1:7" x14ac:dyDescent="0.25">
      <c r="A57" s="1" t="s">
        <v>101</v>
      </c>
      <c r="B57" s="1" t="s">
        <v>102</v>
      </c>
      <c r="C57" s="1" t="s">
        <v>3</v>
      </c>
      <c r="D57" s="1" t="s">
        <v>3</v>
      </c>
      <c r="E57" s="1" t="s">
        <v>3</v>
      </c>
      <c r="F57" s="1" t="s">
        <v>3</v>
      </c>
      <c r="G57" s="1" t="s">
        <v>3</v>
      </c>
    </row>
    <row r="58" spans="1:7" x14ac:dyDescent="0.25">
      <c r="A58" s="1" t="s">
        <v>103</v>
      </c>
      <c r="B58" s="1" t="s">
        <v>104</v>
      </c>
      <c r="C58" s="1" t="s">
        <v>2</v>
      </c>
      <c r="D58" s="1" t="s">
        <v>2</v>
      </c>
      <c r="E58" s="1" t="s">
        <v>2</v>
      </c>
      <c r="F58" s="1" t="s">
        <v>3</v>
      </c>
      <c r="G58" s="1" t="s">
        <v>2</v>
      </c>
    </row>
    <row r="59" spans="1:7" x14ac:dyDescent="0.25">
      <c r="A59" s="1" t="s">
        <v>105</v>
      </c>
      <c r="B59" s="1" t="s">
        <v>106</v>
      </c>
      <c r="C59" s="1" t="s">
        <v>3</v>
      </c>
      <c r="D59" s="1" t="s">
        <v>3</v>
      </c>
      <c r="E59" s="1" t="s">
        <v>3</v>
      </c>
      <c r="F59" s="1" t="s">
        <v>3</v>
      </c>
      <c r="G59" s="1" t="s">
        <v>3</v>
      </c>
    </row>
    <row r="60" spans="1:7" x14ac:dyDescent="0.25">
      <c r="A60" s="1" t="s">
        <v>107</v>
      </c>
      <c r="B60" s="1" t="s">
        <v>108</v>
      </c>
      <c r="C60" s="1" t="s">
        <v>3</v>
      </c>
      <c r="D60" s="1" t="s">
        <v>3</v>
      </c>
      <c r="E60" s="1" t="s">
        <v>3</v>
      </c>
      <c r="F60" s="1" t="s">
        <v>3</v>
      </c>
      <c r="G60" s="1" t="s">
        <v>3</v>
      </c>
    </row>
    <row r="61" spans="1:7" x14ac:dyDescent="0.25">
      <c r="A61" s="1" t="s">
        <v>109</v>
      </c>
      <c r="B61" s="1" t="s">
        <v>110</v>
      </c>
      <c r="C61" s="1" t="s">
        <v>3</v>
      </c>
      <c r="D61" s="1" t="s">
        <v>2</v>
      </c>
      <c r="E61" s="1" t="s">
        <v>3</v>
      </c>
      <c r="F61" s="1" t="s">
        <v>3</v>
      </c>
      <c r="G61" s="1" t="s">
        <v>2</v>
      </c>
    </row>
    <row r="62" spans="1:7" x14ac:dyDescent="0.25">
      <c r="A62" s="1" t="s">
        <v>111</v>
      </c>
      <c r="B62" s="1" t="s">
        <v>112</v>
      </c>
      <c r="C62" s="1" t="s">
        <v>3</v>
      </c>
      <c r="D62" s="1" t="s">
        <v>3</v>
      </c>
      <c r="E62" s="1" t="s">
        <v>3</v>
      </c>
      <c r="F62" s="1" t="s">
        <v>3</v>
      </c>
      <c r="G62" s="1" t="s">
        <v>3</v>
      </c>
    </row>
    <row r="63" spans="1:7" x14ac:dyDescent="0.25">
      <c r="A63" s="1" t="s">
        <v>113</v>
      </c>
      <c r="B63" s="1" t="s">
        <v>114</v>
      </c>
      <c r="C63" s="1" t="s">
        <v>3</v>
      </c>
      <c r="D63" s="1" t="s">
        <v>3</v>
      </c>
      <c r="E63" s="1" t="s">
        <v>3</v>
      </c>
      <c r="F63" s="1" t="s">
        <v>3</v>
      </c>
      <c r="G63" s="1" t="s">
        <v>3</v>
      </c>
    </row>
    <row r="64" spans="1:7" x14ac:dyDescent="0.25">
      <c r="A64" s="1" t="s">
        <v>115</v>
      </c>
      <c r="B64" s="1" t="s">
        <v>116</v>
      </c>
      <c r="C64" s="1" t="s">
        <v>3</v>
      </c>
      <c r="D64" s="1" t="s">
        <v>3</v>
      </c>
      <c r="E64" s="1" t="s">
        <v>3</v>
      </c>
      <c r="F64" s="1" t="s">
        <v>3</v>
      </c>
      <c r="G64" s="1" t="s">
        <v>3</v>
      </c>
    </row>
    <row r="65" spans="1:7" x14ac:dyDescent="0.25">
      <c r="A65" s="1" t="s">
        <v>117</v>
      </c>
      <c r="B65" s="1" t="s">
        <v>773</v>
      </c>
      <c r="C65" s="1" t="s">
        <v>3</v>
      </c>
      <c r="D65" s="1" t="s">
        <v>3</v>
      </c>
      <c r="E65" s="1" t="s">
        <v>3</v>
      </c>
      <c r="F65" s="1" t="s">
        <v>3</v>
      </c>
      <c r="G65" s="1" t="s">
        <v>3</v>
      </c>
    </row>
    <row r="66" spans="1:7" x14ac:dyDescent="0.25">
      <c r="A66" s="1" t="s">
        <v>118</v>
      </c>
      <c r="B66" s="1" t="s">
        <v>119</v>
      </c>
      <c r="C66" s="1" t="s">
        <v>3</v>
      </c>
      <c r="D66" s="1" t="s">
        <v>3</v>
      </c>
      <c r="E66" s="1" t="s">
        <v>3</v>
      </c>
      <c r="F66" s="1" t="s">
        <v>3</v>
      </c>
      <c r="G66" s="1" t="s">
        <v>3</v>
      </c>
    </row>
    <row r="67" spans="1:7" x14ac:dyDescent="0.25">
      <c r="A67" s="1" t="s">
        <v>120</v>
      </c>
      <c r="B67" s="1" t="s">
        <v>121</v>
      </c>
      <c r="C67" s="1" t="s">
        <v>3</v>
      </c>
      <c r="D67" s="1" t="s">
        <v>3</v>
      </c>
      <c r="E67" s="1" t="s">
        <v>3</v>
      </c>
      <c r="F67" s="1" t="s">
        <v>3</v>
      </c>
      <c r="G67" s="1" t="s">
        <v>3</v>
      </c>
    </row>
    <row r="68" spans="1:7" x14ac:dyDescent="0.25">
      <c r="A68" s="1" t="s">
        <v>122</v>
      </c>
      <c r="B68" s="1" t="s">
        <v>123</v>
      </c>
      <c r="C68" s="1" t="s">
        <v>3</v>
      </c>
      <c r="D68" s="1" t="s">
        <v>3</v>
      </c>
      <c r="E68" s="1" t="s">
        <v>3</v>
      </c>
      <c r="F68" s="1" t="s">
        <v>3</v>
      </c>
      <c r="G68" s="1" t="s">
        <v>3</v>
      </c>
    </row>
    <row r="69" spans="1:7" x14ac:dyDescent="0.25">
      <c r="A69" s="1" t="s">
        <v>124</v>
      </c>
      <c r="B69" s="1" t="s">
        <v>125</v>
      </c>
      <c r="C69" s="1" t="s">
        <v>3</v>
      </c>
      <c r="D69" s="1" t="s">
        <v>3</v>
      </c>
      <c r="E69" s="1" t="s">
        <v>3</v>
      </c>
      <c r="F69" s="1" t="s">
        <v>3</v>
      </c>
      <c r="G69" s="1" t="s">
        <v>3</v>
      </c>
    </row>
    <row r="70" spans="1:7" x14ac:dyDescent="0.25">
      <c r="A70" s="1" t="s">
        <v>126</v>
      </c>
      <c r="B70" s="1" t="s">
        <v>127</v>
      </c>
      <c r="C70" s="1" t="s">
        <v>3</v>
      </c>
      <c r="D70" s="1" t="s">
        <v>3</v>
      </c>
      <c r="E70" s="1" t="s">
        <v>3</v>
      </c>
      <c r="F70" s="1" t="s">
        <v>3</v>
      </c>
      <c r="G70" s="1" t="s">
        <v>3</v>
      </c>
    </row>
    <row r="71" spans="1:7" x14ac:dyDescent="0.25">
      <c r="A71" s="1" t="s">
        <v>128</v>
      </c>
      <c r="B71" s="1" t="s">
        <v>129</v>
      </c>
      <c r="C71" s="1" t="s">
        <v>3</v>
      </c>
      <c r="D71" s="1" t="s">
        <v>3</v>
      </c>
      <c r="E71" s="1" t="s">
        <v>3</v>
      </c>
      <c r="F71" s="1" t="s">
        <v>3</v>
      </c>
      <c r="G71" s="1" t="s">
        <v>3</v>
      </c>
    </row>
    <row r="72" spans="1:7" x14ac:dyDescent="0.25">
      <c r="A72" s="1" t="s">
        <v>130</v>
      </c>
      <c r="B72" s="1" t="s">
        <v>131</v>
      </c>
      <c r="C72" s="1" t="s">
        <v>3</v>
      </c>
      <c r="D72" s="1" t="s">
        <v>3</v>
      </c>
      <c r="E72" s="1" t="s">
        <v>3</v>
      </c>
      <c r="F72" s="1" t="s">
        <v>3</v>
      </c>
      <c r="G72" s="1" t="s">
        <v>3</v>
      </c>
    </row>
    <row r="73" spans="1:7" x14ac:dyDescent="0.25">
      <c r="A73" s="1" t="s">
        <v>132</v>
      </c>
      <c r="B73" s="1" t="s">
        <v>133</v>
      </c>
      <c r="C73" s="1" t="s">
        <v>3</v>
      </c>
      <c r="D73" s="1" t="s">
        <v>3</v>
      </c>
      <c r="E73" s="1" t="s">
        <v>3</v>
      </c>
      <c r="F73" s="1" t="s">
        <v>3</v>
      </c>
      <c r="G73" s="1" t="s">
        <v>3</v>
      </c>
    </row>
    <row r="74" spans="1:7" x14ac:dyDescent="0.25">
      <c r="A74" s="1" t="s">
        <v>134</v>
      </c>
      <c r="B74" s="1" t="s">
        <v>135</v>
      </c>
      <c r="C74" s="1" t="s">
        <v>3</v>
      </c>
      <c r="D74" s="1" t="s">
        <v>3</v>
      </c>
      <c r="E74" s="1" t="s">
        <v>3</v>
      </c>
      <c r="F74" s="1" t="s">
        <v>3</v>
      </c>
      <c r="G74" s="1" t="s">
        <v>3</v>
      </c>
    </row>
    <row r="75" spans="1:7" x14ac:dyDescent="0.25">
      <c r="A75" s="1" t="s">
        <v>136</v>
      </c>
      <c r="B75" s="1" t="s">
        <v>137</v>
      </c>
      <c r="C75" s="1" t="s">
        <v>3</v>
      </c>
      <c r="D75" s="1" t="s">
        <v>3</v>
      </c>
      <c r="E75" s="1" t="s">
        <v>3</v>
      </c>
      <c r="F75" s="1" t="s">
        <v>3</v>
      </c>
      <c r="G75" s="1" t="s">
        <v>3</v>
      </c>
    </row>
    <row r="76" spans="1:7" x14ac:dyDescent="0.25">
      <c r="A76" s="1" t="s">
        <v>138</v>
      </c>
      <c r="B76" s="1" t="s">
        <v>139</v>
      </c>
      <c r="C76" s="1" t="s">
        <v>3</v>
      </c>
      <c r="D76" s="1" t="s">
        <v>3</v>
      </c>
      <c r="E76" s="1" t="s">
        <v>3</v>
      </c>
      <c r="F76" s="1" t="s">
        <v>3</v>
      </c>
      <c r="G76" s="1" t="s">
        <v>3</v>
      </c>
    </row>
    <row r="77" spans="1:7" x14ac:dyDescent="0.25">
      <c r="A77" s="1" t="s">
        <v>140</v>
      </c>
      <c r="B77" s="1" t="s">
        <v>141</v>
      </c>
      <c r="C77" s="1" t="s">
        <v>3</v>
      </c>
      <c r="D77" s="1" t="s">
        <v>3</v>
      </c>
      <c r="E77" s="1" t="s">
        <v>3</v>
      </c>
      <c r="F77" s="1" t="s">
        <v>3</v>
      </c>
      <c r="G77" s="1" t="s">
        <v>3</v>
      </c>
    </row>
    <row r="78" spans="1:7" x14ac:dyDescent="0.25">
      <c r="A78" s="1" t="s">
        <v>142</v>
      </c>
      <c r="B78" s="1" t="s">
        <v>143</v>
      </c>
      <c r="C78" s="1" t="s">
        <v>3</v>
      </c>
      <c r="D78" s="1" t="s">
        <v>3</v>
      </c>
      <c r="E78" s="1" t="s">
        <v>3</v>
      </c>
      <c r="F78" s="1" t="s">
        <v>3</v>
      </c>
      <c r="G78" s="1" t="s">
        <v>3</v>
      </c>
    </row>
    <row r="79" spans="1:7" x14ac:dyDescent="0.25">
      <c r="A79" s="1" t="s">
        <v>144</v>
      </c>
      <c r="B79" s="1" t="s">
        <v>145</v>
      </c>
      <c r="C79" s="1" t="s">
        <v>3</v>
      </c>
      <c r="D79" s="1" t="s">
        <v>3</v>
      </c>
      <c r="E79" s="1" t="s">
        <v>3</v>
      </c>
      <c r="F79" s="1" t="s">
        <v>3</v>
      </c>
      <c r="G79" s="1" t="s">
        <v>3</v>
      </c>
    </row>
    <row r="80" spans="1:7" x14ac:dyDescent="0.25">
      <c r="A80" s="1" t="s">
        <v>146</v>
      </c>
      <c r="B80" s="1" t="s">
        <v>147</v>
      </c>
      <c r="C80" s="1" t="s">
        <v>2</v>
      </c>
      <c r="D80" s="1" t="s">
        <v>2</v>
      </c>
      <c r="E80" s="1" t="s">
        <v>2</v>
      </c>
      <c r="F80" s="1" t="s">
        <v>3</v>
      </c>
      <c r="G80" s="1" t="s">
        <v>2</v>
      </c>
    </row>
    <row r="81" spans="1:7" x14ac:dyDescent="0.25">
      <c r="A81" s="1" t="s">
        <v>148</v>
      </c>
      <c r="B81" s="1" t="s">
        <v>149</v>
      </c>
      <c r="C81" s="1" t="s">
        <v>3</v>
      </c>
      <c r="D81" s="1" t="s">
        <v>3</v>
      </c>
      <c r="E81" s="1" t="s">
        <v>3</v>
      </c>
      <c r="F81" s="1" t="s">
        <v>3</v>
      </c>
      <c r="G81" s="1" t="s">
        <v>3</v>
      </c>
    </row>
    <row r="82" spans="1:7" x14ac:dyDescent="0.25">
      <c r="A82" s="1" t="s">
        <v>150</v>
      </c>
      <c r="B82" s="1" t="s">
        <v>151</v>
      </c>
      <c r="C82" s="1" t="s">
        <v>3</v>
      </c>
      <c r="D82" s="1" t="s">
        <v>3</v>
      </c>
      <c r="E82" s="1" t="s">
        <v>3</v>
      </c>
      <c r="F82" s="1" t="s">
        <v>3</v>
      </c>
      <c r="G82" s="1" t="s">
        <v>3</v>
      </c>
    </row>
    <row r="83" spans="1:7" x14ac:dyDescent="0.25">
      <c r="A83" s="1" t="s">
        <v>152</v>
      </c>
      <c r="B83" s="1" t="s">
        <v>153</v>
      </c>
      <c r="C83" s="1" t="s">
        <v>2</v>
      </c>
      <c r="D83" s="1" t="s">
        <v>2</v>
      </c>
      <c r="E83" s="1" t="s">
        <v>2</v>
      </c>
      <c r="F83" s="1" t="s">
        <v>3</v>
      </c>
      <c r="G83" s="1" t="s">
        <v>2</v>
      </c>
    </row>
    <row r="84" spans="1:7" x14ac:dyDescent="0.25">
      <c r="A84" s="21" t="s">
        <v>300</v>
      </c>
      <c r="B84" t="s">
        <v>753</v>
      </c>
      <c r="C84" s="29" t="s">
        <v>2</v>
      </c>
      <c r="D84" s="29" t="s">
        <v>2</v>
      </c>
      <c r="E84" s="29" t="s">
        <v>2</v>
      </c>
      <c r="F84" s="29" t="s">
        <v>3</v>
      </c>
      <c r="G84" s="29" t="s">
        <v>2</v>
      </c>
    </row>
    <row r="85" spans="1:7" x14ac:dyDescent="0.25">
      <c r="A85" s="1" t="s">
        <v>154</v>
      </c>
      <c r="B85" s="1" t="s">
        <v>155</v>
      </c>
      <c r="C85" s="1" t="s">
        <v>3</v>
      </c>
      <c r="D85" s="1" t="s">
        <v>3</v>
      </c>
      <c r="E85" s="1" t="s">
        <v>3</v>
      </c>
      <c r="F85" s="1" t="s">
        <v>3</v>
      </c>
      <c r="G85" s="1" t="s">
        <v>3</v>
      </c>
    </row>
    <row r="86" spans="1:7" x14ac:dyDescent="0.25">
      <c r="A86" s="1" t="s">
        <v>156</v>
      </c>
      <c r="B86" s="1" t="s">
        <v>157</v>
      </c>
      <c r="C86" s="1" t="s">
        <v>3</v>
      </c>
      <c r="D86" s="1" t="s">
        <v>3</v>
      </c>
      <c r="E86" s="1" t="s">
        <v>3</v>
      </c>
      <c r="F86" s="1" t="s">
        <v>3</v>
      </c>
      <c r="G86" s="1" t="s">
        <v>3</v>
      </c>
    </row>
    <row r="87" spans="1:7" x14ac:dyDescent="0.25">
      <c r="A87" s="1" t="s">
        <v>158</v>
      </c>
      <c r="B87" s="1" t="s">
        <v>159</v>
      </c>
      <c r="C87" s="1" t="s">
        <v>3</v>
      </c>
      <c r="D87" s="1" t="s">
        <v>3</v>
      </c>
      <c r="E87" s="1" t="s">
        <v>3</v>
      </c>
      <c r="F87" s="1" t="s">
        <v>3</v>
      </c>
      <c r="G87" s="1" t="s">
        <v>3</v>
      </c>
    </row>
    <row r="88" spans="1:7" x14ac:dyDescent="0.25">
      <c r="A88" s="1" t="s">
        <v>160</v>
      </c>
      <c r="B88" s="1" t="s">
        <v>161</v>
      </c>
      <c r="C88" s="1" t="s">
        <v>3</v>
      </c>
      <c r="D88" s="1" t="s">
        <v>3</v>
      </c>
      <c r="E88" s="1" t="s">
        <v>3</v>
      </c>
      <c r="F88" s="1" t="s">
        <v>3</v>
      </c>
      <c r="G88" s="1" t="s">
        <v>3</v>
      </c>
    </row>
    <row r="89" spans="1:7" x14ac:dyDescent="0.25">
      <c r="A89" s="1" t="s">
        <v>162</v>
      </c>
      <c r="B89" s="1" t="s">
        <v>163</v>
      </c>
      <c r="C89" s="1" t="s">
        <v>3</v>
      </c>
      <c r="D89" s="1" t="s">
        <v>2</v>
      </c>
      <c r="E89" s="1" t="s">
        <v>3</v>
      </c>
      <c r="F89" s="1" t="s">
        <v>3</v>
      </c>
      <c r="G89" s="1" t="s">
        <v>3</v>
      </c>
    </row>
    <row r="90" spans="1:7" x14ac:dyDescent="0.25">
      <c r="A90" s="1" t="s">
        <v>164</v>
      </c>
      <c r="B90" s="1" t="s">
        <v>165</v>
      </c>
      <c r="C90" s="1" t="s">
        <v>3</v>
      </c>
      <c r="D90" s="1" t="s">
        <v>3</v>
      </c>
      <c r="E90" s="1" t="s">
        <v>3</v>
      </c>
      <c r="F90" s="1" t="s">
        <v>3</v>
      </c>
      <c r="G90" s="1" t="s">
        <v>3</v>
      </c>
    </row>
    <row r="91" spans="1:7" x14ac:dyDescent="0.25">
      <c r="A91" s="1" t="s">
        <v>166</v>
      </c>
      <c r="B91" s="1" t="s">
        <v>167</v>
      </c>
      <c r="C91" s="1" t="s">
        <v>3</v>
      </c>
      <c r="D91" s="1" t="s">
        <v>3</v>
      </c>
      <c r="E91" s="1" t="s">
        <v>3</v>
      </c>
      <c r="F91" s="1" t="s">
        <v>3</v>
      </c>
      <c r="G91" s="1" t="s">
        <v>3</v>
      </c>
    </row>
    <row r="92" spans="1:7" x14ac:dyDescent="0.25">
      <c r="A92" s="1" t="s">
        <v>168</v>
      </c>
      <c r="B92" s="1" t="s">
        <v>169</v>
      </c>
      <c r="C92" s="1" t="s">
        <v>3</v>
      </c>
      <c r="D92" s="1" t="s">
        <v>3</v>
      </c>
      <c r="E92" s="1" t="s">
        <v>3</v>
      </c>
      <c r="F92" s="1" t="s">
        <v>3</v>
      </c>
      <c r="G92" s="1" t="s">
        <v>3</v>
      </c>
    </row>
    <row r="93" spans="1:7" x14ac:dyDescent="0.25">
      <c r="A93" s="1" t="s">
        <v>170</v>
      </c>
      <c r="B93" s="1" t="s">
        <v>171</v>
      </c>
      <c r="C93" s="1" t="s">
        <v>3</v>
      </c>
      <c r="D93" s="1" t="s">
        <v>3</v>
      </c>
      <c r="E93" s="1" t="s">
        <v>3</v>
      </c>
      <c r="F93" s="1" t="s">
        <v>3</v>
      </c>
      <c r="G93" s="1" t="s">
        <v>3</v>
      </c>
    </row>
    <row r="94" spans="1:7" x14ac:dyDescent="0.25">
      <c r="A94" s="1" t="s">
        <v>172</v>
      </c>
      <c r="B94" s="1" t="s">
        <v>173</v>
      </c>
      <c r="C94" s="1" t="s">
        <v>3</v>
      </c>
      <c r="D94" s="1" t="s">
        <v>3</v>
      </c>
      <c r="E94" s="1" t="s">
        <v>3</v>
      </c>
      <c r="F94" s="1" t="s">
        <v>3</v>
      </c>
      <c r="G94" s="1" t="s">
        <v>3</v>
      </c>
    </row>
    <row r="95" spans="1:7" x14ac:dyDescent="0.25">
      <c r="A95" s="1" t="s">
        <v>174</v>
      </c>
      <c r="B95" s="1" t="s">
        <v>175</v>
      </c>
      <c r="C95" s="1" t="s">
        <v>3</v>
      </c>
      <c r="D95" s="1" t="s">
        <v>3</v>
      </c>
      <c r="E95" s="1" t="s">
        <v>3</v>
      </c>
      <c r="F95" s="1" t="s">
        <v>3</v>
      </c>
      <c r="G95" s="1" t="s">
        <v>3</v>
      </c>
    </row>
    <row r="96" spans="1:7" x14ac:dyDescent="0.25">
      <c r="A96" s="1" t="s">
        <v>176</v>
      </c>
      <c r="B96" s="1" t="s">
        <v>177</v>
      </c>
      <c r="C96" s="1" t="s">
        <v>3</v>
      </c>
      <c r="D96" s="1" t="s">
        <v>3</v>
      </c>
      <c r="E96" s="1" t="s">
        <v>3</v>
      </c>
      <c r="F96" s="1" t="s">
        <v>3</v>
      </c>
      <c r="G96" s="1" t="s">
        <v>3</v>
      </c>
    </row>
    <row r="97" spans="1:7" x14ac:dyDescent="0.25">
      <c r="A97" s="1" t="s">
        <v>178</v>
      </c>
      <c r="B97" s="1" t="s">
        <v>179</v>
      </c>
      <c r="C97" s="1" t="s">
        <v>3</v>
      </c>
      <c r="D97" s="1" t="s">
        <v>2</v>
      </c>
      <c r="E97" s="1" t="s">
        <v>3</v>
      </c>
      <c r="F97" s="1" t="s">
        <v>3</v>
      </c>
      <c r="G97" s="1" t="s">
        <v>3</v>
      </c>
    </row>
    <row r="98" spans="1:7" x14ac:dyDescent="0.25">
      <c r="A98" s="4" t="s">
        <v>180</v>
      </c>
      <c r="B98" s="4" t="s">
        <v>181</v>
      </c>
      <c r="C98" s="4" t="s">
        <v>3</v>
      </c>
      <c r="D98" s="4" t="s">
        <v>3</v>
      </c>
      <c r="E98" s="4" t="s">
        <v>3</v>
      </c>
      <c r="F98" s="4" t="s">
        <v>3</v>
      </c>
      <c r="G98" s="4" t="s">
        <v>3</v>
      </c>
    </row>
  </sheetData>
  <sortState ref="A2:G98">
    <sortCondition ref="A2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7"/>
  <sheetViews>
    <sheetView workbookViewId="0">
      <pane xSplit="1" ySplit="7" topLeftCell="B8" activePane="bottomRight" state="frozen"/>
      <selection pane="topRight" activeCell="B1" sqref="B1"/>
      <selection pane="bottomLeft" activeCell="A2" sqref="A2"/>
      <selection pane="bottomRight" activeCell="N8" sqref="B8:N8"/>
    </sheetView>
  </sheetViews>
  <sheetFormatPr defaultRowHeight="15" x14ac:dyDescent="0.25"/>
  <cols>
    <col min="1" max="1" width="10.140625" bestFit="1" customWidth="1"/>
    <col min="2" max="2" width="63.7109375" bestFit="1" customWidth="1"/>
    <col min="3" max="3" width="10.28515625" bestFit="1" customWidth="1"/>
    <col min="4" max="4" width="15.28515625" bestFit="1" customWidth="1"/>
    <col min="5" max="5" width="28.140625" customWidth="1"/>
    <col min="7" max="7" width="13" customWidth="1"/>
    <col min="8" max="8" width="14" customWidth="1"/>
    <col min="9" max="9" width="15.42578125" customWidth="1"/>
    <col min="10" max="10" width="10.140625" bestFit="1" customWidth="1"/>
    <col min="11" max="11" width="11.42578125" customWidth="1"/>
    <col min="12" max="12" width="12.28515625" customWidth="1"/>
    <col min="15" max="15" width="11.5703125" customWidth="1"/>
    <col min="16" max="17" width="12.28515625" customWidth="1"/>
    <col min="18" max="18" width="12" customWidth="1"/>
    <col min="19" max="19" width="11.5703125" bestFit="1" customWidth="1"/>
    <col min="20" max="21" width="11.5703125" customWidth="1"/>
  </cols>
  <sheetData>
    <row r="1" spans="1:29" x14ac:dyDescent="0.25">
      <c r="A1">
        <v>0</v>
      </c>
      <c r="B1" t="s">
        <v>872</v>
      </c>
      <c r="G1">
        <f t="shared" ref="G1:H5" si="0">QUARTILE(G$8:G$87,$A1)</f>
        <v>0.15</v>
      </c>
      <c r="H1">
        <f t="shared" si="0"/>
        <v>0</v>
      </c>
    </row>
    <row r="2" spans="1:29" x14ac:dyDescent="0.25">
      <c r="A2">
        <v>1</v>
      </c>
      <c r="B2" t="s">
        <v>873</v>
      </c>
      <c r="G2">
        <f t="shared" si="0"/>
        <v>0.79249999999999998</v>
      </c>
      <c r="H2">
        <f t="shared" si="0"/>
        <v>0.52400000000000002</v>
      </c>
    </row>
    <row r="3" spans="1:29" x14ac:dyDescent="0.25">
      <c r="A3">
        <v>2</v>
      </c>
      <c r="B3" t="s">
        <v>874</v>
      </c>
      <c r="G3">
        <f t="shared" si="0"/>
        <v>0.91300000000000003</v>
      </c>
      <c r="H3">
        <f t="shared" si="0"/>
        <v>0.78300000000000003</v>
      </c>
    </row>
    <row r="4" spans="1:29" x14ac:dyDescent="0.25">
      <c r="A4">
        <v>3</v>
      </c>
      <c r="B4" t="s">
        <v>875</v>
      </c>
      <c r="G4">
        <f t="shared" si="0"/>
        <v>0.96699999999999997</v>
      </c>
      <c r="H4">
        <f t="shared" si="0"/>
        <v>0.90300000000000002</v>
      </c>
    </row>
    <row r="5" spans="1:29" x14ac:dyDescent="0.25">
      <c r="A5">
        <v>4</v>
      </c>
      <c r="B5" t="s">
        <v>876</v>
      </c>
      <c r="G5">
        <f t="shared" si="0"/>
        <v>1</v>
      </c>
      <c r="H5">
        <f t="shared" si="0"/>
        <v>1</v>
      </c>
    </row>
    <row r="7" spans="1:29" ht="60" x14ac:dyDescent="0.25">
      <c r="A7" s="14" t="s">
        <v>189</v>
      </c>
      <c r="B7" s="14" t="s">
        <v>183</v>
      </c>
      <c r="C7" s="11" t="s">
        <v>197</v>
      </c>
      <c r="D7" s="12" t="s">
        <v>206</v>
      </c>
      <c r="E7" s="34" t="s">
        <v>774</v>
      </c>
      <c r="F7" s="11" t="s">
        <v>210</v>
      </c>
      <c r="G7" s="11" t="s">
        <v>211</v>
      </c>
      <c r="H7" s="15" t="s">
        <v>212</v>
      </c>
      <c r="I7" s="11" t="s">
        <v>213</v>
      </c>
      <c r="J7" s="14" t="s">
        <v>189</v>
      </c>
      <c r="K7" s="33" t="s">
        <v>1114</v>
      </c>
      <c r="L7" s="33" t="s">
        <v>1115</v>
      </c>
      <c r="M7" s="53" t="s">
        <v>1124</v>
      </c>
      <c r="N7" s="53" t="s">
        <v>1123</v>
      </c>
      <c r="O7" s="27" t="s">
        <v>1120</v>
      </c>
      <c r="P7" s="27" t="s">
        <v>1121</v>
      </c>
      <c r="Q7" s="27" t="s">
        <v>1130</v>
      </c>
      <c r="R7" s="27" t="s">
        <v>1122</v>
      </c>
      <c r="S7" s="27" t="s">
        <v>1131</v>
      </c>
      <c r="T7" s="27" t="s">
        <v>1127</v>
      </c>
      <c r="U7" s="27" t="s">
        <v>1132</v>
      </c>
      <c r="V7" s="70" t="s">
        <v>1116</v>
      </c>
      <c r="W7" s="70" t="s">
        <v>1117</v>
      </c>
      <c r="X7" s="70" t="s">
        <v>1118</v>
      </c>
      <c r="Y7" s="70" t="s">
        <v>1119</v>
      </c>
      <c r="Z7" s="70" t="s">
        <v>1125</v>
      </c>
      <c r="AA7" s="70" t="s">
        <v>1126</v>
      </c>
      <c r="AB7" s="70" t="s">
        <v>1128</v>
      </c>
      <c r="AC7" s="70" t="s">
        <v>1129</v>
      </c>
    </row>
    <row r="8" spans="1:29" x14ac:dyDescent="0.25">
      <c r="A8" t="s">
        <v>9</v>
      </c>
      <c r="B8" s="4" t="s">
        <v>10</v>
      </c>
      <c r="C8" s="24">
        <v>92</v>
      </c>
      <c r="D8" s="13" t="s">
        <v>409</v>
      </c>
      <c r="E8" s="19" t="s">
        <v>778</v>
      </c>
      <c r="F8" s="25">
        <v>0.84</v>
      </c>
      <c r="G8" s="23">
        <v>0.91300000000000003</v>
      </c>
      <c r="H8" s="23">
        <v>0.85899999999999999</v>
      </c>
      <c r="I8" s="23">
        <v>3.6999999999999998E-2</v>
      </c>
      <c r="J8" t="s">
        <v>9</v>
      </c>
      <c r="K8">
        <f t="shared" ref="K8:K37" si="1">+IF(G8&lt;G$2,1,IF(G8&lt;G$3,2,IF(G8&lt;G$4,3,4)))</f>
        <v>3</v>
      </c>
      <c r="L8">
        <f t="shared" ref="L8:L37" si="2">+IF(H8&lt;H$2,1,IF(H8&lt;H$3,2,IF(H8&lt;H$4,3,4)))</f>
        <v>3</v>
      </c>
      <c r="M8" s="32">
        <f>IF('Amputation Summary'!$Q$33=2, RANK(H8,H$8:H$87,1)+COUNTIF($H$8:H8,H8)-1, IF('Amputation Summary'!$Q$33=1, RANK(G8,G$8:G$87,1)+COUNTIF($G$8:G8,G8)-1))</f>
        <v>50</v>
      </c>
      <c r="N8" s="23">
        <f>IF('Amputation Summary'!$Q$33=2, H8, IF('Amputation Summary'!$Q$33=1, G8))</f>
        <v>0.85899999999999999</v>
      </c>
      <c r="O8" s="24">
        <v>5</v>
      </c>
      <c r="P8" s="32">
        <v>3</v>
      </c>
      <c r="Q8" s="32">
        <v>2</v>
      </c>
      <c r="R8" s="32">
        <v>14</v>
      </c>
      <c r="S8" s="32">
        <v>9</v>
      </c>
      <c r="T8" s="32">
        <v>15</v>
      </c>
      <c r="U8" s="32">
        <f>F8*100</f>
        <v>84</v>
      </c>
      <c r="V8" s="25">
        <v>55.771142244338989</v>
      </c>
      <c r="W8" s="25">
        <v>126.51703357696533</v>
      </c>
      <c r="X8" s="25">
        <f>U8-V8</f>
        <v>28.228857755661011</v>
      </c>
      <c r="Y8" s="25">
        <f>W8-V8</f>
        <v>70.745891332626343</v>
      </c>
      <c r="Z8" s="32">
        <f>IF('Amputation Summary'!$Q$4=2, RANK(F8,F$8:F$87,1)+COUNTIF($F$8:F8,F8)-1, IF('Amputation Summary'!$Q$4=1, RANK(T8,T$8:T$87,1)+COUNTIF($T$8:T8,T8)-1))</f>
        <v>35</v>
      </c>
      <c r="AA8" s="32">
        <f>IF('Amputation Summary'!$Q$4=2, U8, IF('Amputation Summary'!$Q$4=1, O8))</f>
        <v>84</v>
      </c>
      <c r="AB8" s="32">
        <f>IF('Amputation Summary'!$Q$4=2, X8, IF('Amputation Summary'!$Q$4=1, Q8))</f>
        <v>28.228857755661011</v>
      </c>
      <c r="AC8" s="32">
        <f>IF('Amputation Summary'!$Q$4=2, Y8, IF('Amputation Summary'!$Q$4=1, S8))</f>
        <v>70.745891332626343</v>
      </c>
    </row>
    <row r="9" spans="1:29" x14ac:dyDescent="0.25">
      <c r="A9" t="s">
        <v>120</v>
      </c>
      <c r="B9" s="4" t="s">
        <v>121</v>
      </c>
      <c r="C9" s="24">
        <v>86</v>
      </c>
      <c r="D9" s="13" t="s">
        <v>448</v>
      </c>
      <c r="E9" s="19" t="s">
        <v>317</v>
      </c>
      <c r="F9" s="25">
        <v>1.04</v>
      </c>
      <c r="G9" s="23">
        <v>0.91900000000000004</v>
      </c>
      <c r="H9" s="23">
        <v>0.76700000000000002</v>
      </c>
      <c r="I9" s="23">
        <v>3.2000000000000001E-2</v>
      </c>
      <c r="J9" t="s">
        <v>120</v>
      </c>
      <c r="K9">
        <f t="shared" si="1"/>
        <v>3</v>
      </c>
      <c r="L9">
        <f t="shared" si="2"/>
        <v>2</v>
      </c>
      <c r="M9" s="32">
        <f>IF('Amputation Summary'!$Q$33=2, RANK(H9,H$8:H$87,1)+COUNTIF($H$8:H9,H9)-1, IF('Amputation Summary'!$Q$33=1, RANK(G9,G$8:G$87,1)+COUNTIF($G$8:G9,G9)-1))</f>
        <v>37</v>
      </c>
      <c r="N9" s="23">
        <f>IF('Amputation Summary'!$Q$33=2, H9, IF('Amputation Summary'!$Q$33=1, G9))</f>
        <v>0.76700000000000002</v>
      </c>
      <c r="O9" s="24">
        <v>5</v>
      </c>
      <c r="P9" s="32">
        <v>3</v>
      </c>
      <c r="Q9" s="32">
        <v>2</v>
      </c>
      <c r="R9" s="32">
        <v>11</v>
      </c>
      <c r="S9" s="32">
        <v>6</v>
      </c>
      <c r="T9" s="32">
        <v>14</v>
      </c>
      <c r="U9" s="32">
        <f t="shared" ref="U9:U68" si="3">F9*100</f>
        <v>104</v>
      </c>
      <c r="V9" s="25">
        <v>68.148314952850342</v>
      </c>
      <c r="W9" s="25">
        <v>158.71264934539795</v>
      </c>
      <c r="X9" s="25">
        <f t="shared" ref="X9:X68" si="4">U9-V9</f>
        <v>35.851685047149658</v>
      </c>
      <c r="Y9" s="25">
        <f t="shared" ref="Y9:Y68" si="5">W9-V9</f>
        <v>90.564334392547607</v>
      </c>
      <c r="Z9" s="32">
        <f>IF('Amputation Summary'!$Q$4=2, RANK(F9,F$8:F$87,1)+COUNTIF($F$8:F9,F9)-1, IF('Amputation Summary'!$Q$4=1, RANK(T9,T$8:T$87,1)+COUNTIF($T$8:T9,T9)-1))</f>
        <v>48</v>
      </c>
      <c r="AA9" s="32">
        <f>IF('Amputation Summary'!$Q$4=2, U9, IF('Amputation Summary'!$Q$4=1, O9))</f>
        <v>104</v>
      </c>
      <c r="AB9" s="32">
        <f>IF('Amputation Summary'!$Q$4=2, X9, IF('Amputation Summary'!$Q$4=1, Q9))</f>
        <v>35.851685047149658</v>
      </c>
      <c r="AC9" s="32">
        <f>IF('Amputation Summary'!$Q$4=2, Y9, IF('Amputation Summary'!$Q$4=1, S9))</f>
        <v>90.564334392547607</v>
      </c>
    </row>
    <row r="10" spans="1:29" x14ac:dyDescent="0.25">
      <c r="A10" t="s">
        <v>48</v>
      </c>
      <c r="B10" s="4" t="s">
        <v>49</v>
      </c>
      <c r="C10" s="24">
        <v>104</v>
      </c>
      <c r="D10" s="13" t="s">
        <v>426</v>
      </c>
      <c r="E10" s="19" t="s">
        <v>793</v>
      </c>
      <c r="F10" s="25">
        <v>1.64</v>
      </c>
      <c r="G10" s="23">
        <v>0.97099999999999997</v>
      </c>
      <c r="H10" s="23">
        <v>0</v>
      </c>
      <c r="I10" s="23">
        <v>7.2999999999999995E-2</v>
      </c>
      <c r="J10" t="s">
        <v>48</v>
      </c>
      <c r="K10">
        <f t="shared" si="1"/>
        <v>4</v>
      </c>
      <c r="L10">
        <f t="shared" si="2"/>
        <v>1</v>
      </c>
      <c r="M10" s="32">
        <f>IF('Amputation Summary'!$Q$33=2, RANK(H10,H$8:H$87,1)+COUNTIF($H$8:H10,H10)-1, IF('Amputation Summary'!$Q$33=1, RANK(G10,G$8:G$87,1)+COUNTIF($G$8:G10,G10)-1))</f>
        <v>1</v>
      </c>
      <c r="N10" s="23">
        <f>IF('Amputation Summary'!$Q$33=2, H10, IF('Amputation Summary'!$Q$33=1, G10))</f>
        <v>0</v>
      </c>
      <c r="O10" s="24">
        <v>7</v>
      </c>
      <c r="P10" s="32">
        <v>3</v>
      </c>
      <c r="Q10" s="32">
        <v>4</v>
      </c>
      <c r="R10" s="32">
        <v>24</v>
      </c>
      <c r="S10" s="32">
        <v>17</v>
      </c>
      <c r="T10" s="32">
        <v>31</v>
      </c>
      <c r="U10" s="32">
        <f t="shared" si="3"/>
        <v>164</v>
      </c>
      <c r="V10" s="25">
        <v>110.84885597229004</v>
      </c>
      <c r="W10" s="25">
        <v>242.63668060302734</v>
      </c>
      <c r="X10" s="25">
        <f t="shared" si="4"/>
        <v>53.151144027709961</v>
      </c>
      <c r="Y10" s="25">
        <f t="shared" si="5"/>
        <v>131.7878246307373</v>
      </c>
      <c r="Z10" s="32">
        <f>IF('Amputation Summary'!$Q$4=2, RANK(F10,F$8:F$87,1)+COUNTIF($F$8:F10,F10)-1, IF('Amputation Summary'!$Q$4=1, RANK(T10,T$8:T$87,1)+COUNTIF($T$8:T10,T10)-1))</f>
        <v>70</v>
      </c>
      <c r="AA10" s="32">
        <f>IF('Amputation Summary'!$Q$4=2, U10, IF('Amputation Summary'!$Q$4=1, O10))</f>
        <v>164</v>
      </c>
      <c r="AB10" s="32">
        <f>IF('Amputation Summary'!$Q$4=2, X10, IF('Amputation Summary'!$Q$4=1, Q10))</f>
        <v>53.151144027709961</v>
      </c>
      <c r="AC10" s="32">
        <f>IF('Amputation Summary'!$Q$4=2, Y10, IF('Amputation Summary'!$Q$4=1, S10))</f>
        <v>131.7878246307373</v>
      </c>
    </row>
    <row r="11" spans="1:29" x14ac:dyDescent="0.25">
      <c r="A11" t="s">
        <v>13</v>
      </c>
      <c r="B11" s="4" t="s">
        <v>14</v>
      </c>
      <c r="C11" s="24">
        <v>205</v>
      </c>
      <c r="D11" s="13" t="s">
        <v>411</v>
      </c>
      <c r="E11" s="19" t="s">
        <v>780</v>
      </c>
      <c r="F11" s="25">
        <v>0.79</v>
      </c>
      <c r="G11" s="23">
        <v>0.94599999999999995</v>
      </c>
      <c r="H11" s="23">
        <v>0.84399999999999997</v>
      </c>
      <c r="I11" s="23">
        <v>5.6000000000000001E-2</v>
      </c>
      <c r="J11" t="s">
        <v>13</v>
      </c>
      <c r="K11">
        <f t="shared" si="1"/>
        <v>3</v>
      </c>
      <c r="L11">
        <f t="shared" si="2"/>
        <v>3</v>
      </c>
      <c r="M11" s="32">
        <f>IF('Amputation Summary'!$Q$33=2, RANK(H11,H$8:H$87,1)+COUNTIF($H$8:H11,H11)-1, IF('Amputation Summary'!$Q$33=1, RANK(G11,G$8:G$87,1)+COUNTIF($G$8:G11,G11)-1))</f>
        <v>47</v>
      </c>
      <c r="N11" s="23">
        <f>IF('Amputation Summary'!$Q$33=2, H11, IF('Amputation Summary'!$Q$33=1, G11))</f>
        <v>0.84399999999999997</v>
      </c>
      <c r="O11" s="24">
        <v>13</v>
      </c>
      <c r="P11" s="32">
        <v>5</v>
      </c>
      <c r="Q11" s="32">
        <v>8</v>
      </c>
      <c r="R11" s="32">
        <v>21</v>
      </c>
      <c r="S11" s="32">
        <v>8</v>
      </c>
      <c r="T11" s="32">
        <v>66</v>
      </c>
      <c r="U11" s="32">
        <f t="shared" si="3"/>
        <v>79</v>
      </c>
      <c r="V11" s="25">
        <v>59.974747896194458</v>
      </c>
      <c r="W11" s="25">
        <v>104.06047105789185</v>
      </c>
      <c r="X11" s="25">
        <f t="shared" si="4"/>
        <v>19.025252103805542</v>
      </c>
      <c r="Y11" s="25">
        <f t="shared" si="5"/>
        <v>44.085723161697388</v>
      </c>
      <c r="Z11" s="32">
        <f>IF('Amputation Summary'!$Q$4=2, RANK(F11,F$8:F$87,1)+COUNTIF($F$8:F11,F11)-1, IF('Amputation Summary'!$Q$4=1, RANK(T11,T$8:T$87,1)+COUNTIF($T$8:T11,T11)-1))</f>
        <v>29</v>
      </c>
      <c r="AA11" s="32">
        <f>IF('Amputation Summary'!$Q$4=2, U11, IF('Amputation Summary'!$Q$4=1, O11))</f>
        <v>79</v>
      </c>
      <c r="AB11" s="32">
        <f>IF('Amputation Summary'!$Q$4=2, X11, IF('Amputation Summary'!$Q$4=1, Q11))</f>
        <v>19.025252103805542</v>
      </c>
      <c r="AC11" s="32">
        <f>IF('Amputation Summary'!$Q$4=2, Y11, IF('Amputation Summary'!$Q$4=1, S11))</f>
        <v>44.085723161697388</v>
      </c>
    </row>
    <row r="12" spans="1:29" x14ac:dyDescent="0.25">
      <c r="A12" t="s">
        <v>37</v>
      </c>
      <c r="B12" s="4" t="s">
        <v>38</v>
      </c>
      <c r="C12" s="24">
        <v>9</v>
      </c>
      <c r="D12" s="13" t="s">
        <v>421</v>
      </c>
      <c r="E12" s="19" t="s">
        <v>789</v>
      </c>
      <c r="F12" s="25">
        <v>2.33</v>
      </c>
      <c r="G12" s="23">
        <v>0.88900000000000001</v>
      </c>
      <c r="H12" s="23">
        <v>0</v>
      </c>
      <c r="I12" s="23">
        <v>0</v>
      </c>
      <c r="J12" t="s">
        <v>37</v>
      </c>
      <c r="K12">
        <f t="shared" si="1"/>
        <v>2</v>
      </c>
      <c r="L12">
        <f t="shared" si="2"/>
        <v>1</v>
      </c>
      <c r="M12" s="32">
        <f>IF('Amputation Summary'!$Q$33=2, RANK(H12,H$8:H$87,1)+COUNTIF($H$8:H12,H12)-1, IF('Amputation Summary'!$Q$33=1, RANK(G12,G$8:G$87,1)+COUNTIF($G$8:G12,G12)-1))</f>
        <v>2</v>
      </c>
      <c r="N12" s="23">
        <f>IF('Amputation Summary'!$Q$33=2, H12, IF('Amputation Summary'!$Q$33=1, G12))</f>
        <v>0</v>
      </c>
      <c r="O12" s="24">
        <v>11</v>
      </c>
      <c r="P12" s="32">
        <v>3</v>
      </c>
      <c r="Q12" s="32">
        <v>8</v>
      </c>
      <c r="R12" s="32">
        <v>63</v>
      </c>
      <c r="S12" s="32">
        <v>52</v>
      </c>
      <c r="T12" s="32">
        <v>63</v>
      </c>
      <c r="U12" s="32">
        <f t="shared" si="3"/>
        <v>233</v>
      </c>
      <c r="V12" s="25">
        <v>58.271265029907227</v>
      </c>
      <c r="W12" s="25">
        <v>931.65969848632813</v>
      </c>
      <c r="X12" s="25">
        <f t="shared" si="4"/>
        <v>174.72873497009277</v>
      </c>
      <c r="Y12" s="25">
        <f t="shared" si="5"/>
        <v>873.3884334564209</v>
      </c>
      <c r="Z12" s="32">
        <f>IF('Amputation Summary'!$Q$4=2, RANK(F12,F$8:F$87,1)+COUNTIF($F$8:F12,F12)-1, IF('Amputation Summary'!$Q$4=1, RANK(T12,T$8:T$87,1)+COUNTIF($T$8:T12,T12)-1))</f>
        <v>78</v>
      </c>
      <c r="AA12" s="32">
        <f>IF('Amputation Summary'!$Q$4=2, U12, IF('Amputation Summary'!$Q$4=1, O12))</f>
        <v>233</v>
      </c>
      <c r="AB12" s="32">
        <f>IF('Amputation Summary'!$Q$4=2, X12, IF('Amputation Summary'!$Q$4=1, Q12))</f>
        <v>174.72873497009277</v>
      </c>
      <c r="AC12" s="32">
        <f>IF('Amputation Summary'!$Q$4=2, Y12, IF('Amputation Summary'!$Q$4=1, S12))</f>
        <v>873.3884334564209</v>
      </c>
    </row>
    <row r="13" spans="1:29" x14ac:dyDescent="0.25">
      <c r="A13" t="s">
        <v>33</v>
      </c>
      <c r="B13" s="4" t="s">
        <v>34</v>
      </c>
      <c r="C13" s="24">
        <v>87</v>
      </c>
      <c r="D13" s="13" t="s">
        <v>419</v>
      </c>
      <c r="E13" s="19" t="s">
        <v>787</v>
      </c>
      <c r="F13" s="25">
        <v>1.1399999999999999</v>
      </c>
      <c r="G13" s="23">
        <v>0.88500000000000001</v>
      </c>
      <c r="H13" s="23">
        <v>0.93100000000000005</v>
      </c>
      <c r="I13" s="23">
        <v>5.3999999999999999E-2</v>
      </c>
      <c r="J13" t="s">
        <v>33</v>
      </c>
      <c r="K13">
        <f t="shared" si="1"/>
        <v>2</v>
      </c>
      <c r="L13">
        <f t="shared" si="2"/>
        <v>4</v>
      </c>
      <c r="M13" s="32">
        <f>IF('Amputation Summary'!$Q$33=2, RANK(H13,H$8:H$87,1)+COUNTIF($H$8:H13,H13)-1, IF('Amputation Summary'!$Q$33=1, RANK(G13,G$8:G$87,1)+COUNTIF($G$8:G13,G13)-1))</f>
        <v>67</v>
      </c>
      <c r="N13" s="23">
        <f>IF('Amputation Summary'!$Q$33=2, H13, IF('Amputation Summary'!$Q$33=1, G13))</f>
        <v>0.93100000000000005</v>
      </c>
      <c r="O13" s="24">
        <v>11</v>
      </c>
      <c r="P13" s="32">
        <v>5</v>
      </c>
      <c r="Q13" s="32">
        <v>6</v>
      </c>
      <c r="R13" s="32">
        <v>31</v>
      </c>
      <c r="S13" s="32">
        <v>20</v>
      </c>
      <c r="T13" s="32">
        <v>64</v>
      </c>
      <c r="U13" s="32">
        <f t="shared" si="3"/>
        <v>113.99999999999999</v>
      </c>
      <c r="V13" s="25">
        <v>74.864530563354492</v>
      </c>
      <c r="W13" s="25">
        <v>173.59354496002197</v>
      </c>
      <c r="X13" s="25">
        <f t="shared" si="4"/>
        <v>39.135469436645494</v>
      </c>
      <c r="Y13" s="25">
        <f t="shared" si="5"/>
        <v>98.72901439666748</v>
      </c>
      <c r="Z13" s="32">
        <f>IF('Amputation Summary'!$Q$4=2, RANK(F13,F$8:F$87,1)+COUNTIF($F$8:F13,F13)-1, IF('Amputation Summary'!$Q$4=1, RANK(T13,T$8:T$87,1)+COUNTIF($T$8:T13,T13)-1))</f>
        <v>51</v>
      </c>
      <c r="AA13" s="32">
        <f>IF('Amputation Summary'!$Q$4=2, U13, IF('Amputation Summary'!$Q$4=1, O13))</f>
        <v>113.99999999999999</v>
      </c>
      <c r="AB13" s="32">
        <f>IF('Amputation Summary'!$Q$4=2, X13, IF('Amputation Summary'!$Q$4=1, Q13))</f>
        <v>39.135469436645494</v>
      </c>
      <c r="AC13" s="32">
        <f>IF('Amputation Summary'!$Q$4=2, Y13, IF('Amputation Summary'!$Q$4=1, S13))</f>
        <v>98.72901439666748</v>
      </c>
    </row>
    <row r="14" spans="1:29" x14ac:dyDescent="0.25">
      <c r="A14" t="s">
        <v>180</v>
      </c>
      <c r="B14" s="4" t="s">
        <v>181</v>
      </c>
      <c r="C14" s="24">
        <v>397</v>
      </c>
      <c r="D14" s="13" t="s">
        <v>482</v>
      </c>
      <c r="E14" s="19" t="s">
        <v>824</v>
      </c>
      <c r="F14" s="25">
        <v>0.6</v>
      </c>
      <c r="G14" s="23">
        <v>0.68799999999999994</v>
      </c>
      <c r="H14" s="23">
        <v>0.82099999999999995</v>
      </c>
      <c r="I14" s="23">
        <v>2.5000000000000001E-2</v>
      </c>
      <c r="J14" t="s">
        <v>180</v>
      </c>
      <c r="K14">
        <f t="shared" si="1"/>
        <v>1</v>
      </c>
      <c r="L14">
        <f t="shared" si="2"/>
        <v>3</v>
      </c>
      <c r="M14" s="32">
        <f>IF('Amputation Summary'!$Q$33=2, RANK(H14,H$8:H$87,1)+COUNTIF($H$8:H14,H14)-1, IF('Amputation Summary'!$Q$33=1, RANK(G14,G$8:G$87,1)+COUNTIF($G$8:G14,G14)-1))</f>
        <v>43</v>
      </c>
      <c r="N14" s="23">
        <f>IF('Amputation Summary'!$Q$33=2, H14, IF('Amputation Summary'!$Q$33=1, G14))</f>
        <v>0.82099999999999995</v>
      </c>
      <c r="O14" s="24">
        <v>10</v>
      </c>
      <c r="P14" s="32">
        <v>5</v>
      </c>
      <c r="Q14" s="32">
        <v>5</v>
      </c>
      <c r="R14" s="32">
        <v>26</v>
      </c>
      <c r="S14" s="32">
        <v>16</v>
      </c>
      <c r="T14" s="32">
        <v>62</v>
      </c>
      <c r="U14" s="32">
        <f t="shared" si="3"/>
        <v>60</v>
      </c>
      <c r="V14" s="25">
        <v>48.941698670387268</v>
      </c>
      <c r="W14" s="25">
        <v>73.556911945343018</v>
      </c>
      <c r="X14" s="25">
        <f t="shared" si="4"/>
        <v>11.058301329612732</v>
      </c>
      <c r="Y14" s="25">
        <f t="shared" si="5"/>
        <v>24.61521327495575</v>
      </c>
      <c r="Z14" s="32">
        <f>IF('Amputation Summary'!$Q$4=2, RANK(F14,F$8:F$87,1)+COUNTIF($F$8:F14,F14)-1, IF('Amputation Summary'!$Q$4=1, RANK(T14,T$8:T$87,1)+COUNTIF($T$8:T14,T14)-1))</f>
        <v>18</v>
      </c>
      <c r="AA14" s="32">
        <f>IF('Amputation Summary'!$Q$4=2, U14, IF('Amputation Summary'!$Q$4=1, O14))</f>
        <v>60</v>
      </c>
      <c r="AB14" s="32">
        <f>IF('Amputation Summary'!$Q$4=2, X14, IF('Amputation Summary'!$Q$4=1, Q14))</f>
        <v>11.058301329612732</v>
      </c>
      <c r="AC14" s="32">
        <f>IF('Amputation Summary'!$Q$4=2, Y14, IF('Amputation Summary'!$Q$4=1, S14))</f>
        <v>24.61521327495575</v>
      </c>
    </row>
    <row r="15" spans="1:29" x14ac:dyDescent="0.25">
      <c r="A15" t="s">
        <v>0</v>
      </c>
      <c r="B15" s="4" t="s">
        <v>1</v>
      </c>
      <c r="C15" s="24">
        <v>23</v>
      </c>
      <c r="D15" s="13" t="s">
        <v>405</v>
      </c>
      <c r="E15" s="19" t="s">
        <v>385</v>
      </c>
      <c r="F15" s="25">
        <v>0.28000000000000003</v>
      </c>
      <c r="G15" s="23">
        <v>1</v>
      </c>
      <c r="H15" s="23">
        <v>0.78300000000000003</v>
      </c>
      <c r="I15" s="23">
        <v>0</v>
      </c>
      <c r="J15" t="s">
        <v>0</v>
      </c>
      <c r="K15">
        <f t="shared" si="1"/>
        <v>4</v>
      </c>
      <c r="L15">
        <f t="shared" si="2"/>
        <v>3</v>
      </c>
      <c r="M15" s="32">
        <f>IF('Amputation Summary'!$Q$33=2, RANK(H15,H$8:H$87,1)+COUNTIF($H$8:H15,H15)-1, IF('Amputation Summary'!$Q$33=1, RANK(G15,G$8:G$87,1)+COUNTIF($G$8:G15,G15)-1))</f>
        <v>40</v>
      </c>
      <c r="N15" s="23">
        <f>IF('Amputation Summary'!$Q$33=2, H15, IF('Amputation Summary'!$Q$33=1, G15))</f>
        <v>0.78300000000000003</v>
      </c>
      <c r="O15" s="24">
        <v>3</v>
      </c>
      <c r="P15" s="32">
        <v>2</v>
      </c>
      <c r="Q15" s="32">
        <v>1</v>
      </c>
      <c r="R15" s="32">
        <v>8</v>
      </c>
      <c r="S15" s="32">
        <v>5</v>
      </c>
      <c r="T15" s="32">
        <v>3</v>
      </c>
      <c r="U15" s="32">
        <f t="shared" si="3"/>
        <v>28.000000000000004</v>
      </c>
      <c r="V15" s="25">
        <v>10.395526140928268</v>
      </c>
      <c r="W15" s="25">
        <v>75.417071580886841</v>
      </c>
      <c r="X15" s="25">
        <f t="shared" si="4"/>
        <v>17.604473859071735</v>
      </c>
      <c r="Y15" s="25">
        <f t="shared" si="5"/>
        <v>65.021545439958572</v>
      </c>
      <c r="Z15" s="32">
        <f>IF('Amputation Summary'!$Q$4=2, RANK(F15,F$8:F$87,1)+COUNTIF($F$8:F15,F15)-1, IF('Amputation Summary'!$Q$4=1, RANK(T15,T$8:T$87,1)+COUNTIF($T$8:T15,T15)-1))</f>
        <v>3</v>
      </c>
      <c r="AA15" s="32">
        <f>IF('Amputation Summary'!$Q$4=2, U15, IF('Amputation Summary'!$Q$4=1, O15))</f>
        <v>28.000000000000004</v>
      </c>
      <c r="AB15" s="32">
        <f>IF('Amputation Summary'!$Q$4=2, X15, IF('Amputation Summary'!$Q$4=1, Q15))</f>
        <v>17.604473859071735</v>
      </c>
      <c r="AC15" s="32">
        <f>IF('Amputation Summary'!$Q$4=2, Y15, IF('Amputation Summary'!$Q$4=1, S15))</f>
        <v>65.021545439958572</v>
      </c>
    </row>
    <row r="16" spans="1:29" x14ac:dyDescent="0.25">
      <c r="A16" t="s">
        <v>19</v>
      </c>
      <c r="B16" s="4" t="s">
        <v>20</v>
      </c>
      <c r="C16" s="24">
        <v>72</v>
      </c>
      <c r="D16" s="13" t="s">
        <v>414</v>
      </c>
      <c r="E16" s="19" t="s">
        <v>782</v>
      </c>
      <c r="F16" s="25">
        <v>4.2</v>
      </c>
      <c r="G16" s="23">
        <v>0.875</v>
      </c>
      <c r="H16" s="23">
        <v>0.94399999999999995</v>
      </c>
      <c r="I16" s="23">
        <v>4.1000000000000002E-2</v>
      </c>
      <c r="J16" t="s">
        <v>19</v>
      </c>
      <c r="K16">
        <f t="shared" si="1"/>
        <v>2</v>
      </c>
      <c r="L16">
        <f t="shared" si="2"/>
        <v>4</v>
      </c>
      <c r="M16" s="32">
        <f>IF('Amputation Summary'!$Q$33=2, RANK(H16,H$8:H$87,1)+COUNTIF($H$8:H16,H16)-1, IF('Amputation Summary'!$Q$33=1, RANK(G16,G$8:G$87,1)+COUNTIF($G$8:G16,G16)-1))</f>
        <v>69</v>
      </c>
      <c r="N16" s="23">
        <f>IF('Amputation Summary'!$Q$33=2, H16, IF('Amputation Summary'!$Q$33=1, G16))</f>
        <v>0.94399999999999995</v>
      </c>
      <c r="O16" s="24">
        <v>8</v>
      </c>
      <c r="P16" s="32">
        <v>5</v>
      </c>
      <c r="Q16" s="32">
        <v>3</v>
      </c>
      <c r="R16" s="32">
        <v>18</v>
      </c>
      <c r="S16" s="32">
        <v>10</v>
      </c>
      <c r="T16" s="32">
        <v>50</v>
      </c>
      <c r="U16" s="32">
        <f t="shared" si="3"/>
        <v>420</v>
      </c>
      <c r="V16" s="25">
        <v>234.30311679840088</v>
      </c>
      <c r="W16" s="25">
        <v>752.87084579467773</v>
      </c>
      <c r="X16" s="25">
        <f t="shared" si="4"/>
        <v>185.69688320159912</v>
      </c>
      <c r="Y16" s="25">
        <f t="shared" si="5"/>
        <v>518.56772899627686</v>
      </c>
      <c r="Z16" s="32">
        <f>IF('Amputation Summary'!$Q$4=2, RANK(F16,F$8:F$87,1)+COUNTIF($F$8:F16,F16)-1, IF('Amputation Summary'!$Q$4=1, RANK(T16,T$8:T$87,1)+COUNTIF($T$8:T16,T16)-1))</f>
        <v>79</v>
      </c>
      <c r="AA16" s="32">
        <f>IF('Amputation Summary'!$Q$4=2, U16, IF('Amputation Summary'!$Q$4=1, O16))</f>
        <v>420</v>
      </c>
      <c r="AB16" s="32">
        <f>IF('Amputation Summary'!$Q$4=2, X16, IF('Amputation Summary'!$Q$4=1, Q16))</f>
        <v>185.69688320159912</v>
      </c>
      <c r="AC16" s="32">
        <f>IF('Amputation Summary'!$Q$4=2, Y16, IF('Amputation Summary'!$Q$4=1, S16))</f>
        <v>518.56772899627686</v>
      </c>
    </row>
    <row r="17" spans="1:29" x14ac:dyDescent="0.25">
      <c r="A17" t="s">
        <v>148</v>
      </c>
      <c r="B17" s="4" t="s">
        <v>149</v>
      </c>
      <c r="C17" s="24">
        <v>207</v>
      </c>
      <c r="D17" s="13" t="s">
        <v>466</v>
      </c>
      <c r="E17" s="19" t="s">
        <v>814</v>
      </c>
      <c r="F17" s="25">
        <v>1.22</v>
      </c>
      <c r="G17" s="23">
        <v>0.54600000000000004</v>
      </c>
      <c r="H17" s="23">
        <v>0.98099999999999998</v>
      </c>
      <c r="I17" s="23">
        <v>2.1999999999999999E-2</v>
      </c>
      <c r="J17" t="s">
        <v>148</v>
      </c>
      <c r="K17">
        <f t="shared" si="1"/>
        <v>1</v>
      </c>
      <c r="L17">
        <f t="shared" si="2"/>
        <v>4</v>
      </c>
      <c r="M17" s="32">
        <f>IF('Amputation Summary'!$Q$33=2, RANK(H17,H$8:H$87,1)+COUNTIF($H$8:H17,H17)-1, IF('Amputation Summary'!$Q$33=1, RANK(G17,G$8:G$87,1)+COUNTIF($G$8:G17,G17)-1))</f>
        <v>75</v>
      </c>
      <c r="N17" s="23">
        <f>IF('Amputation Summary'!$Q$33=2, H17, IF('Amputation Summary'!$Q$33=1, G17))</f>
        <v>0.98099999999999998</v>
      </c>
      <c r="O17" s="24">
        <v>13</v>
      </c>
      <c r="P17" s="32">
        <v>5</v>
      </c>
      <c r="Q17" s="32">
        <v>8</v>
      </c>
      <c r="R17" s="32">
        <v>28</v>
      </c>
      <c r="S17" s="32">
        <v>15</v>
      </c>
      <c r="T17" s="32">
        <v>67</v>
      </c>
      <c r="U17" s="32">
        <f t="shared" si="3"/>
        <v>122</v>
      </c>
      <c r="V17" s="25">
        <v>92.796343564987183</v>
      </c>
      <c r="W17" s="25">
        <v>160.39426326751709</v>
      </c>
      <c r="X17" s="25">
        <f t="shared" si="4"/>
        <v>29.203656435012817</v>
      </c>
      <c r="Y17" s="25">
        <f t="shared" si="5"/>
        <v>67.597919702529907</v>
      </c>
      <c r="Z17" s="32">
        <f>IF('Amputation Summary'!$Q$4=2, RANK(F17,F$8:F$87,1)+COUNTIF($F$8:F17,F17)-1, IF('Amputation Summary'!$Q$4=1, RANK(T17,T$8:T$87,1)+COUNTIF($T$8:T17,T17)-1))</f>
        <v>56</v>
      </c>
      <c r="AA17" s="32">
        <f>IF('Amputation Summary'!$Q$4=2, U17, IF('Amputation Summary'!$Q$4=1, O17))</f>
        <v>122</v>
      </c>
      <c r="AB17" s="32">
        <f>IF('Amputation Summary'!$Q$4=2, X17, IF('Amputation Summary'!$Q$4=1, Q17))</f>
        <v>29.203656435012817</v>
      </c>
      <c r="AC17" s="32">
        <f>IF('Amputation Summary'!$Q$4=2, Y17, IF('Amputation Summary'!$Q$4=1, S17))</f>
        <v>67.597919702529907</v>
      </c>
    </row>
    <row r="18" spans="1:29" x14ac:dyDescent="0.25">
      <c r="A18" t="s">
        <v>142</v>
      </c>
      <c r="B18" s="4" t="s">
        <v>143</v>
      </c>
      <c r="C18" s="24">
        <v>49</v>
      </c>
      <c r="D18" s="13" t="s">
        <v>464</v>
      </c>
      <c r="E18" s="19" t="s">
        <v>226</v>
      </c>
      <c r="F18" s="25">
        <v>1.84</v>
      </c>
      <c r="G18" s="23">
        <v>0.89800000000000002</v>
      </c>
      <c r="H18" s="23">
        <v>0.53100000000000003</v>
      </c>
      <c r="I18" s="23">
        <v>5.2999999999999999E-2</v>
      </c>
      <c r="J18" t="s">
        <v>142</v>
      </c>
      <c r="K18">
        <f t="shared" si="1"/>
        <v>2</v>
      </c>
      <c r="L18">
        <f t="shared" si="2"/>
        <v>2</v>
      </c>
      <c r="M18" s="32">
        <f>IF('Amputation Summary'!$Q$33=2, RANK(H18,H$8:H$87,1)+COUNTIF($H$8:H18,H18)-1, IF('Amputation Summary'!$Q$33=1, RANK(G18,G$8:G$87,1)+COUNTIF($G$8:G18,G18)-1))</f>
        <v>21</v>
      </c>
      <c r="N18" s="23">
        <f>IF('Amputation Summary'!$Q$33=2, H18, IF('Amputation Summary'!$Q$33=1, G18))</f>
        <v>0.53100000000000003</v>
      </c>
      <c r="O18" s="24">
        <v>7</v>
      </c>
      <c r="P18" s="32">
        <v>3</v>
      </c>
      <c r="Q18" s="32">
        <v>4</v>
      </c>
      <c r="R18" s="32">
        <v>12</v>
      </c>
      <c r="S18" s="32">
        <v>5</v>
      </c>
      <c r="T18" s="32">
        <v>24</v>
      </c>
      <c r="U18" s="32">
        <f t="shared" si="3"/>
        <v>184</v>
      </c>
      <c r="V18" s="25">
        <v>102.93748378753662</v>
      </c>
      <c r="W18" s="25">
        <v>328.89866828918457</v>
      </c>
      <c r="X18" s="25">
        <f t="shared" si="4"/>
        <v>81.062516212463379</v>
      </c>
      <c r="Y18" s="25">
        <f t="shared" si="5"/>
        <v>225.96118450164795</v>
      </c>
      <c r="Z18" s="32">
        <f>IF('Amputation Summary'!$Q$4=2, RANK(F18,F$8:F$87,1)+COUNTIF($F$8:F18,F18)-1, IF('Amputation Summary'!$Q$4=1, RANK(T18,T$8:T$87,1)+COUNTIF($T$8:T18,T18)-1))</f>
        <v>73</v>
      </c>
      <c r="AA18" s="32">
        <f>IF('Amputation Summary'!$Q$4=2, U18, IF('Amputation Summary'!$Q$4=1, O18))</f>
        <v>184</v>
      </c>
      <c r="AB18" s="32">
        <f>IF('Amputation Summary'!$Q$4=2, X18, IF('Amputation Summary'!$Q$4=1, Q18))</f>
        <v>81.062516212463379</v>
      </c>
      <c r="AC18" s="32">
        <f>IF('Amputation Summary'!$Q$4=2, Y18, IF('Amputation Summary'!$Q$4=1, S18))</f>
        <v>225.96118450164795</v>
      </c>
    </row>
    <row r="19" spans="1:29" x14ac:dyDescent="0.25">
      <c r="A19" t="s">
        <v>54</v>
      </c>
      <c r="B19" s="4" t="s">
        <v>55</v>
      </c>
      <c r="C19" s="24">
        <v>180</v>
      </c>
      <c r="D19" s="13" t="s">
        <v>427</v>
      </c>
      <c r="E19" s="19" t="s">
        <v>794</v>
      </c>
      <c r="F19" s="25">
        <v>0.7</v>
      </c>
      <c r="G19" s="23">
        <v>0.91700000000000004</v>
      </c>
      <c r="H19" s="23">
        <v>0.48899999999999999</v>
      </c>
      <c r="I19" s="23">
        <v>4.5999999999999999E-2</v>
      </c>
      <c r="J19" t="s">
        <v>54</v>
      </c>
      <c r="K19">
        <f t="shared" si="1"/>
        <v>3</v>
      </c>
      <c r="L19">
        <f t="shared" si="2"/>
        <v>1</v>
      </c>
      <c r="M19" s="32">
        <f>IF('Amputation Summary'!$Q$33=2, RANK(H19,H$8:H$87,1)+COUNTIF($H$8:H19,H19)-1, IF('Amputation Summary'!$Q$33=1, RANK(G19,G$8:G$87,1)+COUNTIF($G$8:G19,G19)-1))</f>
        <v>18</v>
      </c>
      <c r="N19" s="23">
        <f>IF('Amputation Summary'!$Q$33=2, H19, IF('Amputation Summary'!$Q$33=1, G19))</f>
        <v>0.48899999999999999</v>
      </c>
      <c r="O19" s="24">
        <v>7</v>
      </c>
      <c r="P19" s="32">
        <v>3</v>
      </c>
      <c r="Q19" s="32">
        <v>4</v>
      </c>
      <c r="R19" s="32">
        <v>17</v>
      </c>
      <c r="S19" s="32">
        <v>10</v>
      </c>
      <c r="T19" s="32">
        <v>27</v>
      </c>
      <c r="U19" s="32">
        <f t="shared" si="3"/>
        <v>70</v>
      </c>
      <c r="V19" s="25">
        <v>51.985228061676025</v>
      </c>
      <c r="W19" s="25">
        <v>94.257545471191406</v>
      </c>
      <c r="X19" s="25">
        <f t="shared" si="4"/>
        <v>18.014771938323975</v>
      </c>
      <c r="Y19" s="25">
        <f t="shared" si="5"/>
        <v>42.272317409515381</v>
      </c>
      <c r="Z19" s="32">
        <f>IF('Amputation Summary'!$Q$4=2, RANK(F19,F$8:F$87,1)+COUNTIF($F$8:F19,F19)-1, IF('Amputation Summary'!$Q$4=1, RANK(T19,T$8:T$87,1)+COUNTIF($T$8:T19,T19)-1))</f>
        <v>24</v>
      </c>
      <c r="AA19" s="32">
        <f>IF('Amputation Summary'!$Q$4=2, U19, IF('Amputation Summary'!$Q$4=1, O19))</f>
        <v>70</v>
      </c>
      <c r="AB19" s="32">
        <f>IF('Amputation Summary'!$Q$4=2, X19, IF('Amputation Summary'!$Q$4=1, Q19))</f>
        <v>18.014771938323975</v>
      </c>
      <c r="AC19" s="32">
        <f>IF('Amputation Summary'!$Q$4=2, Y19, IF('Amputation Summary'!$Q$4=1, S19))</f>
        <v>42.272317409515381</v>
      </c>
    </row>
    <row r="20" spans="1:29" x14ac:dyDescent="0.25">
      <c r="A20" t="s">
        <v>5</v>
      </c>
      <c r="B20" s="4" t="s">
        <v>6</v>
      </c>
      <c r="C20" s="24">
        <v>121</v>
      </c>
      <c r="D20" s="13" t="s">
        <v>407</v>
      </c>
      <c r="E20" s="19" t="s">
        <v>776</v>
      </c>
      <c r="F20" s="25">
        <v>0.73</v>
      </c>
      <c r="G20" s="23">
        <v>0.99199999999999999</v>
      </c>
      <c r="H20" s="23">
        <v>0.65300000000000002</v>
      </c>
      <c r="I20" s="23">
        <v>6.6000000000000003E-2</v>
      </c>
      <c r="J20" t="s">
        <v>5</v>
      </c>
      <c r="K20">
        <f t="shared" si="1"/>
        <v>4</v>
      </c>
      <c r="L20">
        <f t="shared" si="2"/>
        <v>2</v>
      </c>
      <c r="M20" s="32">
        <f>IF('Amputation Summary'!$Q$33=2, RANK(H20,H$8:H$87,1)+COUNTIF($H$8:H20,H20)-1, IF('Amputation Summary'!$Q$33=1, RANK(G20,G$8:G$87,1)+COUNTIF($G$8:G20,G20)-1))</f>
        <v>29</v>
      </c>
      <c r="N20" s="23">
        <f>IF('Amputation Summary'!$Q$33=2, H20, IF('Amputation Summary'!$Q$33=1, G20))</f>
        <v>0.65300000000000002</v>
      </c>
      <c r="O20" s="24">
        <v>13</v>
      </c>
      <c r="P20" s="32">
        <v>5</v>
      </c>
      <c r="Q20" s="32">
        <v>8</v>
      </c>
      <c r="R20" s="32">
        <v>37</v>
      </c>
      <c r="S20" s="32">
        <v>24</v>
      </c>
      <c r="T20" s="32">
        <v>69</v>
      </c>
      <c r="U20" s="32">
        <f t="shared" si="3"/>
        <v>73</v>
      </c>
      <c r="V20" s="25">
        <v>50.835984945297241</v>
      </c>
      <c r="W20" s="25">
        <v>104.82732057571411</v>
      </c>
      <c r="X20" s="25">
        <f t="shared" si="4"/>
        <v>22.164015054702759</v>
      </c>
      <c r="Y20" s="25">
        <f t="shared" si="5"/>
        <v>53.99133563041687</v>
      </c>
      <c r="Z20" s="32">
        <f>IF('Amputation Summary'!$Q$4=2, RANK(F20,F$8:F$87,1)+COUNTIF($F$8:F20,F20)-1, IF('Amputation Summary'!$Q$4=1, RANK(T20,T$8:T$87,1)+COUNTIF($T$8:T20,T20)-1))</f>
        <v>27</v>
      </c>
      <c r="AA20" s="32">
        <f>IF('Amputation Summary'!$Q$4=2, U20, IF('Amputation Summary'!$Q$4=1, O20))</f>
        <v>73</v>
      </c>
      <c r="AB20" s="32">
        <f>IF('Amputation Summary'!$Q$4=2, X20, IF('Amputation Summary'!$Q$4=1, Q20))</f>
        <v>22.164015054702759</v>
      </c>
      <c r="AC20" s="32">
        <f>IF('Amputation Summary'!$Q$4=2, Y20, IF('Amputation Summary'!$Q$4=1, S20))</f>
        <v>53.99133563041687</v>
      </c>
    </row>
    <row r="21" spans="1:29" x14ac:dyDescent="0.25">
      <c r="A21" t="s">
        <v>81</v>
      </c>
      <c r="B21" s="4" t="s">
        <v>82</v>
      </c>
      <c r="C21" s="24">
        <v>73</v>
      </c>
      <c r="D21" s="13" t="s">
        <v>437</v>
      </c>
      <c r="E21" s="19" t="s">
        <v>801</v>
      </c>
      <c r="F21" s="25">
        <v>1.22</v>
      </c>
      <c r="G21" s="23">
        <v>0.94499999999999995</v>
      </c>
      <c r="H21" s="23">
        <v>0.64400000000000002</v>
      </c>
      <c r="I21" s="23">
        <v>0.04</v>
      </c>
      <c r="J21" t="s">
        <v>81</v>
      </c>
      <c r="K21">
        <f t="shared" si="1"/>
        <v>3</v>
      </c>
      <c r="L21">
        <f t="shared" si="2"/>
        <v>2</v>
      </c>
      <c r="M21" s="32">
        <f>IF('Amputation Summary'!$Q$33=2, RANK(H21,H$8:H$87,1)+COUNTIF($H$8:H21,H21)-1, IF('Amputation Summary'!$Q$33=1, RANK(G21,G$8:G$87,1)+COUNTIF($G$8:G21,G21)-1))</f>
        <v>27</v>
      </c>
      <c r="N21" s="23">
        <f>IF('Amputation Summary'!$Q$33=2, H21, IF('Amputation Summary'!$Q$33=1, G21))</f>
        <v>0.64400000000000002</v>
      </c>
      <c r="O21" s="24">
        <v>10</v>
      </c>
      <c r="P21" s="32">
        <v>3</v>
      </c>
      <c r="Q21" s="32">
        <v>7</v>
      </c>
      <c r="R21" s="32">
        <v>20</v>
      </c>
      <c r="S21" s="32">
        <v>10</v>
      </c>
      <c r="T21" s="32">
        <v>60</v>
      </c>
      <c r="U21" s="32">
        <f t="shared" si="3"/>
        <v>122</v>
      </c>
      <c r="V21" s="25">
        <v>77.025747299194336</v>
      </c>
      <c r="W21" s="25">
        <v>193.23408603668213</v>
      </c>
      <c r="X21" s="25">
        <f t="shared" si="4"/>
        <v>44.974252700805664</v>
      </c>
      <c r="Y21" s="25">
        <f t="shared" si="5"/>
        <v>116.20833873748779</v>
      </c>
      <c r="Z21" s="32">
        <f>IF('Amputation Summary'!$Q$4=2, RANK(F21,F$8:F$87,1)+COUNTIF($F$8:F21,F21)-1, IF('Amputation Summary'!$Q$4=1, RANK(T21,T$8:T$87,1)+COUNTIF($T$8:T21,T21)-1))</f>
        <v>57</v>
      </c>
      <c r="AA21" s="32">
        <f>IF('Amputation Summary'!$Q$4=2, U21, IF('Amputation Summary'!$Q$4=1, O21))</f>
        <v>122</v>
      </c>
      <c r="AB21" s="32">
        <f>IF('Amputation Summary'!$Q$4=2, X21, IF('Amputation Summary'!$Q$4=1, Q21))</f>
        <v>44.974252700805664</v>
      </c>
      <c r="AC21" s="32">
        <f>IF('Amputation Summary'!$Q$4=2, Y21, IF('Amputation Summary'!$Q$4=1, S21))</f>
        <v>116.20833873748779</v>
      </c>
    </row>
    <row r="22" spans="1:29" x14ac:dyDescent="0.25">
      <c r="A22" t="s">
        <v>72</v>
      </c>
      <c r="B22" s="4" t="s">
        <v>73</v>
      </c>
      <c r="C22" s="24">
        <v>146</v>
      </c>
      <c r="D22" s="13" t="s">
        <v>433</v>
      </c>
      <c r="E22" s="19" t="s">
        <v>304</v>
      </c>
      <c r="F22" s="25">
        <v>1.23</v>
      </c>
      <c r="G22" s="23">
        <v>0.82899999999999996</v>
      </c>
      <c r="H22" s="23">
        <v>0.77400000000000002</v>
      </c>
      <c r="I22" s="23">
        <v>2.1000000000000001E-2</v>
      </c>
      <c r="J22" t="s">
        <v>72</v>
      </c>
      <c r="K22">
        <f t="shared" si="1"/>
        <v>2</v>
      </c>
      <c r="L22">
        <f t="shared" si="2"/>
        <v>2</v>
      </c>
      <c r="M22" s="32">
        <f>IF('Amputation Summary'!$Q$33=2, RANK(H22,H$8:H$87,1)+COUNTIF($H$8:H22,H22)-1, IF('Amputation Summary'!$Q$33=1, RANK(G22,G$8:G$87,1)+COUNTIF($G$8:G22,G22)-1))</f>
        <v>38</v>
      </c>
      <c r="N22" s="23">
        <f>IF('Amputation Summary'!$Q$33=2, H22, IF('Amputation Summary'!$Q$33=1, G22))</f>
        <v>0.77400000000000002</v>
      </c>
      <c r="O22" s="24">
        <v>8</v>
      </c>
      <c r="P22" s="32">
        <v>4</v>
      </c>
      <c r="Q22" s="32">
        <v>4</v>
      </c>
      <c r="R22" s="32">
        <v>17</v>
      </c>
      <c r="S22" s="32">
        <v>9</v>
      </c>
      <c r="T22" s="32">
        <v>43</v>
      </c>
      <c r="U22" s="32">
        <f t="shared" si="3"/>
        <v>123</v>
      </c>
      <c r="V22" s="25">
        <v>88.824409246444702</v>
      </c>
      <c r="W22" s="25">
        <v>170.3248143196106</v>
      </c>
      <c r="X22" s="25">
        <f t="shared" si="4"/>
        <v>34.175590753555298</v>
      </c>
      <c r="Y22" s="25">
        <f t="shared" si="5"/>
        <v>81.500405073165894</v>
      </c>
      <c r="Z22" s="32">
        <f>IF('Amputation Summary'!$Q$4=2, RANK(F22,F$8:F$87,1)+COUNTIF($F$8:F22,F22)-1, IF('Amputation Summary'!$Q$4=1, RANK(T22,T$8:T$87,1)+COUNTIF($T$8:T22,T22)-1))</f>
        <v>59</v>
      </c>
      <c r="AA22" s="32">
        <f>IF('Amputation Summary'!$Q$4=2, U22, IF('Amputation Summary'!$Q$4=1, O22))</f>
        <v>123</v>
      </c>
      <c r="AB22" s="32">
        <f>IF('Amputation Summary'!$Q$4=2, X22, IF('Amputation Summary'!$Q$4=1, Q22))</f>
        <v>34.175590753555298</v>
      </c>
      <c r="AC22" s="32">
        <f>IF('Amputation Summary'!$Q$4=2, Y22, IF('Amputation Summary'!$Q$4=1, S22))</f>
        <v>81.500405073165894</v>
      </c>
    </row>
    <row r="23" spans="1:29" x14ac:dyDescent="0.25">
      <c r="A23" t="s">
        <v>152</v>
      </c>
      <c r="B23" s="4" t="s">
        <v>153</v>
      </c>
      <c r="C23" s="24">
        <v>161</v>
      </c>
      <c r="D23" s="13" t="s">
        <v>468</v>
      </c>
      <c r="E23" s="19" t="s">
        <v>815</v>
      </c>
      <c r="F23" s="25">
        <v>0.88</v>
      </c>
      <c r="G23" s="23">
        <v>0.76400000000000001</v>
      </c>
      <c r="H23" s="23">
        <v>0.23599999999999999</v>
      </c>
      <c r="I23" s="23">
        <v>6.0999999999999999E-2</v>
      </c>
      <c r="J23" t="s">
        <v>152</v>
      </c>
      <c r="K23">
        <f t="shared" si="1"/>
        <v>1</v>
      </c>
      <c r="L23">
        <f t="shared" si="2"/>
        <v>1</v>
      </c>
      <c r="M23" s="32">
        <f>IF('Amputation Summary'!$Q$33=2, RANK(H23,H$8:H$87,1)+COUNTIF($H$8:H23,H23)-1, IF('Amputation Summary'!$Q$33=1, RANK(G23,G$8:G$87,1)+COUNTIF($G$8:G23,G23)-1))</f>
        <v>13</v>
      </c>
      <c r="N23" s="23">
        <f>IF('Amputation Summary'!$Q$33=2, H23, IF('Amputation Summary'!$Q$33=1, G23))</f>
        <v>0.23599999999999999</v>
      </c>
      <c r="O23" s="24">
        <v>15</v>
      </c>
      <c r="P23" s="32">
        <v>6</v>
      </c>
      <c r="Q23" s="32">
        <v>9</v>
      </c>
      <c r="R23" s="32">
        <v>39</v>
      </c>
      <c r="S23" s="32">
        <v>24</v>
      </c>
      <c r="T23" s="32">
        <v>73</v>
      </c>
      <c r="U23" s="32">
        <f t="shared" si="3"/>
        <v>88</v>
      </c>
      <c r="V23" s="25">
        <v>64.546471834182739</v>
      </c>
      <c r="W23" s="25">
        <v>119.97556686401367</v>
      </c>
      <c r="X23" s="25">
        <f t="shared" si="4"/>
        <v>23.453528165817261</v>
      </c>
      <c r="Y23" s="25">
        <f t="shared" si="5"/>
        <v>55.429095029830933</v>
      </c>
      <c r="Z23" s="32">
        <f>IF('Amputation Summary'!$Q$4=2, RANK(F23,F$8:F$87,1)+COUNTIF($F$8:F23,F23)-1, IF('Amputation Summary'!$Q$4=1, RANK(T23,T$8:T$87,1)+COUNTIF($T$8:T23,T23)-1))</f>
        <v>38</v>
      </c>
      <c r="AA23" s="32">
        <f>IF('Amputation Summary'!$Q$4=2, U23, IF('Amputation Summary'!$Q$4=1, O23))</f>
        <v>88</v>
      </c>
      <c r="AB23" s="32">
        <f>IF('Amputation Summary'!$Q$4=2, X23, IF('Amputation Summary'!$Q$4=1, Q23))</f>
        <v>23.453528165817261</v>
      </c>
      <c r="AC23" s="32">
        <f>IF('Amputation Summary'!$Q$4=2, Y23, IF('Amputation Summary'!$Q$4=1, S23))</f>
        <v>55.429095029830933</v>
      </c>
    </row>
    <row r="24" spans="1:29" x14ac:dyDescent="0.25">
      <c r="A24" t="s">
        <v>7</v>
      </c>
      <c r="B24" s="4" t="s">
        <v>8</v>
      </c>
      <c r="C24" s="24">
        <v>67</v>
      </c>
      <c r="D24" s="13" t="s">
        <v>408</v>
      </c>
      <c r="E24" s="19" t="s">
        <v>777</v>
      </c>
      <c r="F24" s="25">
        <v>0.45</v>
      </c>
      <c r="G24" s="23">
        <v>1</v>
      </c>
      <c r="H24" s="23">
        <v>0.91</v>
      </c>
      <c r="I24" s="23">
        <v>6.9000000000000006E-2</v>
      </c>
      <c r="J24" t="s">
        <v>7</v>
      </c>
      <c r="K24">
        <f t="shared" si="1"/>
        <v>4</v>
      </c>
      <c r="L24">
        <f t="shared" si="2"/>
        <v>4</v>
      </c>
      <c r="M24" s="32">
        <f>IF('Amputation Summary'!$Q$33=2, RANK(H24,H$8:H$87,1)+COUNTIF($H$8:H24,H24)-1, IF('Amputation Summary'!$Q$33=1, RANK(G24,G$8:G$87,1)+COUNTIF($G$8:G24,G24)-1))</f>
        <v>61</v>
      </c>
      <c r="N24" s="23">
        <f>IF('Amputation Summary'!$Q$33=2, H24, IF('Amputation Summary'!$Q$33=1, G24))</f>
        <v>0.91</v>
      </c>
      <c r="O24" s="24">
        <v>35</v>
      </c>
      <c r="P24" s="32">
        <v>20</v>
      </c>
      <c r="Q24" s="32">
        <v>15</v>
      </c>
      <c r="R24" s="32">
        <v>84</v>
      </c>
      <c r="S24" s="32">
        <v>49</v>
      </c>
      <c r="T24" s="32">
        <v>78</v>
      </c>
      <c r="U24" s="32">
        <f t="shared" si="3"/>
        <v>45</v>
      </c>
      <c r="V24" s="25">
        <v>26.665961742401123</v>
      </c>
      <c r="W24" s="25">
        <v>75.939500331878662</v>
      </c>
      <c r="X24" s="25">
        <f t="shared" si="4"/>
        <v>18.334038257598877</v>
      </c>
      <c r="Y24" s="25">
        <f t="shared" si="5"/>
        <v>49.273538589477539</v>
      </c>
      <c r="Z24" s="32">
        <f>IF('Amputation Summary'!$Q$4=2, RANK(F24,F$8:F$87,1)+COUNTIF($F$8:F24,F24)-1, IF('Amputation Summary'!$Q$4=1, RANK(T24,T$8:T$87,1)+COUNTIF($T$8:T24,T24)-1))</f>
        <v>8</v>
      </c>
      <c r="AA24" s="32">
        <f>IF('Amputation Summary'!$Q$4=2, U24, IF('Amputation Summary'!$Q$4=1, O24))</f>
        <v>45</v>
      </c>
      <c r="AB24" s="32">
        <f>IF('Amputation Summary'!$Q$4=2, X24, IF('Amputation Summary'!$Q$4=1, Q24))</f>
        <v>18.334038257598877</v>
      </c>
      <c r="AC24" s="32">
        <f>IF('Amputation Summary'!$Q$4=2, Y24, IF('Amputation Summary'!$Q$4=1, S24))</f>
        <v>49.273538589477539</v>
      </c>
    </row>
    <row r="25" spans="1:29" x14ac:dyDescent="0.25">
      <c r="A25" t="s">
        <v>93</v>
      </c>
      <c r="B25" s="4" t="s">
        <v>94</v>
      </c>
      <c r="C25" s="24">
        <v>110</v>
      </c>
      <c r="D25" s="13" t="s">
        <v>442</v>
      </c>
      <c r="E25" s="19" t="s">
        <v>802</v>
      </c>
      <c r="F25" s="25">
        <v>0.69</v>
      </c>
      <c r="G25" s="23">
        <v>0.92700000000000005</v>
      </c>
      <c r="H25" s="23">
        <v>0.92700000000000005</v>
      </c>
      <c r="I25" s="23">
        <v>6.5000000000000002E-2</v>
      </c>
      <c r="J25" t="s">
        <v>93</v>
      </c>
      <c r="K25">
        <f t="shared" si="1"/>
        <v>3</v>
      </c>
      <c r="L25">
        <f t="shared" si="2"/>
        <v>4</v>
      </c>
      <c r="M25" s="32">
        <f>IF('Amputation Summary'!$Q$33=2, RANK(H25,H$8:H$87,1)+COUNTIF($H$8:H25,H25)-1, IF('Amputation Summary'!$Q$33=1, RANK(G25,G$8:G$87,1)+COUNTIF($G$8:G25,G25)-1))</f>
        <v>65</v>
      </c>
      <c r="N25" s="23">
        <f>IF('Amputation Summary'!$Q$33=2, H25, IF('Amputation Summary'!$Q$33=1, G25))</f>
        <v>0.92700000000000005</v>
      </c>
      <c r="O25" s="24">
        <v>13</v>
      </c>
      <c r="P25" s="32">
        <v>5</v>
      </c>
      <c r="Q25" s="32">
        <v>8</v>
      </c>
      <c r="R25" s="32">
        <v>29</v>
      </c>
      <c r="S25" s="32">
        <v>16</v>
      </c>
      <c r="T25" s="32">
        <v>68</v>
      </c>
      <c r="U25" s="32">
        <f t="shared" si="3"/>
        <v>69</v>
      </c>
      <c r="V25" s="25">
        <v>47.18206524848938</v>
      </c>
      <c r="W25" s="25">
        <v>100.90699195861816</v>
      </c>
      <c r="X25" s="25">
        <f t="shared" si="4"/>
        <v>21.81793475151062</v>
      </c>
      <c r="Y25" s="25">
        <f t="shared" si="5"/>
        <v>53.724926710128784</v>
      </c>
      <c r="Z25" s="32">
        <f>IF('Amputation Summary'!$Q$4=2, RANK(F25,F$8:F$87,1)+COUNTIF($F$8:F25,F25)-1, IF('Amputation Summary'!$Q$4=1, RANK(T25,T$8:T$87,1)+COUNTIF($T$8:T25,T25)-1))</f>
        <v>23</v>
      </c>
      <c r="AA25" s="32">
        <f>IF('Amputation Summary'!$Q$4=2, U25, IF('Amputation Summary'!$Q$4=1, O25))</f>
        <v>69</v>
      </c>
      <c r="AB25" s="32">
        <f>IF('Amputation Summary'!$Q$4=2, X25, IF('Amputation Summary'!$Q$4=1, Q25))</f>
        <v>21.81793475151062</v>
      </c>
      <c r="AC25" s="32">
        <f>IF('Amputation Summary'!$Q$4=2, Y25, IF('Amputation Summary'!$Q$4=1, S25))</f>
        <v>53.724926710128784</v>
      </c>
    </row>
    <row r="26" spans="1:29" x14ac:dyDescent="0.25">
      <c r="A26" t="s">
        <v>138</v>
      </c>
      <c r="B26" s="4" t="s">
        <v>139</v>
      </c>
      <c r="C26" s="24">
        <v>44</v>
      </c>
      <c r="D26" s="13" t="s">
        <v>462</v>
      </c>
      <c r="E26" s="19" t="s">
        <v>398</v>
      </c>
      <c r="F26" s="25">
        <v>0.17</v>
      </c>
      <c r="G26" s="23">
        <v>0.88600000000000001</v>
      </c>
      <c r="H26" s="23">
        <v>0.63600000000000001</v>
      </c>
      <c r="I26" s="23">
        <v>0</v>
      </c>
      <c r="J26" t="s">
        <v>138</v>
      </c>
      <c r="K26">
        <f t="shared" si="1"/>
        <v>2</v>
      </c>
      <c r="L26">
        <f t="shared" si="2"/>
        <v>2</v>
      </c>
      <c r="M26" s="32">
        <f>IF('Amputation Summary'!$Q$33=2, RANK(H26,H$8:H$87,1)+COUNTIF($H$8:H26,H26)-1, IF('Amputation Summary'!$Q$33=1, RANK(G26,G$8:G$87,1)+COUNTIF($G$8:G26,G26)-1))</f>
        <v>26</v>
      </c>
      <c r="N26" s="23">
        <f>IF('Amputation Summary'!$Q$33=2, H26, IF('Amputation Summary'!$Q$33=1, G26))</f>
        <v>0.63600000000000001</v>
      </c>
      <c r="O26" s="24">
        <v>8</v>
      </c>
      <c r="P26" s="32">
        <v>3</v>
      </c>
      <c r="Q26" s="32">
        <v>5</v>
      </c>
      <c r="R26" s="32">
        <v>21</v>
      </c>
      <c r="S26" s="32">
        <v>13</v>
      </c>
      <c r="T26" s="32">
        <v>37</v>
      </c>
      <c r="U26" s="32">
        <f t="shared" si="3"/>
        <v>17</v>
      </c>
      <c r="V26" s="25">
        <v>7.1863964200019836</v>
      </c>
      <c r="W26" s="25">
        <v>40.214869379997253</v>
      </c>
      <c r="X26" s="25">
        <f t="shared" si="4"/>
        <v>9.8136035799980164</v>
      </c>
      <c r="Y26" s="25">
        <f t="shared" si="5"/>
        <v>33.02847295999527</v>
      </c>
      <c r="Z26" s="32">
        <f>IF('Amputation Summary'!$Q$4=2, RANK(F26,F$8:F$87,1)+COUNTIF($F$8:F26,F26)-1, IF('Amputation Summary'!$Q$4=1, RANK(T26,T$8:T$87,1)+COUNTIF($T$8:T26,T26)-1))</f>
        <v>1</v>
      </c>
      <c r="AA26" s="32">
        <f>IF('Amputation Summary'!$Q$4=2, U26, IF('Amputation Summary'!$Q$4=1, O26))</f>
        <v>17</v>
      </c>
      <c r="AB26" s="32">
        <f>IF('Amputation Summary'!$Q$4=2, X26, IF('Amputation Summary'!$Q$4=1, Q26))</f>
        <v>9.8136035799980164</v>
      </c>
      <c r="AC26" s="32">
        <f>IF('Amputation Summary'!$Q$4=2, Y26, IF('Amputation Summary'!$Q$4=1, S26))</f>
        <v>33.02847295999527</v>
      </c>
    </row>
    <row r="27" spans="1:29" x14ac:dyDescent="0.25">
      <c r="A27" t="s">
        <v>126</v>
      </c>
      <c r="B27" s="4" t="s">
        <v>127</v>
      </c>
      <c r="C27" s="24">
        <v>107</v>
      </c>
      <c r="D27" s="13" t="s">
        <v>456</v>
      </c>
      <c r="E27" s="19" t="s">
        <v>810</v>
      </c>
      <c r="F27" s="25">
        <v>0.84</v>
      </c>
      <c r="G27" s="23">
        <v>0.879</v>
      </c>
      <c r="H27" s="23">
        <v>0.86899999999999999</v>
      </c>
      <c r="I27" s="23">
        <v>8.1000000000000003E-2</v>
      </c>
      <c r="J27" t="s">
        <v>126</v>
      </c>
      <c r="K27">
        <f t="shared" si="1"/>
        <v>2</v>
      </c>
      <c r="L27">
        <f t="shared" si="2"/>
        <v>3</v>
      </c>
      <c r="M27" s="32">
        <f>IF('Amputation Summary'!$Q$33=2, RANK(H27,H$8:H$87,1)+COUNTIF($H$8:H27,H27)-1, IF('Amputation Summary'!$Q$33=1, RANK(G27,G$8:G$87,1)+COUNTIF($G$8:G27,G27)-1))</f>
        <v>55</v>
      </c>
      <c r="N27" s="23">
        <f>IF('Amputation Summary'!$Q$33=2, H27, IF('Amputation Summary'!$Q$33=1, G27))</f>
        <v>0.86899999999999999</v>
      </c>
      <c r="O27" s="24">
        <v>8</v>
      </c>
      <c r="P27" s="32">
        <v>3</v>
      </c>
      <c r="Q27" s="32">
        <v>5</v>
      </c>
      <c r="R27" s="32">
        <v>19</v>
      </c>
      <c r="S27" s="32">
        <v>11</v>
      </c>
      <c r="T27" s="32">
        <v>36</v>
      </c>
      <c r="U27" s="32">
        <f t="shared" si="3"/>
        <v>84</v>
      </c>
      <c r="V27" s="25">
        <v>57.341682910919189</v>
      </c>
      <c r="W27" s="25">
        <v>123.05184602737427</v>
      </c>
      <c r="X27" s="25">
        <f t="shared" si="4"/>
        <v>26.658317089080811</v>
      </c>
      <c r="Y27" s="25">
        <f t="shared" si="5"/>
        <v>65.710163116455078</v>
      </c>
      <c r="Z27" s="32">
        <f>IF('Amputation Summary'!$Q$4=2, RANK(F27,F$8:F$87,1)+COUNTIF($F$8:F27,F27)-1, IF('Amputation Summary'!$Q$4=1, RANK(T27,T$8:T$87,1)+COUNTIF($T$8:T27,T27)-1))</f>
        <v>36</v>
      </c>
      <c r="AA27" s="32">
        <f>IF('Amputation Summary'!$Q$4=2, U27, IF('Amputation Summary'!$Q$4=1, O27))</f>
        <v>84</v>
      </c>
      <c r="AB27" s="32">
        <f>IF('Amputation Summary'!$Q$4=2, X27, IF('Amputation Summary'!$Q$4=1, Q27))</f>
        <v>26.658317089080811</v>
      </c>
      <c r="AC27" s="32">
        <f>IF('Amputation Summary'!$Q$4=2, Y27, IF('Amputation Summary'!$Q$4=1, S27))</f>
        <v>65.710163116455078</v>
      </c>
    </row>
    <row r="28" spans="1:29" x14ac:dyDescent="0.25">
      <c r="A28" t="s">
        <v>154</v>
      </c>
      <c r="B28" s="4" t="s">
        <v>155</v>
      </c>
      <c r="C28" s="24">
        <v>111</v>
      </c>
      <c r="D28" s="13" t="s">
        <v>469</v>
      </c>
      <c r="E28" s="19" t="s">
        <v>816</v>
      </c>
      <c r="F28" s="25">
        <v>1.31</v>
      </c>
      <c r="G28" s="23">
        <v>0.84699999999999998</v>
      </c>
      <c r="H28" s="23">
        <v>0.18</v>
      </c>
      <c r="I28" s="23">
        <v>7.8E-2</v>
      </c>
      <c r="J28" t="s">
        <v>154</v>
      </c>
      <c r="K28">
        <f t="shared" si="1"/>
        <v>2</v>
      </c>
      <c r="L28">
        <f t="shared" si="2"/>
        <v>1</v>
      </c>
      <c r="M28" s="32">
        <f>IF('Amputation Summary'!$Q$33=2, RANK(H28,H$8:H$87,1)+COUNTIF($H$8:H28,H28)-1, IF('Amputation Summary'!$Q$33=1, RANK(G28,G$8:G$87,1)+COUNTIF($G$8:G28,G28)-1))</f>
        <v>12</v>
      </c>
      <c r="N28" s="23">
        <f>IF('Amputation Summary'!$Q$33=2, H28, IF('Amputation Summary'!$Q$33=1, G28))</f>
        <v>0.18</v>
      </c>
      <c r="O28" s="24">
        <v>8</v>
      </c>
      <c r="P28" s="32">
        <v>4</v>
      </c>
      <c r="Q28" s="32">
        <v>4</v>
      </c>
      <c r="R28" s="32">
        <v>20</v>
      </c>
      <c r="S28" s="32">
        <v>12</v>
      </c>
      <c r="T28" s="32">
        <v>45</v>
      </c>
      <c r="U28" s="32">
        <f t="shared" si="3"/>
        <v>131</v>
      </c>
      <c r="V28" s="25">
        <v>89.797204732894897</v>
      </c>
      <c r="W28" s="25">
        <v>191.10839366912842</v>
      </c>
      <c r="X28" s="25">
        <f t="shared" si="4"/>
        <v>41.202795267105103</v>
      </c>
      <c r="Y28" s="25">
        <f t="shared" si="5"/>
        <v>101.31118893623352</v>
      </c>
      <c r="Z28" s="32">
        <f>IF('Amputation Summary'!$Q$4=2, RANK(F28,F$8:F$87,1)+COUNTIF($F$8:F28,F28)-1, IF('Amputation Summary'!$Q$4=1, RANK(T28,T$8:T$87,1)+COUNTIF($T$8:T28,T28)-1))</f>
        <v>64</v>
      </c>
      <c r="AA28" s="32">
        <f>IF('Amputation Summary'!$Q$4=2, U28, IF('Amputation Summary'!$Q$4=1, O28))</f>
        <v>131</v>
      </c>
      <c r="AB28" s="32">
        <f>IF('Amputation Summary'!$Q$4=2, X28, IF('Amputation Summary'!$Q$4=1, Q28))</f>
        <v>41.202795267105103</v>
      </c>
      <c r="AC28" s="32">
        <f>IF('Amputation Summary'!$Q$4=2, Y28, IF('Amputation Summary'!$Q$4=1, S28))</f>
        <v>101.31118893623352</v>
      </c>
    </row>
    <row r="29" spans="1:29" x14ac:dyDescent="0.25">
      <c r="A29" t="s">
        <v>39</v>
      </c>
      <c r="B29" s="4" t="s">
        <v>216</v>
      </c>
      <c r="C29" s="24">
        <v>103</v>
      </c>
      <c r="D29" s="13" t="s">
        <v>422</v>
      </c>
      <c r="E29" s="19" t="s">
        <v>790</v>
      </c>
      <c r="F29" s="25">
        <v>1.71</v>
      </c>
      <c r="G29" s="23">
        <v>0.38800000000000001</v>
      </c>
      <c r="H29" s="23">
        <v>0.92200000000000004</v>
      </c>
      <c r="I29" s="23">
        <v>0.05</v>
      </c>
      <c r="J29" t="s">
        <v>39</v>
      </c>
      <c r="K29">
        <f t="shared" si="1"/>
        <v>1</v>
      </c>
      <c r="L29">
        <f t="shared" si="2"/>
        <v>4</v>
      </c>
      <c r="M29" s="32">
        <f>IF('Amputation Summary'!$Q$33=2, RANK(H29,H$8:H$87,1)+COUNTIF($H$8:H29,H29)-1, IF('Amputation Summary'!$Q$33=1, RANK(G29,G$8:G$87,1)+COUNTIF($G$8:G29,G29)-1))</f>
        <v>63</v>
      </c>
      <c r="N29" s="23">
        <f>IF('Amputation Summary'!$Q$33=2, H29, IF('Amputation Summary'!$Q$33=1, G29))</f>
        <v>0.92200000000000004</v>
      </c>
      <c r="O29" s="24">
        <v>8</v>
      </c>
      <c r="P29" s="32">
        <v>3</v>
      </c>
      <c r="Q29" s="32">
        <v>5</v>
      </c>
      <c r="R29" s="32">
        <v>15</v>
      </c>
      <c r="S29" s="32">
        <v>7</v>
      </c>
      <c r="T29" s="32">
        <v>34</v>
      </c>
      <c r="U29" s="32">
        <f t="shared" si="3"/>
        <v>171</v>
      </c>
      <c r="V29" s="25">
        <v>115.05484580993652</v>
      </c>
      <c r="W29" s="25">
        <v>254.14838790893555</v>
      </c>
      <c r="X29" s="25">
        <f t="shared" si="4"/>
        <v>55.945154190063477</v>
      </c>
      <c r="Y29" s="25">
        <f t="shared" si="5"/>
        <v>139.09354209899902</v>
      </c>
      <c r="Z29" s="32">
        <f>IF('Amputation Summary'!$Q$4=2, RANK(F29,F$8:F$87,1)+COUNTIF($F$8:F29,F29)-1, IF('Amputation Summary'!$Q$4=1, RANK(T29,T$8:T$87,1)+COUNTIF($T$8:T29,T29)-1))</f>
        <v>72</v>
      </c>
      <c r="AA29" s="32">
        <f>IF('Amputation Summary'!$Q$4=2, U29, IF('Amputation Summary'!$Q$4=1, O29))</f>
        <v>171</v>
      </c>
      <c r="AB29" s="32">
        <f>IF('Amputation Summary'!$Q$4=2, X29, IF('Amputation Summary'!$Q$4=1, Q29))</f>
        <v>55.945154190063477</v>
      </c>
      <c r="AC29" s="32">
        <f>IF('Amputation Summary'!$Q$4=2, Y29, IF('Amputation Summary'!$Q$4=1, S29))</f>
        <v>139.09354209899902</v>
      </c>
    </row>
    <row r="30" spans="1:29" x14ac:dyDescent="0.25">
      <c r="A30" t="s">
        <v>40</v>
      </c>
      <c r="B30" s="4" t="s">
        <v>41</v>
      </c>
      <c r="C30" s="24">
        <v>183</v>
      </c>
      <c r="D30" s="13" t="s">
        <v>423</v>
      </c>
      <c r="E30" s="19" t="s">
        <v>791</v>
      </c>
      <c r="F30" s="25">
        <v>0.54</v>
      </c>
      <c r="G30" s="23">
        <v>1</v>
      </c>
      <c r="H30" s="23">
        <v>0.17499999999999999</v>
      </c>
      <c r="I30" s="23">
        <v>4.5999999999999999E-2</v>
      </c>
      <c r="J30" t="s">
        <v>40</v>
      </c>
      <c r="K30">
        <f t="shared" si="1"/>
        <v>4</v>
      </c>
      <c r="L30">
        <f t="shared" si="2"/>
        <v>1</v>
      </c>
      <c r="M30" s="32">
        <f>IF('Amputation Summary'!$Q$33=2, RANK(H30,H$8:H$87,1)+COUNTIF($H$8:H30,H30)-1, IF('Amputation Summary'!$Q$33=1, RANK(G30,G$8:G$87,1)+COUNTIF($G$8:G30,G30)-1))</f>
        <v>11</v>
      </c>
      <c r="N30" s="23">
        <f>IF('Amputation Summary'!$Q$33=2, H30, IF('Amputation Summary'!$Q$33=1, G30))</f>
        <v>0.17499999999999999</v>
      </c>
      <c r="O30" s="24">
        <v>7</v>
      </c>
      <c r="P30" s="32">
        <v>2</v>
      </c>
      <c r="Q30" s="32">
        <v>5</v>
      </c>
      <c r="R30" s="32">
        <v>21</v>
      </c>
      <c r="S30" s="32">
        <v>14</v>
      </c>
      <c r="T30" s="32">
        <v>22</v>
      </c>
      <c r="U30" s="32">
        <f t="shared" si="3"/>
        <v>54</v>
      </c>
      <c r="V30" s="25">
        <v>39.894330501556396</v>
      </c>
      <c r="W30" s="25">
        <v>73.093098402023315</v>
      </c>
      <c r="X30" s="25">
        <f t="shared" si="4"/>
        <v>14.105669498443604</v>
      </c>
      <c r="Y30" s="25">
        <f t="shared" si="5"/>
        <v>33.198767900466919</v>
      </c>
      <c r="Z30" s="32">
        <f>IF('Amputation Summary'!$Q$4=2, RANK(F30,F$8:F$87,1)+COUNTIF($F$8:F30,F30)-1, IF('Amputation Summary'!$Q$4=1, RANK(T30,T$8:T$87,1)+COUNTIF($T$8:T30,T30)-1))</f>
        <v>12</v>
      </c>
      <c r="AA30" s="32">
        <f>IF('Amputation Summary'!$Q$4=2, U30, IF('Amputation Summary'!$Q$4=1, O30))</f>
        <v>54</v>
      </c>
      <c r="AB30" s="32">
        <f>IF('Amputation Summary'!$Q$4=2, X30, IF('Amputation Summary'!$Q$4=1, Q30))</f>
        <v>14.105669498443604</v>
      </c>
      <c r="AC30" s="32">
        <f>IF('Amputation Summary'!$Q$4=2, Y30, IF('Amputation Summary'!$Q$4=1, S30))</f>
        <v>33.198767900466919</v>
      </c>
    </row>
    <row r="31" spans="1:29" x14ac:dyDescent="0.25">
      <c r="A31" t="s">
        <v>103</v>
      </c>
      <c r="B31" s="4" t="s">
        <v>104</v>
      </c>
      <c r="C31" s="24">
        <v>20</v>
      </c>
      <c r="D31" s="13" t="s">
        <v>447</v>
      </c>
      <c r="E31" s="19" t="s">
        <v>804</v>
      </c>
      <c r="F31" s="25">
        <v>1.2</v>
      </c>
      <c r="G31" s="23">
        <v>0.15</v>
      </c>
      <c r="H31" s="23">
        <v>0</v>
      </c>
      <c r="I31" s="23">
        <v>7.0000000000000007E-2</v>
      </c>
      <c r="J31" t="s">
        <v>103</v>
      </c>
      <c r="K31">
        <f t="shared" si="1"/>
        <v>1</v>
      </c>
      <c r="L31">
        <f t="shared" si="2"/>
        <v>1</v>
      </c>
      <c r="M31" s="32">
        <f>IF('Amputation Summary'!$Q$33=2, RANK(H31,H$8:H$87,1)+COUNTIF($H$8:H31,H31)-1, IF('Amputation Summary'!$Q$33=1, RANK(G31,G$8:G$87,1)+COUNTIF($G$8:G31,G31)-1))</f>
        <v>3</v>
      </c>
      <c r="N31" s="23">
        <f>IF('Amputation Summary'!$Q$33=2, H31, IF('Amputation Summary'!$Q$33=1, G31))</f>
        <v>0</v>
      </c>
      <c r="O31" s="24">
        <v>28</v>
      </c>
      <c r="P31" s="32">
        <v>8</v>
      </c>
      <c r="Q31" s="32">
        <v>20</v>
      </c>
      <c r="R31" s="32">
        <v>53</v>
      </c>
      <c r="S31" s="32">
        <v>25</v>
      </c>
      <c r="T31" s="32">
        <v>77</v>
      </c>
      <c r="U31" s="32">
        <f t="shared" si="3"/>
        <v>120</v>
      </c>
      <c r="V31" s="25">
        <v>49.946537613868713</v>
      </c>
      <c r="W31" s="25">
        <v>288.30828666687012</v>
      </c>
      <c r="X31" s="25">
        <f t="shared" si="4"/>
        <v>70.053462386131287</v>
      </c>
      <c r="Y31" s="25">
        <f t="shared" si="5"/>
        <v>238.3617490530014</v>
      </c>
      <c r="Z31" s="32">
        <f>IF('Amputation Summary'!$Q$4=2, RANK(F31,F$8:F$87,1)+COUNTIF($F$8:F31,F31)-1, IF('Amputation Summary'!$Q$4=1, RANK(T31,T$8:T$87,1)+COUNTIF($T$8:T31,T31)-1))</f>
        <v>55</v>
      </c>
      <c r="AA31" s="32">
        <f>IF('Amputation Summary'!$Q$4=2, U31, IF('Amputation Summary'!$Q$4=1, O31))</f>
        <v>120</v>
      </c>
      <c r="AB31" s="32">
        <f>IF('Amputation Summary'!$Q$4=2, X31, IF('Amputation Summary'!$Q$4=1, Q31))</f>
        <v>70.053462386131287</v>
      </c>
      <c r="AC31" s="32">
        <f>IF('Amputation Summary'!$Q$4=2, Y31, IF('Amputation Summary'!$Q$4=1, S31))</f>
        <v>238.3617490530014</v>
      </c>
    </row>
    <row r="32" spans="1:29" x14ac:dyDescent="0.25">
      <c r="A32" t="s">
        <v>115</v>
      </c>
      <c r="B32" s="4" t="s">
        <v>116</v>
      </c>
      <c r="C32" s="24">
        <v>125</v>
      </c>
      <c r="D32" s="13" t="s">
        <v>451</v>
      </c>
      <c r="E32" s="19" t="s">
        <v>808</v>
      </c>
      <c r="F32" s="25">
        <v>0.7</v>
      </c>
      <c r="G32" s="23">
        <v>0.88</v>
      </c>
      <c r="H32" s="23">
        <v>0.74399999999999999</v>
      </c>
      <c r="I32" s="23">
        <v>5.8000000000000003E-2</v>
      </c>
      <c r="J32" t="s">
        <v>115</v>
      </c>
      <c r="K32">
        <f t="shared" si="1"/>
        <v>2</v>
      </c>
      <c r="L32">
        <f t="shared" si="2"/>
        <v>2</v>
      </c>
      <c r="M32" s="32">
        <f>IF('Amputation Summary'!$Q$33=2, RANK(H32,H$8:H$87,1)+COUNTIF($H$8:H32,H32)-1, IF('Amputation Summary'!$Q$33=1, RANK(G32,G$8:G$87,1)+COUNTIF($G$8:G32,G32)-1))</f>
        <v>35</v>
      </c>
      <c r="N32" s="23">
        <f>IF('Amputation Summary'!$Q$33=2, H32, IF('Amputation Summary'!$Q$33=1, G32))</f>
        <v>0.74399999999999999</v>
      </c>
      <c r="O32" s="24">
        <v>6</v>
      </c>
      <c r="P32" s="32">
        <v>4</v>
      </c>
      <c r="Q32" s="32">
        <v>2</v>
      </c>
      <c r="R32" s="32">
        <v>16</v>
      </c>
      <c r="S32" s="32">
        <v>10</v>
      </c>
      <c r="T32" s="32">
        <v>20</v>
      </c>
      <c r="U32" s="32">
        <f t="shared" si="3"/>
        <v>70</v>
      </c>
      <c r="V32" s="25">
        <v>49.049234390258789</v>
      </c>
      <c r="W32" s="25">
        <v>99.899613857269287</v>
      </c>
      <c r="X32" s="25">
        <f t="shared" si="4"/>
        <v>20.950765609741211</v>
      </c>
      <c r="Y32" s="25">
        <f t="shared" si="5"/>
        <v>50.850379467010498</v>
      </c>
      <c r="Z32" s="32">
        <f>IF('Amputation Summary'!$Q$4=2, RANK(F32,F$8:F$87,1)+COUNTIF($F$8:F32,F32)-1, IF('Amputation Summary'!$Q$4=1, RANK(T32,T$8:T$87,1)+COUNTIF($T$8:T32,T32)-1))</f>
        <v>25</v>
      </c>
      <c r="AA32" s="32">
        <f>IF('Amputation Summary'!$Q$4=2, U32, IF('Amputation Summary'!$Q$4=1, O32))</f>
        <v>70</v>
      </c>
      <c r="AB32" s="32">
        <f>IF('Amputation Summary'!$Q$4=2, X32, IF('Amputation Summary'!$Q$4=1, Q32))</f>
        <v>20.950765609741211</v>
      </c>
      <c r="AC32" s="32">
        <f>IF('Amputation Summary'!$Q$4=2, Y32, IF('Amputation Summary'!$Q$4=1, S32))</f>
        <v>50.850379467010498</v>
      </c>
    </row>
    <row r="33" spans="1:29" x14ac:dyDescent="0.25">
      <c r="A33" t="s">
        <v>66</v>
      </c>
      <c r="B33" s="4" t="s">
        <v>67</v>
      </c>
      <c r="C33" s="24">
        <v>195</v>
      </c>
      <c r="D33" s="13" t="s">
        <v>431</v>
      </c>
      <c r="E33" s="19" t="s">
        <v>404</v>
      </c>
      <c r="F33" s="25">
        <v>0.96</v>
      </c>
      <c r="G33" s="23">
        <v>0.47699999999999998</v>
      </c>
      <c r="H33" s="23">
        <v>0.65100000000000002</v>
      </c>
      <c r="I33" s="23">
        <v>5.7000000000000002E-2</v>
      </c>
      <c r="J33" t="s">
        <v>66</v>
      </c>
      <c r="K33">
        <f t="shared" si="1"/>
        <v>1</v>
      </c>
      <c r="L33">
        <f t="shared" si="2"/>
        <v>2</v>
      </c>
      <c r="M33" s="32">
        <f>IF('Amputation Summary'!$Q$33=2, RANK(H33,H$8:H$87,1)+COUNTIF($H$8:H33,H33)-1, IF('Amputation Summary'!$Q$33=1, RANK(G33,G$8:G$87,1)+COUNTIF($G$8:G33,G33)-1))</f>
        <v>28</v>
      </c>
      <c r="N33" s="23">
        <f>IF('Amputation Summary'!$Q$33=2, H33, IF('Amputation Summary'!$Q$33=1, G33))</f>
        <v>0.65100000000000002</v>
      </c>
      <c r="O33" s="24">
        <v>8</v>
      </c>
      <c r="P33" s="32">
        <v>3</v>
      </c>
      <c r="Q33" s="32">
        <v>5</v>
      </c>
      <c r="R33" s="32">
        <v>14</v>
      </c>
      <c r="S33" s="32">
        <v>6</v>
      </c>
      <c r="T33" s="32">
        <v>33</v>
      </c>
      <c r="U33" s="32">
        <f t="shared" si="3"/>
        <v>96</v>
      </c>
      <c r="V33" s="25">
        <v>72.496539354324341</v>
      </c>
      <c r="W33" s="25">
        <v>127.1233081817627</v>
      </c>
      <c r="X33" s="25">
        <f t="shared" si="4"/>
        <v>23.503460645675659</v>
      </c>
      <c r="Y33" s="25">
        <f t="shared" si="5"/>
        <v>54.626768827438354</v>
      </c>
      <c r="Z33" s="32">
        <f>IF('Amputation Summary'!$Q$4=2, RANK(F33,F$8:F$87,1)+COUNTIF($F$8:F33,F33)-1, IF('Amputation Summary'!$Q$4=1, RANK(T33,T$8:T$87,1)+COUNTIF($T$8:T33,T33)-1))</f>
        <v>43</v>
      </c>
      <c r="AA33" s="32">
        <f>IF('Amputation Summary'!$Q$4=2, U33, IF('Amputation Summary'!$Q$4=1, O33))</f>
        <v>96</v>
      </c>
      <c r="AB33" s="32">
        <f>IF('Amputation Summary'!$Q$4=2, X33, IF('Amputation Summary'!$Q$4=1, Q33))</f>
        <v>23.503460645675659</v>
      </c>
      <c r="AC33" s="32">
        <f>IF('Amputation Summary'!$Q$4=2, Y33, IF('Amputation Summary'!$Q$4=1, S33))</f>
        <v>54.626768827438354</v>
      </c>
    </row>
    <row r="34" spans="1:29" x14ac:dyDescent="0.25">
      <c r="A34" t="s">
        <v>130</v>
      </c>
      <c r="B34" s="4" t="s">
        <v>131</v>
      </c>
      <c r="C34" s="24">
        <v>232</v>
      </c>
      <c r="D34" s="13" t="s">
        <v>458</v>
      </c>
      <c r="E34" s="19" t="s">
        <v>812</v>
      </c>
      <c r="F34" s="25">
        <v>0.6</v>
      </c>
      <c r="G34" s="23">
        <v>0.69799999999999995</v>
      </c>
      <c r="H34" s="23">
        <v>0</v>
      </c>
      <c r="I34" s="23">
        <v>7.8E-2</v>
      </c>
      <c r="J34" t="s">
        <v>130</v>
      </c>
      <c r="K34">
        <f t="shared" si="1"/>
        <v>1</v>
      </c>
      <c r="L34">
        <f t="shared" si="2"/>
        <v>1</v>
      </c>
      <c r="M34" s="32">
        <f>IF('Amputation Summary'!$Q$33=2, RANK(H34,H$8:H$87,1)+COUNTIF($H$8:H34,H34)-1, IF('Amputation Summary'!$Q$33=1, RANK(G34,G$8:G$87,1)+COUNTIF($G$8:G34,G34)-1))</f>
        <v>4</v>
      </c>
      <c r="N34" s="23">
        <f>IF('Amputation Summary'!$Q$33=2, H34, IF('Amputation Summary'!$Q$33=1, G34))</f>
        <v>0</v>
      </c>
      <c r="O34" s="24">
        <v>15</v>
      </c>
      <c r="P34" s="32">
        <v>6</v>
      </c>
      <c r="Q34" s="32">
        <v>9</v>
      </c>
      <c r="R34" s="32">
        <v>40</v>
      </c>
      <c r="S34" s="32">
        <v>25</v>
      </c>
      <c r="T34" s="32">
        <v>74</v>
      </c>
      <c r="U34" s="32">
        <f t="shared" si="3"/>
        <v>60</v>
      </c>
      <c r="V34" s="25">
        <v>45.84021270275116</v>
      </c>
      <c r="W34" s="25">
        <v>78.533673286437988</v>
      </c>
      <c r="X34" s="25">
        <f t="shared" si="4"/>
        <v>14.15978729724884</v>
      </c>
      <c r="Y34" s="25">
        <f t="shared" si="5"/>
        <v>32.693460583686829</v>
      </c>
      <c r="Z34" s="32">
        <f>IF('Amputation Summary'!$Q$4=2, RANK(F34,F$8:F$87,1)+COUNTIF($F$8:F34,F34)-1, IF('Amputation Summary'!$Q$4=1, RANK(T34,T$8:T$87,1)+COUNTIF($T$8:T34,T34)-1))</f>
        <v>19</v>
      </c>
      <c r="AA34" s="32">
        <f>IF('Amputation Summary'!$Q$4=2, U34, IF('Amputation Summary'!$Q$4=1, O34))</f>
        <v>60</v>
      </c>
      <c r="AB34" s="32">
        <f>IF('Amputation Summary'!$Q$4=2, X34, IF('Amputation Summary'!$Q$4=1, Q34))</f>
        <v>14.15978729724884</v>
      </c>
      <c r="AC34" s="32">
        <f>IF('Amputation Summary'!$Q$4=2, Y34, IF('Amputation Summary'!$Q$4=1, S34))</f>
        <v>32.693460583686829</v>
      </c>
    </row>
    <row r="35" spans="1:29" x14ac:dyDescent="0.25">
      <c r="A35" t="s">
        <v>158</v>
      </c>
      <c r="B35" s="4" t="s">
        <v>159</v>
      </c>
      <c r="C35" s="24">
        <v>46</v>
      </c>
      <c r="D35" s="13" t="s">
        <v>471</v>
      </c>
      <c r="E35" s="19" t="s">
        <v>809</v>
      </c>
      <c r="F35" s="25">
        <v>0.81</v>
      </c>
      <c r="G35" s="23">
        <v>0.58699999999999997</v>
      </c>
      <c r="H35" s="23">
        <v>0</v>
      </c>
      <c r="I35" s="23">
        <v>3.4000000000000002E-2</v>
      </c>
      <c r="J35" t="s">
        <v>158</v>
      </c>
      <c r="K35">
        <f t="shared" si="1"/>
        <v>1</v>
      </c>
      <c r="L35">
        <f t="shared" si="2"/>
        <v>1</v>
      </c>
      <c r="M35" s="32">
        <f>IF('Amputation Summary'!$Q$33=2, RANK(H35,H$8:H$87,1)+COUNTIF($H$8:H35,H35)-1, IF('Amputation Summary'!$Q$33=1, RANK(G35,G$8:G$87,1)+COUNTIF($G$8:G35,G35)-1))</f>
        <v>5</v>
      </c>
      <c r="N35" s="23">
        <f>IF('Amputation Summary'!$Q$33=2, H35, IF('Amputation Summary'!$Q$33=1, G35))</f>
        <v>0</v>
      </c>
      <c r="O35" s="24">
        <v>7</v>
      </c>
      <c r="P35" s="32">
        <v>3</v>
      </c>
      <c r="Q35" s="32">
        <v>4</v>
      </c>
      <c r="R35" s="32">
        <v>19</v>
      </c>
      <c r="S35" s="32">
        <v>12</v>
      </c>
      <c r="T35" s="32">
        <v>30</v>
      </c>
      <c r="U35" s="32">
        <f t="shared" si="3"/>
        <v>81</v>
      </c>
      <c r="V35" s="25">
        <v>45.344051718711853</v>
      </c>
      <c r="W35" s="25">
        <v>144.69372034072876</v>
      </c>
      <c r="X35" s="25">
        <f t="shared" si="4"/>
        <v>35.655948281288147</v>
      </c>
      <c r="Y35" s="25">
        <f t="shared" si="5"/>
        <v>99.349668622016907</v>
      </c>
      <c r="Z35" s="32">
        <f>IF('Amputation Summary'!$Q$4=2, RANK(F35,F$8:F$87,1)+COUNTIF($F$8:F35,F35)-1, IF('Amputation Summary'!$Q$4=1, RANK(T35,T$8:T$87,1)+COUNTIF($T$8:T35,T35)-1))</f>
        <v>31</v>
      </c>
      <c r="AA35" s="32">
        <f>IF('Amputation Summary'!$Q$4=2, U35, IF('Amputation Summary'!$Q$4=1, O35))</f>
        <v>81</v>
      </c>
      <c r="AB35" s="32">
        <f>IF('Amputation Summary'!$Q$4=2, X35, IF('Amputation Summary'!$Q$4=1, Q35))</f>
        <v>35.655948281288147</v>
      </c>
      <c r="AC35" s="32">
        <f>IF('Amputation Summary'!$Q$4=2, Y35, IF('Amputation Summary'!$Q$4=1, S35))</f>
        <v>99.349668622016907</v>
      </c>
    </row>
    <row r="36" spans="1:29" x14ac:dyDescent="0.25">
      <c r="A36" t="s">
        <v>74</v>
      </c>
      <c r="B36" s="4" t="s">
        <v>75</v>
      </c>
      <c r="C36" s="24">
        <v>32</v>
      </c>
      <c r="D36" s="13" t="s">
        <v>434</v>
      </c>
      <c r="E36" s="19" t="s">
        <v>798</v>
      </c>
      <c r="F36" s="25">
        <v>1.1200000000000001</v>
      </c>
      <c r="G36" s="23">
        <v>0.93799999999999994</v>
      </c>
      <c r="H36" s="23">
        <v>0.5</v>
      </c>
      <c r="I36" s="23">
        <v>0</v>
      </c>
      <c r="J36" t="s">
        <v>74</v>
      </c>
      <c r="K36">
        <f t="shared" si="1"/>
        <v>3</v>
      </c>
      <c r="L36">
        <f t="shared" si="2"/>
        <v>1</v>
      </c>
      <c r="M36" s="32">
        <f>IF('Amputation Summary'!$Q$33=2, RANK(H36,H$8:H$87,1)+COUNTIF($H$8:H36,H36)-1, IF('Amputation Summary'!$Q$33=1, RANK(G36,G$8:G$87,1)+COUNTIF($G$8:G36,G36)-1))</f>
        <v>19</v>
      </c>
      <c r="N36" s="23">
        <f>IF('Amputation Summary'!$Q$33=2, H36, IF('Amputation Summary'!$Q$33=1, G36))</f>
        <v>0.5</v>
      </c>
      <c r="O36" s="24">
        <v>5</v>
      </c>
      <c r="P36" s="32">
        <v>2</v>
      </c>
      <c r="Q36" s="32">
        <v>3</v>
      </c>
      <c r="R36" s="32">
        <v>17</v>
      </c>
      <c r="S36" s="32">
        <v>12</v>
      </c>
      <c r="T36" s="32">
        <v>12</v>
      </c>
      <c r="U36" s="32">
        <f t="shared" si="3"/>
        <v>112.00000000000001</v>
      </c>
      <c r="V36" s="25">
        <v>56.010222434997559</v>
      </c>
      <c r="W36" s="25">
        <v>223.9591121673584</v>
      </c>
      <c r="X36" s="25">
        <f t="shared" si="4"/>
        <v>55.989777565002456</v>
      </c>
      <c r="Y36" s="25">
        <f t="shared" si="5"/>
        <v>167.94888973236084</v>
      </c>
      <c r="Z36" s="32">
        <f>IF('Amputation Summary'!$Q$4=2, RANK(F36,F$8:F$87,1)+COUNTIF($F$8:F36,F36)-1, IF('Amputation Summary'!$Q$4=1, RANK(T36,T$8:T$87,1)+COUNTIF($T$8:T36,T36)-1))</f>
        <v>50</v>
      </c>
      <c r="AA36" s="32">
        <f>IF('Amputation Summary'!$Q$4=2, U36, IF('Amputation Summary'!$Q$4=1, O36))</f>
        <v>112.00000000000001</v>
      </c>
      <c r="AB36" s="32">
        <f>IF('Amputation Summary'!$Q$4=2, X36, IF('Amputation Summary'!$Q$4=1, Q36))</f>
        <v>55.989777565002456</v>
      </c>
      <c r="AC36" s="32">
        <f>IF('Amputation Summary'!$Q$4=2, Y36, IF('Amputation Summary'!$Q$4=1, S36))</f>
        <v>167.94888973236084</v>
      </c>
    </row>
    <row r="37" spans="1:29" x14ac:dyDescent="0.25">
      <c r="A37" t="s">
        <v>150</v>
      </c>
      <c r="B37" s="4" t="s">
        <v>151</v>
      </c>
      <c r="C37" s="24">
        <v>103</v>
      </c>
      <c r="D37" s="13" t="s">
        <v>467</v>
      </c>
      <c r="E37" s="19" t="s">
        <v>795</v>
      </c>
      <c r="F37" s="25">
        <v>1.6</v>
      </c>
      <c r="G37" s="23">
        <v>0.96099999999999997</v>
      </c>
      <c r="H37" s="23">
        <v>0.86399999999999999</v>
      </c>
      <c r="I37" s="23">
        <v>2.4E-2</v>
      </c>
      <c r="J37" t="s">
        <v>150</v>
      </c>
      <c r="K37">
        <f t="shared" si="1"/>
        <v>3</v>
      </c>
      <c r="L37">
        <f t="shared" si="2"/>
        <v>3</v>
      </c>
      <c r="M37" s="32">
        <f>IF('Amputation Summary'!$Q$33=2, RANK(H37,H$8:H$87,1)+COUNTIF($H$8:H37,H37)-1, IF('Amputation Summary'!$Q$33=1, RANK(G37,G$8:G$87,1)+COUNTIF($G$8:G37,G37)-1))</f>
        <v>51</v>
      </c>
      <c r="N37" s="23">
        <f>IF('Amputation Summary'!$Q$33=2, H37, IF('Amputation Summary'!$Q$33=1, G37))</f>
        <v>0.86399999999999999</v>
      </c>
      <c r="O37" s="24">
        <v>8</v>
      </c>
      <c r="P37" s="32">
        <v>4</v>
      </c>
      <c r="Q37" s="32">
        <v>4</v>
      </c>
      <c r="R37" s="32">
        <v>21</v>
      </c>
      <c r="S37" s="32">
        <v>13</v>
      </c>
      <c r="T37" s="32">
        <v>47</v>
      </c>
      <c r="U37" s="32">
        <f t="shared" si="3"/>
        <v>160</v>
      </c>
      <c r="V37" s="25">
        <v>107.22490549087524</v>
      </c>
      <c r="W37" s="25">
        <v>238.7505054473877</v>
      </c>
      <c r="X37" s="25">
        <f t="shared" si="4"/>
        <v>52.775094509124756</v>
      </c>
      <c r="Y37" s="25">
        <f t="shared" si="5"/>
        <v>131.52559995651245</v>
      </c>
      <c r="Z37" s="32">
        <f>IF('Amputation Summary'!$Q$4=2, RANK(F37,F$8:F$87,1)+COUNTIF($F$8:F37,F37)-1, IF('Amputation Summary'!$Q$4=1, RANK(T37,T$8:T$87,1)+COUNTIF($T$8:T37,T37)-1))</f>
        <v>69</v>
      </c>
      <c r="AA37" s="32">
        <f>IF('Amputation Summary'!$Q$4=2, U37, IF('Amputation Summary'!$Q$4=1, O37))</f>
        <v>160</v>
      </c>
      <c r="AB37" s="32">
        <f>IF('Amputation Summary'!$Q$4=2, X37, IF('Amputation Summary'!$Q$4=1, Q37))</f>
        <v>52.775094509124756</v>
      </c>
      <c r="AC37" s="32">
        <f>IF('Amputation Summary'!$Q$4=2, Y37, IF('Amputation Summary'!$Q$4=1, S37))</f>
        <v>131.52559995651245</v>
      </c>
    </row>
    <row r="38" spans="1:29" x14ac:dyDescent="0.25">
      <c r="A38" t="s">
        <v>105</v>
      </c>
      <c r="B38" s="4" t="s">
        <v>106</v>
      </c>
      <c r="C38" s="24">
        <v>253</v>
      </c>
      <c r="D38" s="13" t="s">
        <v>448</v>
      </c>
      <c r="E38" s="19" t="s">
        <v>805</v>
      </c>
      <c r="F38" s="25">
        <v>1.23</v>
      </c>
      <c r="G38" s="23">
        <v>0.97199999999999998</v>
      </c>
      <c r="H38" s="23">
        <v>0.71499999999999997</v>
      </c>
      <c r="I38" s="23">
        <v>6.4000000000000001E-2</v>
      </c>
      <c r="J38" t="s">
        <v>105</v>
      </c>
      <c r="K38">
        <f t="shared" ref="K38:K67" si="6">+IF(G38&lt;G$2,1,IF(G38&lt;G$3,2,IF(G38&lt;G$4,3,4)))</f>
        <v>4</v>
      </c>
      <c r="L38">
        <f t="shared" ref="L38:L67" si="7">+IF(H38&lt;H$2,1,IF(H38&lt;H$3,2,IF(H38&lt;H$4,3,4)))</f>
        <v>2</v>
      </c>
      <c r="M38" s="32">
        <f>IF('Amputation Summary'!$Q$33=2, RANK(H38,H$8:H$87,1)+COUNTIF($H$8:H38,H38)-1, IF('Amputation Summary'!$Q$33=1, RANK(G38,G$8:G$87,1)+COUNTIF($G$8:G38,G38)-1))</f>
        <v>33</v>
      </c>
      <c r="N38" s="23">
        <f>IF('Amputation Summary'!$Q$33=2, H38, IF('Amputation Summary'!$Q$33=1, G38))</f>
        <v>0.71499999999999997</v>
      </c>
      <c r="O38" s="24">
        <v>8</v>
      </c>
      <c r="P38" s="32">
        <v>3</v>
      </c>
      <c r="Q38" s="32">
        <v>5</v>
      </c>
      <c r="R38" s="32">
        <v>23</v>
      </c>
      <c r="S38" s="32">
        <v>15</v>
      </c>
      <c r="T38" s="32">
        <v>39</v>
      </c>
      <c r="U38" s="32">
        <f t="shared" si="3"/>
        <v>123</v>
      </c>
      <c r="V38" s="25">
        <v>96.034872531890869</v>
      </c>
      <c r="W38" s="25">
        <v>157.53653049468994</v>
      </c>
      <c r="X38" s="25">
        <f t="shared" si="4"/>
        <v>26.965127468109131</v>
      </c>
      <c r="Y38" s="25">
        <f t="shared" si="5"/>
        <v>61.501657962799072</v>
      </c>
      <c r="Z38" s="32">
        <f>IF('Amputation Summary'!$Q$4=2, RANK(F38,F$8:F$87,1)+COUNTIF($F$8:F38,F38)-1, IF('Amputation Summary'!$Q$4=1, RANK(T38,T$8:T$87,1)+COUNTIF($T$8:T38,T38)-1))</f>
        <v>60</v>
      </c>
      <c r="AA38" s="32">
        <f>IF('Amputation Summary'!$Q$4=2, U38, IF('Amputation Summary'!$Q$4=1, O38))</f>
        <v>123</v>
      </c>
      <c r="AB38" s="32">
        <f>IF('Amputation Summary'!$Q$4=2, X38, IF('Amputation Summary'!$Q$4=1, Q38))</f>
        <v>26.965127468109131</v>
      </c>
      <c r="AC38" s="32">
        <f>IF('Amputation Summary'!$Q$4=2, Y38, IF('Amputation Summary'!$Q$4=1, S38))</f>
        <v>61.501657962799072</v>
      </c>
    </row>
    <row r="39" spans="1:29" x14ac:dyDescent="0.25">
      <c r="A39" t="s">
        <v>15</v>
      </c>
      <c r="B39" s="4" t="s">
        <v>16</v>
      </c>
      <c r="C39" s="24">
        <v>75</v>
      </c>
      <c r="D39" s="13" t="s">
        <v>412</v>
      </c>
      <c r="E39" s="19" t="s">
        <v>330</v>
      </c>
      <c r="F39" s="25">
        <v>0.52</v>
      </c>
      <c r="G39" s="23">
        <v>0.92</v>
      </c>
      <c r="H39" s="23">
        <v>0.6</v>
      </c>
      <c r="I39" s="23">
        <v>4.2999999999999997E-2</v>
      </c>
      <c r="J39" t="s">
        <v>15</v>
      </c>
      <c r="K39">
        <f t="shared" si="6"/>
        <v>3</v>
      </c>
      <c r="L39">
        <f t="shared" si="7"/>
        <v>2</v>
      </c>
      <c r="M39" s="32">
        <f>IF('Amputation Summary'!$Q$33=2, RANK(H39,H$8:H$87,1)+COUNTIF($H$8:H39,H39)-1, IF('Amputation Summary'!$Q$33=1, RANK(G39,G$8:G$87,1)+COUNTIF($G$8:G39,G39)-1))</f>
        <v>24</v>
      </c>
      <c r="N39" s="23">
        <f>IF('Amputation Summary'!$Q$33=2, H39, IF('Amputation Summary'!$Q$33=1, G39))</f>
        <v>0.6</v>
      </c>
      <c r="O39" s="24">
        <v>9</v>
      </c>
      <c r="P39" s="32">
        <v>4</v>
      </c>
      <c r="Q39" s="32">
        <v>5</v>
      </c>
      <c r="R39" s="32">
        <v>19</v>
      </c>
      <c r="S39" s="32">
        <v>10</v>
      </c>
      <c r="T39" s="32">
        <v>55</v>
      </c>
      <c r="U39" s="32">
        <f t="shared" si="3"/>
        <v>52</v>
      </c>
      <c r="V39" s="25">
        <v>32.320034503936768</v>
      </c>
      <c r="W39" s="25">
        <v>83.663266897201538</v>
      </c>
      <c r="X39" s="25">
        <f t="shared" si="4"/>
        <v>19.679965496063232</v>
      </c>
      <c r="Y39" s="25">
        <f t="shared" si="5"/>
        <v>51.343232393264771</v>
      </c>
      <c r="Z39" s="32">
        <f>IF('Amputation Summary'!$Q$4=2, RANK(F39,F$8:F$87,1)+COUNTIF($F$8:F39,F39)-1, IF('Amputation Summary'!$Q$4=1, RANK(T39,T$8:T$87,1)+COUNTIF($T$8:T39,T39)-1))</f>
        <v>10</v>
      </c>
      <c r="AA39" s="32">
        <f>IF('Amputation Summary'!$Q$4=2, U39, IF('Amputation Summary'!$Q$4=1, O39))</f>
        <v>52</v>
      </c>
      <c r="AB39" s="32">
        <f>IF('Amputation Summary'!$Q$4=2, X39, IF('Amputation Summary'!$Q$4=1, Q39))</f>
        <v>19.679965496063232</v>
      </c>
      <c r="AC39" s="32">
        <f>IF('Amputation Summary'!$Q$4=2, Y39, IF('Amputation Summary'!$Q$4=1, S39))</f>
        <v>51.343232393264771</v>
      </c>
    </row>
    <row r="40" spans="1:29" x14ac:dyDescent="0.25">
      <c r="A40" t="s">
        <v>11</v>
      </c>
      <c r="B40" s="4" t="s">
        <v>12</v>
      </c>
      <c r="C40" s="24">
        <v>66</v>
      </c>
      <c r="D40" s="13" t="s">
        <v>410</v>
      </c>
      <c r="E40" s="19" t="s">
        <v>779</v>
      </c>
      <c r="F40" s="25">
        <v>1.19</v>
      </c>
      <c r="G40" s="23">
        <v>0.54500000000000004</v>
      </c>
      <c r="H40" s="23">
        <v>0.90900000000000003</v>
      </c>
      <c r="I40" s="23">
        <v>0</v>
      </c>
      <c r="J40" t="s">
        <v>11</v>
      </c>
      <c r="K40">
        <f t="shared" si="6"/>
        <v>1</v>
      </c>
      <c r="L40">
        <f t="shared" si="7"/>
        <v>4</v>
      </c>
      <c r="M40" s="32">
        <f>IF('Amputation Summary'!$Q$33=2, RANK(H40,H$8:H$87,1)+COUNTIF($H$8:H40,H40)-1, IF('Amputation Summary'!$Q$33=1, RANK(G40,G$8:G$87,1)+COUNTIF($G$8:G40,G40)-1))</f>
        <v>60</v>
      </c>
      <c r="N40" s="23">
        <f>IF('Amputation Summary'!$Q$33=2, H40, IF('Amputation Summary'!$Q$33=1, G40))</f>
        <v>0.90900000000000003</v>
      </c>
      <c r="O40" s="24">
        <v>6</v>
      </c>
      <c r="P40" s="32">
        <v>3</v>
      </c>
      <c r="Q40" s="32">
        <v>3</v>
      </c>
      <c r="R40" s="32">
        <v>19</v>
      </c>
      <c r="S40" s="32">
        <v>13</v>
      </c>
      <c r="T40" s="32">
        <v>19</v>
      </c>
      <c r="U40" s="32">
        <f t="shared" si="3"/>
        <v>119</v>
      </c>
      <c r="V40" s="25">
        <v>73.384761810302734</v>
      </c>
      <c r="W40" s="25">
        <v>192.96923875808716</v>
      </c>
      <c r="X40" s="25">
        <f t="shared" si="4"/>
        <v>45.615238189697266</v>
      </c>
      <c r="Y40" s="25">
        <f t="shared" si="5"/>
        <v>119.58447694778442</v>
      </c>
      <c r="Z40" s="32">
        <f>IF('Amputation Summary'!$Q$4=2, RANK(F40,F$8:F$87,1)+COUNTIF($F$8:F40,F40)-1, IF('Amputation Summary'!$Q$4=1, RANK(T40,T$8:T$87,1)+COUNTIF($T$8:T40,T40)-1))</f>
        <v>54</v>
      </c>
      <c r="AA40" s="32">
        <f>IF('Amputation Summary'!$Q$4=2, U40, IF('Amputation Summary'!$Q$4=1, O40))</f>
        <v>119</v>
      </c>
      <c r="AB40" s="32">
        <f>IF('Amputation Summary'!$Q$4=2, X40, IF('Amputation Summary'!$Q$4=1, Q40))</f>
        <v>45.615238189697266</v>
      </c>
      <c r="AC40" s="32">
        <f>IF('Amputation Summary'!$Q$4=2, Y40, IF('Amputation Summary'!$Q$4=1, S40))</f>
        <v>119.58447694778442</v>
      </c>
    </row>
    <row r="41" spans="1:29" x14ac:dyDescent="0.25">
      <c r="A41" t="s">
        <v>95</v>
      </c>
      <c r="B41" s="4" t="s">
        <v>96</v>
      </c>
      <c r="C41" s="24">
        <v>60</v>
      </c>
      <c r="D41" s="13" t="s">
        <v>443</v>
      </c>
      <c r="E41" s="19" t="s">
        <v>401</v>
      </c>
      <c r="F41" s="25">
        <v>1.23</v>
      </c>
      <c r="G41" s="23">
        <v>0.95</v>
      </c>
      <c r="H41" s="23">
        <v>0.51700000000000002</v>
      </c>
      <c r="I41" s="23">
        <v>3.1E-2</v>
      </c>
      <c r="J41" t="s">
        <v>95</v>
      </c>
      <c r="K41">
        <f t="shared" si="6"/>
        <v>3</v>
      </c>
      <c r="L41">
        <f t="shared" si="7"/>
        <v>1</v>
      </c>
      <c r="M41" s="32">
        <f>IF('Amputation Summary'!$Q$33=2, RANK(H41,H$8:H$87,1)+COUNTIF($H$8:H41,H41)-1, IF('Amputation Summary'!$Q$33=1, RANK(G41,G$8:G$87,1)+COUNTIF($G$8:G41,G41)-1))</f>
        <v>20</v>
      </c>
      <c r="N41" s="23">
        <f>IF('Amputation Summary'!$Q$33=2, H41, IF('Amputation Summary'!$Q$33=1, G41))</f>
        <v>0.51700000000000002</v>
      </c>
      <c r="O41" s="24">
        <v>5</v>
      </c>
      <c r="P41" s="32">
        <v>2</v>
      </c>
      <c r="Q41" s="32">
        <v>3</v>
      </c>
      <c r="R41" s="32">
        <v>13</v>
      </c>
      <c r="S41" s="32">
        <v>8</v>
      </c>
      <c r="T41" s="32">
        <v>11</v>
      </c>
      <c r="U41" s="32">
        <f t="shared" si="3"/>
        <v>123</v>
      </c>
      <c r="V41" s="25">
        <v>73.814505338668823</v>
      </c>
      <c r="W41" s="25">
        <v>204.95972633361816</v>
      </c>
      <c r="X41" s="25">
        <f t="shared" si="4"/>
        <v>49.185494661331177</v>
      </c>
      <c r="Y41" s="25">
        <f t="shared" si="5"/>
        <v>131.14522099494934</v>
      </c>
      <c r="Z41" s="32">
        <f>IF('Amputation Summary'!$Q$4=2, RANK(F41,F$8:F$87,1)+COUNTIF($F$8:F41,F41)-1, IF('Amputation Summary'!$Q$4=1, RANK(T41,T$8:T$87,1)+COUNTIF($T$8:T41,T41)-1))</f>
        <v>61</v>
      </c>
      <c r="AA41" s="32">
        <f>IF('Amputation Summary'!$Q$4=2, U41, IF('Amputation Summary'!$Q$4=1, O41))</f>
        <v>123</v>
      </c>
      <c r="AB41" s="32">
        <f>IF('Amputation Summary'!$Q$4=2, X41, IF('Amputation Summary'!$Q$4=1, Q41))</f>
        <v>49.185494661331177</v>
      </c>
      <c r="AC41" s="32">
        <f>IF('Amputation Summary'!$Q$4=2, Y41, IF('Amputation Summary'!$Q$4=1, S41))</f>
        <v>131.14522099494934</v>
      </c>
    </row>
    <row r="42" spans="1:29" x14ac:dyDescent="0.25">
      <c r="A42" t="s">
        <v>99</v>
      </c>
      <c r="B42" s="4" t="s">
        <v>100</v>
      </c>
      <c r="C42" s="24">
        <v>75</v>
      </c>
      <c r="D42" s="13" t="s">
        <v>445</v>
      </c>
      <c r="E42" s="19" t="s">
        <v>803</v>
      </c>
      <c r="F42" s="25">
        <v>0.86</v>
      </c>
      <c r="G42" s="23">
        <v>0.65300000000000002</v>
      </c>
      <c r="H42" s="23">
        <v>6.7000000000000004E-2</v>
      </c>
      <c r="I42" s="23">
        <v>5.7000000000000002E-2</v>
      </c>
      <c r="J42" t="s">
        <v>99</v>
      </c>
      <c r="K42">
        <f t="shared" si="6"/>
        <v>1</v>
      </c>
      <c r="L42">
        <f t="shared" si="7"/>
        <v>1</v>
      </c>
      <c r="M42" s="32">
        <f>IF('Amputation Summary'!$Q$33=2, RANK(H42,H$8:H$87,1)+COUNTIF($H$8:H42,H42)-1, IF('Amputation Summary'!$Q$33=1, RANK(G42,G$8:G$87,1)+COUNTIF($G$8:G42,G42)-1))</f>
        <v>9</v>
      </c>
      <c r="N42" s="23">
        <f>IF('Amputation Summary'!$Q$33=2, H42, IF('Amputation Summary'!$Q$33=1, G42))</f>
        <v>6.7000000000000004E-2</v>
      </c>
      <c r="O42" s="24">
        <v>7</v>
      </c>
      <c r="P42" s="32">
        <v>2</v>
      </c>
      <c r="Q42" s="32">
        <v>5</v>
      </c>
      <c r="R42" s="32">
        <v>13</v>
      </c>
      <c r="S42" s="32">
        <v>6</v>
      </c>
      <c r="T42" s="32">
        <v>21</v>
      </c>
      <c r="U42" s="32">
        <f t="shared" si="3"/>
        <v>86</v>
      </c>
      <c r="V42" s="25">
        <v>54.636132717132568</v>
      </c>
      <c r="W42" s="25">
        <v>135.36828756332397</v>
      </c>
      <c r="X42" s="25">
        <f t="shared" si="4"/>
        <v>31.363867282867432</v>
      </c>
      <c r="Y42" s="25">
        <f t="shared" si="5"/>
        <v>80.732154846191406</v>
      </c>
      <c r="Z42" s="32">
        <f>IF('Amputation Summary'!$Q$4=2, RANK(F42,F$8:F$87,1)+COUNTIF($F$8:F42,F42)-1, IF('Amputation Summary'!$Q$4=1, RANK(T42,T$8:T$87,1)+COUNTIF($T$8:T42,T42)-1))</f>
        <v>37</v>
      </c>
      <c r="AA42" s="32">
        <f>IF('Amputation Summary'!$Q$4=2, U42, IF('Amputation Summary'!$Q$4=1, O42))</f>
        <v>86</v>
      </c>
      <c r="AB42" s="32">
        <f>IF('Amputation Summary'!$Q$4=2, X42, IF('Amputation Summary'!$Q$4=1, Q42))</f>
        <v>31.363867282867432</v>
      </c>
      <c r="AC42" s="32">
        <f>IF('Amputation Summary'!$Q$4=2, Y42, IF('Amputation Summary'!$Q$4=1, S42))</f>
        <v>80.732154846191406</v>
      </c>
    </row>
    <row r="43" spans="1:29" x14ac:dyDescent="0.25">
      <c r="A43" t="s">
        <v>113</v>
      </c>
      <c r="B43" s="4" t="s">
        <v>114</v>
      </c>
      <c r="C43" s="24">
        <v>287</v>
      </c>
      <c r="D43" s="13" t="s">
        <v>450</v>
      </c>
      <c r="E43" s="19" t="s">
        <v>807</v>
      </c>
      <c r="F43" s="25">
        <v>1.67</v>
      </c>
      <c r="G43" s="23">
        <v>0.26800000000000002</v>
      </c>
      <c r="H43" s="23">
        <v>0.42499999999999999</v>
      </c>
      <c r="I43" s="23">
        <v>4.9000000000000002E-2</v>
      </c>
      <c r="J43" t="s">
        <v>113</v>
      </c>
      <c r="K43">
        <f t="shared" si="6"/>
        <v>1</v>
      </c>
      <c r="L43">
        <f t="shared" si="7"/>
        <v>1</v>
      </c>
      <c r="M43" s="32">
        <f>IF('Amputation Summary'!$Q$33=2, RANK(H43,H$8:H$87,1)+COUNTIF($H$8:H43,H43)-1, IF('Amputation Summary'!$Q$33=1, RANK(G43,G$8:G$87,1)+COUNTIF($G$8:G43,G43)-1))</f>
        <v>16</v>
      </c>
      <c r="N43" s="23">
        <f>IF('Amputation Summary'!$Q$33=2, H43, IF('Amputation Summary'!$Q$33=1, G43))</f>
        <v>0.42499999999999999</v>
      </c>
      <c r="O43" s="24">
        <v>14</v>
      </c>
      <c r="P43" s="32">
        <v>10</v>
      </c>
      <c r="Q43" s="32">
        <v>4</v>
      </c>
      <c r="R43" s="32">
        <v>44</v>
      </c>
      <c r="S43" s="32">
        <v>30</v>
      </c>
      <c r="T43" s="32">
        <v>72</v>
      </c>
      <c r="U43" s="32">
        <f t="shared" si="3"/>
        <v>167</v>
      </c>
      <c r="V43" s="25">
        <v>131.34104013442993</v>
      </c>
      <c r="W43" s="25">
        <v>212.34033107757568</v>
      </c>
      <c r="X43" s="25">
        <f t="shared" si="4"/>
        <v>35.658959865570068</v>
      </c>
      <c r="Y43" s="25">
        <f t="shared" si="5"/>
        <v>80.999290943145752</v>
      </c>
      <c r="Z43" s="32">
        <f>IF('Amputation Summary'!$Q$4=2, RANK(F43,F$8:F$87,1)+COUNTIF($F$8:F43,F43)-1, IF('Amputation Summary'!$Q$4=1, RANK(T43,T$8:T$87,1)+COUNTIF($T$8:T43,T43)-1))</f>
        <v>71</v>
      </c>
      <c r="AA43" s="32">
        <f>IF('Amputation Summary'!$Q$4=2, U43, IF('Amputation Summary'!$Q$4=1, O43))</f>
        <v>167</v>
      </c>
      <c r="AB43" s="32">
        <f>IF('Amputation Summary'!$Q$4=2, X43, IF('Amputation Summary'!$Q$4=1, Q43))</f>
        <v>35.658959865570068</v>
      </c>
      <c r="AC43" s="32">
        <f>IF('Amputation Summary'!$Q$4=2, Y43, IF('Amputation Summary'!$Q$4=1, S43))</f>
        <v>80.999290943145752</v>
      </c>
    </row>
    <row r="44" spans="1:29" x14ac:dyDescent="0.25">
      <c r="A44" t="s">
        <v>160</v>
      </c>
      <c r="B44" s="4" t="s">
        <v>161</v>
      </c>
      <c r="C44" s="24">
        <v>21</v>
      </c>
      <c r="D44" s="13" t="s">
        <v>472</v>
      </c>
      <c r="E44" s="19" t="s">
        <v>818</v>
      </c>
      <c r="F44" s="25">
        <v>0.83</v>
      </c>
      <c r="G44" s="23">
        <v>0.95199999999999996</v>
      </c>
      <c r="H44" s="23">
        <v>0.57099999999999995</v>
      </c>
      <c r="I44" s="23">
        <v>8.7999999999999995E-2</v>
      </c>
      <c r="J44" t="s">
        <v>160</v>
      </c>
      <c r="K44">
        <f t="shared" si="6"/>
        <v>3</v>
      </c>
      <c r="L44">
        <f t="shared" si="7"/>
        <v>2</v>
      </c>
      <c r="M44" s="32">
        <f>IF('Amputation Summary'!$Q$33=2, RANK(H44,H$8:H$87,1)+COUNTIF($H$8:H44,H44)-1, IF('Amputation Summary'!$Q$33=1, RANK(G44,G$8:G$87,1)+COUNTIF($G$8:G44,G44)-1))</f>
        <v>23</v>
      </c>
      <c r="N44" s="23">
        <f>IF('Amputation Summary'!$Q$33=2, H44, IF('Amputation Summary'!$Q$33=1, G44))</f>
        <v>0.57099999999999995</v>
      </c>
      <c r="O44" s="24">
        <v>9</v>
      </c>
      <c r="P44" s="32">
        <v>6</v>
      </c>
      <c r="Q44" s="32">
        <v>3</v>
      </c>
      <c r="R44" s="32">
        <v>28</v>
      </c>
      <c r="S44" s="32">
        <v>19</v>
      </c>
      <c r="T44" s="32">
        <v>59</v>
      </c>
      <c r="U44" s="32">
        <f t="shared" si="3"/>
        <v>83</v>
      </c>
      <c r="V44" s="25">
        <v>34.972491860389709</v>
      </c>
      <c r="W44" s="25">
        <v>196.98338508605957</v>
      </c>
      <c r="X44" s="25">
        <f t="shared" si="4"/>
        <v>48.027508139610291</v>
      </c>
      <c r="Y44" s="25">
        <f t="shared" si="5"/>
        <v>162.01089322566986</v>
      </c>
      <c r="Z44" s="32">
        <f>IF('Amputation Summary'!$Q$4=2, RANK(F44,F$8:F$87,1)+COUNTIF($F$8:F44,F44)-1, IF('Amputation Summary'!$Q$4=1, RANK(T44,T$8:T$87,1)+COUNTIF($T$8:T44,T44)-1))</f>
        <v>32</v>
      </c>
      <c r="AA44" s="32">
        <f>IF('Amputation Summary'!$Q$4=2, U44, IF('Amputation Summary'!$Q$4=1, O44))</f>
        <v>83</v>
      </c>
      <c r="AB44" s="32">
        <f>IF('Amputation Summary'!$Q$4=2, X44, IF('Amputation Summary'!$Q$4=1, Q44))</f>
        <v>48.027508139610291</v>
      </c>
      <c r="AC44" s="32">
        <f>IF('Amputation Summary'!$Q$4=2, Y44, IF('Amputation Summary'!$Q$4=1, S44))</f>
        <v>162.01089322566986</v>
      </c>
    </row>
    <row r="45" spans="1:29" x14ac:dyDescent="0.25">
      <c r="A45" t="s">
        <v>178</v>
      </c>
      <c r="B45" s="4" t="s">
        <v>179</v>
      </c>
      <c r="C45" s="24">
        <v>32</v>
      </c>
      <c r="D45" s="13" t="s">
        <v>481</v>
      </c>
      <c r="E45" s="19" t="s">
        <v>238</v>
      </c>
      <c r="F45" s="25">
        <v>0.52</v>
      </c>
      <c r="G45" s="23">
        <v>1</v>
      </c>
      <c r="H45" s="23">
        <v>3.1E-2</v>
      </c>
      <c r="I45" s="23">
        <v>4.2999999999999997E-2</v>
      </c>
      <c r="J45" t="s">
        <v>178</v>
      </c>
      <c r="K45">
        <f t="shared" si="6"/>
        <v>4</v>
      </c>
      <c r="L45">
        <f t="shared" si="7"/>
        <v>1</v>
      </c>
      <c r="M45" s="32">
        <f>IF('Amputation Summary'!$Q$33=2, RANK(H45,H$8:H$87,1)+COUNTIF($H$8:H45,H45)-1, IF('Amputation Summary'!$Q$33=1, RANK(G45,G$8:G$87,1)+COUNTIF($G$8:G45,G45)-1))</f>
        <v>7</v>
      </c>
      <c r="N45" s="23">
        <f>IF('Amputation Summary'!$Q$33=2, H45, IF('Amputation Summary'!$Q$33=1, G45))</f>
        <v>3.1E-2</v>
      </c>
      <c r="O45" s="24">
        <v>8</v>
      </c>
      <c r="P45" s="32">
        <v>3</v>
      </c>
      <c r="Q45" s="32">
        <v>5</v>
      </c>
      <c r="R45" s="32">
        <v>16</v>
      </c>
      <c r="S45" s="32">
        <v>8</v>
      </c>
      <c r="T45" s="32">
        <v>35</v>
      </c>
      <c r="U45" s="32">
        <f t="shared" si="3"/>
        <v>52</v>
      </c>
      <c r="V45" s="25">
        <v>25.071808695793152</v>
      </c>
      <c r="W45" s="25">
        <v>107.85020589828491</v>
      </c>
      <c r="X45" s="25">
        <f t="shared" si="4"/>
        <v>26.928191304206848</v>
      </c>
      <c r="Y45" s="25">
        <f t="shared" si="5"/>
        <v>82.77839720249176</v>
      </c>
      <c r="Z45" s="32">
        <f>IF('Amputation Summary'!$Q$4=2, RANK(F45,F$8:F$87,1)+COUNTIF($F$8:F45,F45)-1, IF('Amputation Summary'!$Q$4=1, RANK(T45,T$8:T$87,1)+COUNTIF($T$8:T45,T45)-1))</f>
        <v>11</v>
      </c>
      <c r="AA45" s="32">
        <f>IF('Amputation Summary'!$Q$4=2, U45, IF('Amputation Summary'!$Q$4=1, O45))</f>
        <v>52</v>
      </c>
      <c r="AB45" s="32">
        <f>IF('Amputation Summary'!$Q$4=2, X45, IF('Amputation Summary'!$Q$4=1, Q45))</f>
        <v>26.928191304206848</v>
      </c>
      <c r="AC45" s="32">
        <f>IF('Amputation Summary'!$Q$4=2, Y45, IF('Amputation Summary'!$Q$4=1, S45))</f>
        <v>82.77839720249176</v>
      </c>
    </row>
    <row r="46" spans="1:29" x14ac:dyDescent="0.25">
      <c r="A46" t="s">
        <v>162</v>
      </c>
      <c r="B46" s="4" t="s">
        <v>163</v>
      </c>
      <c r="C46" s="24">
        <v>14</v>
      </c>
      <c r="D46" s="13" t="s">
        <v>473</v>
      </c>
      <c r="E46" s="19" t="s">
        <v>819</v>
      </c>
      <c r="F46" s="25">
        <v>0.4</v>
      </c>
      <c r="G46" s="23">
        <v>0.92900000000000005</v>
      </c>
      <c r="H46" s="23">
        <v>0.85699999999999998</v>
      </c>
      <c r="I46" s="23">
        <v>0</v>
      </c>
      <c r="J46" t="s">
        <v>162</v>
      </c>
      <c r="K46">
        <f t="shared" si="6"/>
        <v>3</v>
      </c>
      <c r="L46">
        <f t="shared" si="7"/>
        <v>3</v>
      </c>
      <c r="M46" s="32">
        <f>IF('Amputation Summary'!$Q$33=2, RANK(H46,H$8:H$87,1)+COUNTIF($H$8:H46,H46)-1, IF('Amputation Summary'!$Q$33=1, RANK(G46,G$8:G$87,1)+COUNTIF($G$8:G46,G46)-1))</f>
        <v>49</v>
      </c>
      <c r="N46" s="23">
        <f>IF('Amputation Summary'!$Q$33=2, H46, IF('Amputation Summary'!$Q$33=1, G46))</f>
        <v>0.85699999999999998</v>
      </c>
      <c r="O46" s="24">
        <v>48</v>
      </c>
      <c r="P46" s="32">
        <v>5</v>
      </c>
      <c r="Q46" s="32">
        <v>43</v>
      </c>
      <c r="R46" s="32">
        <v>119</v>
      </c>
      <c r="S46" s="32">
        <v>71</v>
      </c>
      <c r="T46" s="32">
        <v>79</v>
      </c>
      <c r="U46" s="32">
        <f t="shared" si="3"/>
        <v>40</v>
      </c>
      <c r="V46" s="25">
        <v>12.545070052146912</v>
      </c>
      <c r="W46" s="25">
        <v>127.54013538360596</v>
      </c>
      <c r="X46" s="25">
        <f t="shared" si="4"/>
        <v>27.454929947853088</v>
      </c>
      <c r="Y46" s="25">
        <f t="shared" si="5"/>
        <v>114.99506533145905</v>
      </c>
      <c r="Z46" s="32">
        <f>IF('Amputation Summary'!$Q$4=2, RANK(F46,F$8:F$87,1)+COUNTIF($F$8:F46,F46)-1, IF('Amputation Summary'!$Q$4=1, RANK(T46,T$8:T$87,1)+COUNTIF($T$8:T46,T46)-1))</f>
        <v>7</v>
      </c>
      <c r="AA46" s="32">
        <f>IF('Amputation Summary'!$Q$4=2, U46, IF('Amputation Summary'!$Q$4=1, O46))</f>
        <v>40</v>
      </c>
      <c r="AB46" s="32">
        <f>IF('Amputation Summary'!$Q$4=2, X46, IF('Amputation Summary'!$Q$4=1, Q46))</f>
        <v>27.454929947853088</v>
      </c>
      <c r="AC46" s="32">
        <f>IF('Amputation Summary'!$Q$4=2, Y46, IF('Amputation Summary'!$Q$4=1, S46))</f>
        <v>114.99506533145905</v>
      </c>
    </row>
    <row r="47" spans="1:29" x14ac:dyDescent="0.25">
      <c r="A47" t="s">
        <v>176</v>
      </c>
      <c r="B47" s="4" t="s">
        <v>177</v>
      </c>
      <c r="C47" s="24">
        <v>33</v>
      </c>
      <c r="D47" s="13" t="s">
        <v>480</v>
      </c>
      <c r="E47" s="19" t="s">
        <v>764</v>
      </c>
      <c r="F47" s="25">
        <v>0.24</v>
      </c>
      <c r="G47" s="23">
        <v>1</v>
      </c>
      <c r="H47" s="23">
        <v>0.81799999999999995</v>
      </c>
      <c r="I47" s="23">
        <v>0.186</v>
      </c>
      <c r="J47" t="s">
        <v>176</v>
      </c>
      <c r="K47">
        <f t="shared" si="6"/>
        <v>4</v>
      </c>
      <c r="L47">
        <f t="shared" si="7"/>
        <v>3</v>
      </c>
      <c r="M47" s="32">
        <f>IF('Amputation Summary'!$Q$33=2, RANK(H47,H$8:H$87,1)+COUNTIF($H$8:H47,H47)-1, IF('Amputation Summary'!$Q$33=1, RANK(G47,G$8:G$87,1)+COUNTIF($G$8:G47,G47)-1))</f>
        <v>42</v>
      </c>
      <c r="N47" s="23">
        <f>IF('Amputation Summary'!$Q$33=2, H47, IF('Amputation Summary'!$Q$33=1, G47))</f>
        <v>0.81799999999999995</v>
      </c>
      <c r="O47" s="24">
        <v>7</v>
      </c>
      <c r="P47" s="32">
        <v>3</v>
      </c>
      <c r="Q47" s="32">
        <v>4</v>
      </c>
      <c r="R47" s="32">
        <v>11</v>
      </c>
      <c r="S47" s="32">
        <v>4</v>
      </c>
      <c r="T47" s="32">
        <v>23</v>
      </c>
      <c r="U47" s="32">
        <f t="shared" si="3"/>
        <v>24</v>
      </c>
      <c r="V47" s="25">
        <v>9.2670552432537079</v>
      </c>
      <c r="W47" s="25">
        <v>62.155663967132568</v>
      </c>
      <c r="X47" s="25">
        <f t="shared" si="4"/>
        <v>14.732944756746292</v>
      </c>
      <c r="Y47" s="25">
        <f t="shared" si="5"/>
        <v>52.88860872387886</v>
      </c>
      <c r="Z47" s="32">
        <f>IF('Amputation Summary'!$Q$4=2, RANK(F47,F$8:F$87,1)+COUNTIF($F$8:F47,F47)-1, IF('Amputation Summary'!$Q$4=1, RANK(T47,T$8:T$87,1)+COUNTIF($T$8:T47,T47)-1))</f>
        <v>2</v>
      </c>
      <c r="AA47" s="32">
        <f>IF('Amputation Summary'!$Q$4=2, U47, IF('Amputation Summary'!$Q$4=1, O47))</f>
        <v>24</v>
      </c>
      <c r="AB47" s="32">
        <f>IF('Amputation Summary'!$Q$4=2, X47, IF('Amputation Summary'!$Q$4=1, Q47))</f>
        <v>14.732944756746292</v>
      </c>
      <c r="AC47" s="32">
        <f>IF('Amputation Summary'!$Q$4=2, Y47, IF('Amputation Summary'!$Q$4=1, S47))</f>
        <v>52.88860872387886</v>
      </c>
    </row>
    <row r="48" spans="1:29" x14ac:dyDescent="0.25">
      <c r="A48" t="s">
        <v>170</v>
      </c>
      <c r="B48" s="4" t="s">
        <v>171</v>
      </c>
      <c r="C48" s="24">
        <v>67</v>
      </c>
      <c r="D48" s="13" t="s">
        <v>477</v>
      </c>
      <c r="E48" s="19" t="s">
        <v>822</v>
      </c>
      <c r="F48" s="25">
        <v>1.37</v>
      </c>
      <c r="G48" s="23">
        <v>0.86599999999999999</v>
      </c>
      <c r="H48" s="23">
        <v>0.95499999999999996</v>
      </c>
      <c r="I48" s="23">
        <v>4.2000000000000003E-2</v>
      </c>
      <c r="J48" t="s">
        <v>170</v>
      </c>
      <c r="K48">
        <f t="shared" si="6"/>
        <v>2</v>
      </c>
      <c r="L48">
        <f t="shared" si="7"/>
        <v>4</v>
      </c>
      <c r="M48" s="32">
        <f>IF('Amputation Summary'!$Q$33=2, RANK(H48,H$8:H$87,1)+COUNTIF($H$8:H48,H48)-1, IF('Amputation Summary'!$Q$33=1, RANK(G48,G$8:G$87,1)+COUNTIF($G$8:G48,G48)-1))</f>
        <v>71</v>
      </c>
      <c r="N48" s="23">
        <f>IF('Amputation Summary'!$Q$33=2, H48, IF('Amputation Summary'!$Q$33=1, G48))</f>
        <v>0.95499999999999996</v>
      </c>
      <c r="O48" s="24">
        <v>5</v>
      </c>
      <c r="P48" s="32">
        <v>3</v>
      </c>
      <c r="Q48" s="32">
        <v>2</v>
      </c>
      <c r="R48" s="32">
        <v>15</v>
      </c>
      <c r="S48" s="32">
        <v>10</v>
      </c>
      <c r="T48" s="32">
        <v>16</v>
      </c>
      <c r="U48" s="32">
        <f t="shared" si="3"/>
        <v>137</v>
      </c>
      <c r="V48" s="25">
        <v>84.495359659194946</v>
      </c>
      <c r="W48" s="25">
        <v>222.13053703308105</v>
      </c>
      <c r="X48" s="25">
        <f t="shared" si="4"/>
        <v>52.504640340805054</v>
      </c>
      <c r="Y48" s="25">
        <f t="shared" si="5"/>
        <v>137.63517737388611</v>
      </c>
      <c r="Z48" s="32">
        <f>IF('Amputation Summary'!$Q$4=2, RANK(F48,F$8:F$87,1)+COUNTIF($F$8:F48,F48)-1, IF('Amputation Summary'!$Q$4=1, RANK(T48,T$8:T$87,1)+COUNTIF($T$8:T48,T48)-1))</f>
        <v>65</v>
      </c>
      <c r="AA48" s="32">
        <f>IF('Amputation Summary'!$Q$4=2, U48, IF('Amputation Summary'!$Q$4=1, O48))</f>
        <v>137</v>
      </c>
      <c r="AB48" s="32">
        <f>IF('Amputation Summary'!$Q$4=2, X48, IF('Amputation Summary'!$Q$4=1, Q48))</f>
        <v>52.504640340805054</v>
      </c>
      <c r="AC48" s="32">
        <f>IF('Amputation Summary'!$Q$4=2, Y48, IF('Amputation Summary'!$Q$4=1, S48))</f>
        <v>137.63517737388611</v>
      </c>
    </row>
    <row r="49" spans="1:29" x14ac:dyDescent="0.25">
      <c r="A49" t="s">
        <v>164</v>
      </c>
      <c r="B49" s="4" t="s">
        <v>165</v>
      </c>
      <c r="C49" s="24">
        <v>86</v>
      </c>
      <c r="D49" s="13" t="s">
        <v>474</v>
      </c>
      <c r="E49" s="19" t="s">
        <v>820</v>
      </c>
      <c r="F49" s="25">
        <v>0.59</v>
      </c>
      <c r="G49" s="23">
        <v>1</v>
      </c>
      <c r="H49" s="23">
        <v>0.98799999999999999</v>
      </c>
      <c r="I49" s="23">
        <v>4.1000000000000002E-2</v>
      </c>
      <c r="J49" t="s">
        <v>164</v>
      </c>
      <c r="K49">
        <f t="shared" si="6"/>
        <v>4</v>
      </c>
      <c r="L49">
        <f t="shared" si="7"/>
        <v>4</v>
      </c>
      <c r="M49" s="32">
        <f>IF('Amputation Summary'!$Q$33=2, RANK(H49,H$8:H$87,1)+COUNTIF($H$8:H49,H49)-1, IF('Amputation Summary'!$Q$33=1, RANK(G49,G$8:G$87,1)+COUNTIF($G$8:G49,G49)-1))</f>
        <v>78</v>
      </c>
      <c r="N49" s="23">
        <f>IF('Amputation Summary'!$Q$33=2, H49, IF('Amputation Summary'!$Q$33=1, G49))</f>
        <v>0.98799999999999999</v>
      </c>
      <c r="O49" s="24">
        <v>8</v>
      </c>
      <c r="P49" s="32">
        <v>4</v>
      </c>
      <c r="Q49" s="32">
        <v>4</v>
      </c>
      <c r="R49" s="32">
        <v>24</v>
      </c>
      <c r="S49" s="32">
        <v>16</v>
      </c>
      <c r="T49" s="32">
        <v>48</v>
      </c>
      <c r="U49" s="32">
        <f t="shared" si="3"/>
        <v>59</v>
      </c>
      <c r="V49" s="25">
        <v>37.730705738067627</v>
      </c>
      <c r="W49" s="25">
        <v>92.259067296981812</v>
      </c>
      <c r="X49" s="25">
        <f t="shared" si="4"/>
        <v>21.269294261932373</v>
      </c>
      <c r="Y49" s="25">
        <f t="shared" si="5"/>
        <v>54.528361558914185</v>
      </c>
      <c r="Z49" s="32">
        <f>IF('Amputation Summary'!$Q$4=2, RANK(F49,F$8:F$87,1)+COUNTIF($F$8:F49,F49)-1, IF('Amputation Summary'!$Q$4=1, RANK(T49,T$8:T$87,1)+COUNTIF($T$8:T49,T49)-1))</f>
        <v>15</v>
      </c>
      <c r="AA49" s="32">
        <f>IF('Amputation Summary'!$Q$4=2, U49, IF('Amputation Summary'!$Q$4=1, O49))</f>
        <v>59</v>
      </c>
      <c r="AB49" s="32">
        <f>IF('Amputation Summary'!$Q$4=2, X49, IF('Amputation Summary'!$Q$4=1, Q49))</f>
        <v>21.269294261932373</v>
      </c>
      <c r="AC49" s="32">
        <f>IF('Amputation Summary'!$Q$4=2, Y49, IF('Amputation Summary'!$Q$4=1, S49))</f>
        <v>54.528361558914185</v>
      </c>
    </row>
    <row r="50" spans="1:29" x14ac:dyDescent="0.25">
      <c r="A50" t="s">
        <v>166</v>
      </c>
      <c r="B50" s="4" t="s">
        <v>167</v>
      </c>
      <c r="C50" s="24">
        <v>90</v>
      </c>
      <c r="D50" s="13" t="s">
        <v>475</v>
      </c>
      <c r="E50" s="19" t="s">
        <v>634</v>
      </c>
      <c r="F50" s="25">
        <v>0.34</v>
      </c>
      <c r="G50" s="23">
        <v>0.94399999999999995</v>
      </c>
      <c r="H50" s="23">
        <v>0.84399999999999997</v>
      </c>
      <c r="I50" s="23">
        <v>5.7000000000000002E-2</v>
      </c>
      <c r="J50" t="s">
        <v>166</v>
      </c>
      <c r="K50">
        <f t="shared" si="6"/>
        <v>3</v>
      </c>
      <c r="L50">
        <f t="shared" si="7"/>
        <v>3</v>
      </c>
      <c r="M50" s="32">
        <f>IF('Amputation Summary'!$Q$33=2, RANK(H50,H$8:H$87,1)+COUNTIF($H$8:H50,H50)-1, IF('Amputation Summary'!$Q$33=1, RANK(G50,G$8:G$87,1)+COUNTIF($G$8:G50,G50)-1))</f>
        <v>48</v>
      </c>
      <c r="N50" s="23">
        <f>IF('Amputation Summary'!$Q$33=2, H50, IF('Amputation Summary'!$Q$33=1, G50))</f>
        <v>0.84399999999999997</v>
      </c>
      <c r="O50" s="24">
        <v>3</v>
      </c>
      <c r="P50" s="32">
        <v>1</v>
      </c>
      <c r="Q50" s="32">
        <v>2</v>
      </c>
      <c r="R50" s="32">
        <v>10</v>
      </c>
      <c r="S50" s="32">
        <v>7</v>
      </c>
      <c r="T50" s="32">
        <v>2</v>
      </c>
      <c r="U50" s="32">
        <f t="shared" si="3"/>
        <v>34</v>
      </c>
      <c r="V50" s="25">
        <v>20.685021579265594</v>
      </c>
      <c r="W50" s="25">
        <v>55.885851383209229</v>
      </c>
      <c r="X50" s="25">
        <f t="shared" si="4"/>
        <v>13.314978420734406</v>
      </c>
      <c r="Y50" s="25">
        <f t="shared" si="5"/>
        <v>35.200829803943634</v>
      </c>
      <c r="Z50" s="32">
        <f>IF('Amputation Summary'!$Q$4=2, RANK(F50,F$8:F$87,1)+COUNTIF($F$8:F50,F50)-1, IF('Amputation Summary'!$Q$4=1, RANK(T50,T$8:T$87,1)+COUNTIF($T$8:T50,T50)-1))</f>
        <v>5</v>
      </c>
      <c r="AA50" s="32">
        <f>IF('Amputation Summary'!$Q$4=2, U50, IF('Amputation Summary'!$Q$4=1, O50))</f>
        <v>34</v>
      </c>
      <c r="AB50" s="32">
        <f>IF('Amputation Summary'!$Q$4=2, X50, IF('Amputation Summary'!$Q$4=1, Q50))</f>
        <v>13.314978420734406</v>
      </c>
      <c r="AC50" s="32">
        <f>IF('Amputation Summary'!$Q$4=2, Y50, IF('Amputation Summary'!$Q$4=1, S50))</f>
        <v>35.200829803943634</v>
      </c>
    </row>
    <row r="51" spans="1:29" x14ac:dyDescent="0.25">
      <c r="A51" t="s">
        <v>168</v>
      </c>
      <c r="B51" s="4" t="s">
        <v>169</v>
      </c>
      <c r="C51" s="24">
        <v>174</v>
      </c>
      <c r="D51" s="13" t="s">
        <v>476</v>
      </c>
      <c r="E51" s="19" t="s">
        <v>821</v>
      </c>
      <c r="F51" s="25">
        <v>1.1599999999999999</v>
      </c>
      <c r="G51" s="23">
        <v>0.54</v>
      </c>
      <c r="H51" s="23">
        <v>0</v>
      </c>
      <c r="I51" s="23">
        <v>4.3999999999999997E-2</v>
      </c>
      <c r="J51" t="s">
        <v>168</v>
      </c>
      <c r="K51">
        <f t="shared" si="6"/>
        <v>1</v>
      </c>
      <c r="L51">
        <f t="shared" si="7"/>
        <v>1</v>
      </c>
      <c r="M51" s="32">
        <f>IF('Amputation Summary'!$Q$33=2, RANK(H51,H$8:H$87,1)+COUNTIF($H$8:H51,H51)-1, IF('Amputation Summary'!$Q$33=1, RANK(G51,G$8:G$87,1)+COUNTIF($G$8:G51,G51)-1))</f>
        <v>6</v>
      </c>
      <c r="N51" s="23">
        <f>IF('Amputation Summary'!$Q$33=2, H51, IF('Amputation Summary'!$Q$33=1, G51))</f>
        <v>0</v>
      </c>
      <c r="O51" s="24">
        <v>14</v>
      </c>
      <c r="P51" s="32">
        <v>5</v>
      </c>
      <c r="Q51" s="32">
        <v>9</v>
      </c>
      <c r="R51" s="32">
        <v>57</v>
      </c>
      <c r="S51" s="32">
        <v>43</v>
      </c>
      <c r="T51" s="32">
        <v>71</v>
      </c>
      <c r="U51" s="32">
        <f t="shared" si="3"/>
        <v>115.99999999999999</v>
      </c>
      <c r="V51" s="25">
        <v>86.135679483413696</v>
      </c>
      <c r="W51" s="25">
        <v>156.21864795684814</v>
      </c>
      <c r="X51" s="25">
        <f t="shared" si="4"/>
        <v>29.86432051658629</v>
      </c>
      <c r="Y51" s="25">
        <f t="shared" si="5"/>
        <v>70.082968473434448</v>
      </c>
      <c r="Z51" s="32">
        <f>IF('Amputation Summary'!$Q$4=2, RANK(F51,F$8:F$87,1)+COUNTIF($F$8:F51,F51)-1, IF('Amputation Summary'!$Q$4=1, RANK(T51,T$8:T$87,1)+COUNTIF($T$8:T51,T51)-1))</f>
        <v>53</v>
      </c>
      <c r="AA51" s="32">
        <f>IF('Amputation Summary'!$Q$4=2, U51, IF('Amputation Summary'!$Q$4=1, O51))</f>
        <v>115.99999999999999</v>
      </c>
      <c r="AB51" s="32">
        <f>IF('Amputation Summary'!$Q$4=2, X51, IF('Amputation Summary'!$Q$4=1, Q51))</f>
        <v>29.86432051658629</v>
      </c>
      <c r="AC51" s="32">
        <f>IF('Amputation Summary'!$Q$4=2, Y51, IF('Amputation Summary'!$Q$4=1, S51))</f>
        <v>70.082968473434448</v>
      </c>
    </row>
    <row r="52" spans="1:29" x14ac:dyDescent="0.25">
      <c r="A52" t="s">
        <v>172</v>
      </c>
      <c r="B52" s="4" t="s">
        <v>173</v>
      </c>
      <c r="C52" s="24" t="e">
        <v>#N/A</v>
      </c>
      <c r="D52" s="24" t="e">
        <v>#N/A</v>
      </c>
      <c r="E52" s="24" t="e">
        <v>#N/A</v>
      </c>
      <c r="F52" s="24" t="s">
        <v>772</v>
      </c>
      <c r="G52" s="24" t="s">
        <v>772</v>
      </c>
      <c r="H52" s="24" t="s">
        <v>772</v>
      </c>
      <c r="I52" s="24" t="e">
        <v>#N/A</v>
      </c>
      <c r="J52" t="s">
        <v>172</v>
      </c>
      <c r="K52">
        <f t="shared" si="6"/>
        <v>4</v>
      </c>
      <c r="L52">
        <f t="shared" si="7"/>
        <v>4</v>
      </c>
      <c r="M52" s="32" t="e">
        <f>IF('Amputation Summary'!$Q$33=2, RANK(H52,H$8:H$87,1)+COUNTIF($H$8:H52,H52)-1, IF('Amputation Summary'!$Q$33=1, RANK(G52,G$8:G$87,1)+COUNTIF($G$8:G52,G52)-1))</f>
        <v>#VALUE!</v>
      </c>
      <c r="N52" s="23" t="str">
        <f>IF('Amputation Summary'!$Q$33=2, H52, IF('Amputation Summary'!$Q$33=1, G52))</f>
        <v>xx</v>
      </c>
      <c r="O52" s="24" t="s">
        <v>772</v>
      </c>
      <c r="P52" s="32" t="s">
        <v>772</v>
      </c>
      <c r="Q52" s="32" t="s">
        <v>772</v>
      </c>
      <c r="R52" s="32" t="s">
        <v>772</v>
      </c>
      <c r="S52" s="32" t="s">
        <v>772</v>
      </c>
      <c r="T52" s="32" t="s">
        <v>772</v>
      </c>
      <c r="U52" s="32" t="e">
        <f t="shared" si="3"/>
        <v>#VALUE!</v>
      </c>
      <c r="V52" s="25" t="e">
        <v>#VALUE!</v>
      </c>
      <c r="W52" s="25" t="e">
        <v>#VALUE!</v>
      </c>
      <c r="X52" s="25" t="e">
        <f t="shared" si="4"/>
        <v>#VALUE!</v>
      </c>
      <c r="Y52" s="25" t="e">
        <f t="shared" si="5"/>
        <v>#VALUE!</v>
      </c>
      <c r="Z52" s="32" t="e">
        <f>IF('Amputation Summary'!$Q$4=2, RANK(F52,F$8:F$87,1)+COUNTIF($F$8:F52,F52)-1, IF('Amputation Summary'!$Q$4=1, RANK(T52,T$8:T$87,1)+COUNTIF($T$8:T52,T52)-1))</f>
        <v>#VALUE!</v>
      </c>
      <c r="AA52" s="32" t="e">
        <f>IF('Amputation Summary'!$Q$4=2, U52, IF('Amputation Summary'!$Q$4=1, O52))</f>
        <v>#VALUE!</v>
      </c>
      <c r="AB52" s="32" t="e">
        <f>IF('Amputation Summary'!$Q$4=2, X52, IF('Amputation Summary'!$Q$4=1, Q52))</f>
        <v>#VALUE!</v>
      </c>
      <c r="AC52" s="32" t="e">
        <f>IF('Amputation Summary'!$Q$4=2, Y52, IF('Amputation Summary'!$Q$4=1, S52))</f>
        <v>#VALUE!</v>
      </c>
    </row>
    <row r="53" spans="1:29" x14ac:dyDescent="0.25">
      <c r="A53" t="s">
        <v>174</v>
      </c>
      <c r="B53" s="4" t="s">
        <v>175</v>
      </c>
      <c r="C53" s="24">
        <v>48</v>
      </c>
      <c r="D53" s="13" t="s">
        <v>479</v>
      </c>
      <c r="E53" s="19" t="s">
        <v>823</v>
      </c>
      <c r="F53" s="25">
        <v>1.25</v>
      </c>
      <c r="G53" s="23">
        <v>1</v>
      </c>
      <c r="H53" s="23">
        <v>0.97899999999999998</v>
      </c>
      <c r="I53" s="23">
        <v>4.3999999999999997E-2</v>
      </c>
      <c r="J53" t="s">
        <v>174</v>
      </c>
      <c r="K53">
        <f t="shared" si="6"/>
        <v>4</v>
      </c>
      <c r="L53">
        <f t="shared" si="7"/>
        <v>4</v>
      </c>
      <c r="M53" s="32">
        <f>IF('Amputation Summary'!$Q$33=2, RANK(H53,H$8:H$87,1)+COUNTIF($H$8:H53,H53)-1, IF('Amputation Summary'!$Q$33=1, RANK(G53,G$8:G$87,1)+COUNTIF($G$8:G53,G53)-1))</f>
        <v>74</v>
      </c>
      <c r="N53" s="23">
        <f>IF('Amputation Summary'!$Q$33=2, H53, IF('Amputation Summary'!$Q$33=1, G53))</f>
        <v>0.97899999999999998</v>
      </c>
      <c r="O53" s="24">
        <v>9</v>
      </c>
      <c r="P53" s="32">
        <v>5</v>
      </c>
      <c r="Q53" s="32">
        <v>4</v>
      </c>
      <c r="R53" s="32">
        <v>19</v>
      </c>
      <c r="S53" s="32">
        <v>10</v>
      </c>
      <c r="T53" s="32">
        <v>58</v>
      </c>
      <c r="U53" s="32">
        <f t="shared" si="3"/>
        <v>125</v>
      </c>
      <c r="V53" s="25">
        <v>70.953071117401123</v>
      </c>
      <c r="W53" s="25">
        <v>220.21598815917969</v>
      </c>
      <c r="X53" s="25">
        <f t="shared" si="4"/>
        <v>54.046928882598877</v>
      </c>
      <c r="Y53" s="25">
        <f t="shared" si="5"/>
        <v>149.26291704177856</v>
      </c>
      <c r="Z53" s="32">
        <f>IF('Amputation Summary'!$Q$4=2, RANK(F53,F$8:F$87,1)+COUNTIF($F$8:F53,F53)-1, IF('Amputation Summary'!$Q$4=1, RANK(T53,T$8:T$87,1)+COUNTIF($T$8:T53,T53)-1))</f>
        <v>62</v>
      </c>
      <c r="AA53" s="32">
        <f>IF('Amputation Summary'!$Q$4=2, U53, IF('Amputation Summary'!$Q$4=1, O53))</f>
        <v>125</v>
      </c>
      <c r="AB53" s="32">
        <f>IF('Amputation Summary'!$Q$4=2, X53, IF('Amputation Summary'!$Q$4=1, Q53))</f>
        <v>54.046928882598877</v>
      </c>
      <c r="AC53" s="32">
        <f>IF('Amputation Summary'!$Q$4=2, Y53, IF('Amputation Summary'!$Q$4=1, S53))</f>
        <v>149.26291704177856</v>
      </c>
    </row>
    <row r="54" spans="1:29" x14ac:dyDescent="0.25">
      <c r="A54" t="s">
        <v>83</v>
      </c>
      <c r="B54" s="4" t="s">
        <v>84</v>
      </c>
      <c r="C54" s="24">
        <v>193</v>
      </c>
      <c r="D54" s="13" t="s">
        <v>438</v>
      </c>
      <c r="E54" s="19" t="s">
        <v>339</v>
      </c>
      <c r="F54" s="25">
        <v>0.91</v>
      </c>
      <c r="G54" s="23">
        <v>0.35199999999999998</v>
      </c>
      <c r="H54" s="23">
        <v>0.65300000000000002</v>
      </c>
      <c r="I54" s="23">
        <v>1.9E-2</v>
      </c>
      <c r="J54" t="s">
        <v>83</v>
      </c>
      <c r="K54">
        <f t="shared" si="6"/>
        <v>1</v>
      </c>
      <c r="L54">
        <f t="shared" si="7"/>
        <v>2</v>
      </c>
      <c r="M54" s="32">
        <f>IF('Amputation Summary'!$Q$33=2, RANK(H54,H$8:H$87,1)+COUNTIF($H$8:H54,H54)-1, IF('Amputation Summary'!$Q$33=1, RANK(G54,G$8:G$87,1)+COUNTIF($G$8:G54,G54)-1))</f>
        <v>30</v>
      </c>
      <c r="N54" s="23">
        <f>IF('Amputation Summary'!$Q$33=2, H54, IF('Amputation Summary'!$Q$33=1, G54))</f>
        <v>0.65300000000000002</v>
      </c>
      <c r="O54" s="24">
        <v>4</v>
      </c>
      <c r="P54" s="32">
        <v>2</v>
      </c>
      <c r="Q54" s="32">
        <v>2</v>
      </c>
      <c r="R54" s="32">
        <v>11</v>
      </c>
      <c r="S54" s="32">
        <v>7</v>
      </c>
      <c r="T54" s="32">
        <v>4</v>
      </c>
      <c r="U54" s="32">
        <f t="shared" si="3"/>
        <v>91</v>
      </c>
      <c r="V54" s="25">
        <v>68.606305122375488</v>
      </c>
      <c r="W54" s="25">
        <v>120.70319652557373</v>
      </c>
      <c r="X54" s="25">
        <f t="shared" si="4"/>
        <v>22.393694877624512</v>
      </c>
      <c r="Y54" s="25">
        <f t="shared" si="5"/>
        <v>52.096891403198242</v>
      </c>
      <c r="Z54" s="32">
        <f>IF('Amputation Summary'!$Q$4=2, RANK(F54,F$8:F$87,1)+COUNTIF($F$8:F54,F54)-1, IF('Amputation Summary'!$Q$4=1, RANK(T54,T$8:T$87,1)+COUNTIF($T$8:T54,T54)-1))</f>
        <v>40</v>
      </c>
      <c r="AA54" s="32">
        <f>IF('Amputation Summary'!$Q$4=2, U54, IF('Amputation Summary'!$Q$4=1, O54))</f>
        <v>91</v>
      </c>
      <c r="AB54" s="32">
        <f>IF('Amputation Summary'!$Q$4=2, X54, IF('Amputation Summary'!$Q$4=1, Q54))</f>
        <v>22.393694877624512</v>
      </c>
      <c r="AC54" s="32">
        <f>IF('Amputation Summary'!$Q$4=2, Y54, IF('Amputation Summary'!$Q$4=1, S54))</f>
        <v>52.096891403198242</v>
      </c>
    </row>
    <row r="55" spans="1:29" x14ac:dyDescent="0.25">
      <c r="A55" t="s">
        <v>124</v>
      </c>
      <c r="B55" s="4" t="s">
        <v>125</v>
      </c>
      <c r="C55" s="24">
        <v>208</v>
      </c>
      <c r="D55" s="13" t="s">
        <v>455</v>
      </c>
      <c r="E55" s="19" t="s">
        <v>809</v>
      </c>
      <c r="F55" s="25">
        <v>0.67</v>
      </c>
      <c r="G55" s="23">
        <v>0.97099999999999997</v>
      </c>
      <c r="H55" s="23">
        <v>0.86499999999999999</v>
      </c>
      <c r="I55" s="23">
        <v>1.4E-2</v>
      </c>
      <c r="J55" t="s">
        <v>124</v>
      </c>
      <c r="K55">
        <f t="shared" si="6"/>
        <v>4</v>
      </c>
      <c r="L55">
        <f t="shared" si="7"/>
        <v>3</v>
      </c>
      <c r="M55" s="32">
        <f>IF('Amputation Summary'!$Q$33=2, RANK(H55,H$8:H$87,1)+COUNTIF($H$8:H55,H55)-1, IF('Amputation Summary'!$Q$33=1, RANK(G55,G$8:G$87,1)+COUNTIF($G$8:G55,G55)-1))</f>
        <v>53</v>
      </c>
      <c r="N55" s="23">
        <f>IF('Amputation Summary'!$Q$33=2, H55, IF('Amputation Summary'!$Q$33=1, G55))</f>
        <v>0.86499999999999999</v>
      </c>
      <c r="O55" s="24">
        <v>7</v>
      </c>
      <c r="P55" s="32">
        <v>3</v>
      </c>
      <c r="Q55" s="32">
        <v>4</v>
      </c>
      <c r="R55" s="32">
        <v>19</v>
      </c>
      <c r="S55" s="32">
        <v>12</v>
      </c>
      <c r="T55" s="32">
        <v>29</v>
      </c>
      <c r="U55" s="32">
        <f t="shared" si="3"/>
        <v>67</v>
      </c>
      <c r="V55" s="25">
        <v>50.670790672302246</v>
      </c>
      <c r="W55" s="25">
        <v>88.591474294662476</v>
      </c>
      <c r="X55" s="25">
        <f t="shared" si="4"/>
        <v>16.329209327697754</v>
      </c>
      <c r="Y55" s="25">
        <f t="shared" si="5"/>
        <v>37.920683622360229</v>
      </c>
      <c r="Z55" s="32">
        <f>IF('Amputation Summary'!$Q$4=2, RANK(F55,F$8:F$87,1)+COUNTIF($F$8:F55,F55)-1, IF('Amputation Summary'!$Q$4=1, RANK(T55,T$8:T$87,1)+COUNTIF($T$8:T55,T55)-1))</f>
        <v>22</v>
      </c>
      <c r="AA55" s="32">
        <f>IF('Amputation Summary'!$Q$4=2, U55, IF('Amputation Summary'!$Q$4=1, O55))</f>
        <v>67</v>
      </c>
      <c r="AB55" s="32">
        <f>IF('Amputation Summary'!$Q$4=2, X55, IF('Amputation Summary'!$Q$4=1, Q55))</f>
        <v>16.329209327697754</v>
      </c>
      <c r="AC55" s="32">
        <f>IF('Amputation Summary'!$Q$4=2, Y55, IF('Amputation Summary'!$Q$4=1, S55))</f>
        <v>37.920683622360229</v>
      </c>
    </row>
    <row r="56" spans="1:29" x14ac:dyDescent="0.25">
      <c r="A56" t="s">
        <v>89</v>
      </c>
      <c r="B56" s="4" t="s">
        <v>90</v>
      </c>
      <c r="C56" s="24">
        <v>139</v>
      </c>
      <c r="D56" s="13" t="s">
        <v>440</v>
      </c>
      <c r="E56" s="19" t="s">
        <v>542</v>
      </c>
      <c r="F56" s="25">
        <v>0.94</v>
      </c>
      <c r="G56" s="23">
        <v>0.97799999999999998</v>
      </c>
      <c r="H56" s="23">
        <v>0.108</v>
      </c>
      <c r="I56" s="23">
        <v>2.9000000000000001E-2</v>
      </c>
      <c r="J56" t="s">
        <v>89</v>
      </c>
      <c r="K56">
        <f t="shared" si="6"/>
        <v>4</v>
      </c>
      <c r="L56">
        <f t="shared" si="7"/>
        <v>1</v>
      </c>
      <c r="M56" s="32">
        <f>IF('Amputation Summary'!$Q$33=2, RANK(H56,H$8:H$87,1)+COUNTIF($H$8:H56,H56)-1, IF('Amputation Summary'!$Q$33=1, RANK(G56,G$8:G$87,1)+COUNTIF($G$8:G56,G56)-1))</f>
        <v>10</v>
      </c>
      <c r="N56" s="23">
        <f>IF('Amputation Summary'!$Q$33=2, H56, IF('Amputation Summary'!$Q$33=1, G56))</f>
        <v>0.108</v>
      </c>
      <c r="O56" s="24">
        <v>5</v>
      </c>
      <c r="P56" s="32">
        <v>2</v>
      </c>
      <c r="Q56" s="32">
        <v>3</v>
      </c>
      <c r="R56" s="32">
        <v>10</v>
      </c>
      <c r="S56" s="32">
        <v>5</v>
      </c>
      <c r="T56" s="32">
        <v>5</v>
      </c>
      <c r="U56" s="32">
        <f t="shared" si="3"/>
        <v>94</v>
      </c>
      <c r="V56" s="25">
        <v>67.340284585952759</v>
      </c>
      <c r="W56" s="25">
        <v>131.21417760848999</v>
      </c>
      <c r="X56" s="25">
        <f t="shared" si="4"/>
        <v>26.659715414047241</v>
      </c>
      <c r="Y56" s="25">
        <f t="shared" si="5"/>
        <v>63.873893022537231</v>
      </c>
      <c r="Z56" s="32">
        <f>IF('Amputation Summary'!$Q$4=2, RANK(F56,F$8:F$87,1)+COUNTIF($F$8:F56,F56)-1, IF('Amputation Summary'!$Q$4=1, RANK(T56,T$8:T$87,1)+COUNTIF($T$8:T56,T56)-1))</f>
        <v>42</v>
      </c>
      <c r="AA56" s="32">
        <f>IF('Amputation Summary'!$Q$4=2, U56, IF('Amputation Summary'!$Q$4=1, O56))</f>
        <v>94</v>
      </c>
      <c r="AB56" s="32">
        <f>IF('Amputation Summary'!$Q$4=2, X56, IF('Amputation Summary'!$Q$4=1, Q56))</f>
        <v>26.659715414047241</v>
      </c>
      <c r="AC56" s="32">
        <f>IF('Amputation Summary'!$Q$4=2, Y56, IF('Amputation Summary'!$Q$4=1, S56))</f>
        <v>63.873893022537231</v>
      </c>
    </row>
    <row r="57" spans="1:29" x14ac:dyDescent="0.25">
      <c r="A57" t="s">
        <v>91</v>
      </c>
      <c r="B57" s="4" t="s">
        <v>92</v>
      </c>
      <c r="C57" s="24">
        <v>116</v>
      </c>
      <c r="D57" s="13" t="s">
        <v>441</v>
      </c>
      <c r="E57" s="19" t="s">
        <v>399</v>
      </c>
      <c r="F57" s="25">
        <v>0.54</v>
      </c>
      <c r="G57" s="23">
        <v>0.83599999999999997</v>
      </c>
      <c r="H57" s="23">
        <v>0.75900000000000001</v>
      </c>
      <c r="I57" s="23">
        <v>4.9000000000000002E-2</v>
      </c>
      <c r="J57" t="s">
        <v>91</v>
      </c>
      <c r="K57">
        <f t="shared" si="6"/>
        <v>2</v>
      </c>
      <c r="L57">
        <f t="shared" si="7"/>
        <v>2</v>
      </c>
      <c r="M57" s="32">
        <f>IF('Amputation Summary'!$Q$33=2, RANK(H57,H$8:H$87,1)+COUNTIF($H$8:H57,H57)-1, IF('Amputation Summary'!$Q$33=1, RANK(G57,G$8:G$87,1)+COUNTIF($G$8:G57,G57)-1))</f>
        <v>36</v>
      </c>
      <c r="N57" s="23">
        <f>IF('Amputation Summary'!$Q$33=2, H57, IF('Amputation Summary'!$Q$33=1, G57))</f>
        <v>0.75900000000000001</v>
      </c>
      <c r="O57" s="24">
        <v>6</v>
      </c>
      <c r="P57" s="32">
        <v>2</v>
      </c>
      <c r="Q57" s="32">
        <v>4</v>
      </c>
      <c r="R57" s="32">
        <v>13</v>
      </c>
      <c r="S57" s="32">
        <v>7</v>
      </c>
      <c r="T57" s="32">
        <v>18</v>
      </c>
      <c r="U57" s="32">
        <f t="shared" si="3"/>
        <v>54</v>
      </c>
      <c r="V57" s="25">
        <v>36.736297607421875</v>
      </c>
      <c r="W57" s="25">
        <v>79.37653660774231</v>
      </c>
      <c r="X57" s="25">
        <f t="shared" si="4"/>
        <v>17.263702392578125</v>
      </c>
      <c r="Y57" s="25">
        <f t="shared" si="5"/>
        <v>42.640239000320435</v>
      </c>
      <c r="Z57" s="32">
        <f>IF('Amputation Summary'!$Q$4=2, RANK(F57,F$8:F$87,1)+COUNTIF($F$8:F57,F57)-1, IF('Amputation Summary'!$Q$4=1, RANK(T57,T$8:T$87,1)+COUNTIF($T$8:T57,T57)-1))</f>
        <v>13</v>
      </c>
      <c r="AA57" s="32">
        <f>IF('Amputation Summary'!$Q$4=2, U57, IF('Amputation Summary'!$Q$4=1, O57))</f>
        <v>54</v>
      </c>
      <c r="AB57" s="32">
        <f>IF('Amputation Summary'!$Q$4=2, X57, IF('Amputation Summary'!$Q$4=1, Q57))</f>
        <v>17.263702392578125</v>
      </c>
      <c r="AC57" s="32">
        <f>IF('Amputation Summary'!$Q$4=2, Y57, IF('Amputation Summary'!$Q$4=1, S57))</f>
        <v>42.640239000320435</v>
      </c>
    </row>
    <row r="58" spans="1:29" x14ac:dyDescent="0.25">
      <c r="A58" t="s">
        <v>31</v>
      </c>
      <c r="B58" s="4" t="s">
        <v>32</v>
      </c>
      <c r="C58" s="24">
        <v>13</v>
      </c>
      <c r="D58" s="13" t="s">
        <v>418</v>
      </c>
      <c r="E58" s="19" t="s">
        <v>786</v>
      </c>
      <c r="F58" s="25">
        <v>0.88</v>
      </c>
      <c r="G58" s="23">
        <v>1</v>
      </c>
      <c r="H58" s="23">
        <v>0.92300000000000004</v>
      </c>
      <c r="I58" s="23">
        <v>0</v>
      </c>
      <c r="J58" t="s">
        <v>31</v>
      </c>
      <c r="K58">
        <f t="shared" si="6"/>
        <v>4</v>
      </c>
      <c r="L58">
        <f t="shared" si="7"/>
        <v>4</v>
      </c>
      <c r="M58" s="32">
        <f>IF('Amputation Summary'!$Q$33=2, RANK(H58,H$8:H$87,1)+COUNTIF($H$8:H58,H58)-1, IF('Amputation Summary'!$Q$33=1, RANK(G58,G$8:G$87,1)+COUNTIF($G$8:G58,G58)-1))</f>
        <v>64</v>
      </c>
      <c r="N58" s="23">
        <f>IF('Amputation Summary'!$Q$33=2, H58, IF('Amputation Summary'!$Q$33=1, G58))</f>
        <v>0.92300000000000004</v>
      </c>
      <c r="O58" s="24">
        <v>9</v>
      </c>
      <c r="P58" s="32">
        <v>4</v>
      </c>
      <c r="Q58" s="32">
        <v>5</v>
      </c>
      <c r="R58" s="32">
        <v>27</v>
      </c>
      <c r="S58" s="32">
        <v>18</v>
      </c>
      <c r="T58" s="32">
        <v>57</v>
      </c>
      <c r="U58" s="32">
        <f t="shared" si="3"/>
        <v>88</v>
      </c>
      <c r="V58" s="25">
        <v>28.788179159164429</v>
      </c>
      <c r="W58" s="25">
        <v>268.99929046630859</v>
      </c>
      <c r="X58" s="25">
        <f t="shared" si="4"/>
        <v>59.211820840835571</v>
      </c>
      <c r="Y58" s="25">
        <f t="shared" si="5"/>
        <v>240.21111130714417</v>
      </c>
      <c r="Z58" s="32">
        <f>IF('Amputation Summary'!$Q$4=2, RANK(F58,F$8:F$87,1)+COUNTIF($F$8:F58,F58)-1, IF('Amputation Summary'!$Q$4=1, RANK(T58,T$8:T$87,1)+COUNTIF($T$8:T58,T58)-1))</f>
        <v>39</v>
      </c>
      <c r="AA58" s="32">
        <f>IF('Amputation Summary'!$Q$4=2, U58, IF('Amputation Summary'!$Q$4=1, O58))</f>
        <v>88</v>
      </c>
      <c r="AB58" s="32">
        <f>IF('Amputation Summary'!$Q$4=2, X58, IF('Amputation Summary'!$Q$4=1, Q58))</f>
        <v>59.211820840835571</v>
      </c>
      <c r="AC58" s="32">
        <f>IF('Amputation Summary'!$Q$4=2, Y58, IF('Amputation Summary'!$Q$4=1, S58))</f>
        <v>240.21111130714417</v>
      </c>
    </row>
    <row r="59" spans="1:29" x14ac:dyDescent="0.25">
      <c r="A59" t="s">
        <v>144</v>
      </c>
      <c r="B59" s="4" t="s">
        <v>145</v>
      </c>
      <c r="C59" s="24">
        <v>272</v>
      </c>
      <c r="D59" s="13" t="s">
        <v>465</v>
      </c>
      <c r="E59" s="19" t="s">
        <v>542</v>
      </c>
      <c r="F59" s="25">
        <v>1.1000000000000001</v>
      </c>
      <c r="G59" s="23">
        <v>0.51800000000000002</v>
      </c>
      <c r="H59" s="23">
        <v>0.89700000000000002</v>
      </c>
      <c r="I59" s="23">
        <v>7.5999999999999998E-2</v>
      </c>
      <c r="J59" t="s">
        <v>144</v>
      </c>
      <c r="K59">
        <f t="shared" si="6"/>
        <v>1</v>
      </c>
      <c r="L59">
        <f t="shared" si="7"/>
        <v>3</v>
      </c>
      <c r="M59" s="32">
        <f>IF('Amputation Summary'!$Q$33=2, RANK(H59,H$8:H$87,1)+COUNTIF($H$8:H59,H59)-1, IF('Amputation Summary'!$Q$33=1, RANK(G59,G$8:G$87,1)+COUNTIF($G$8:G59,G59)-1))</f>
        <v>59</v>
      </c>
      <c r="N59" s="23">
        <f>IF('Amputation Summary'!$Q$33=2, H59, IF('Amputation Summary'!$Q$33=1, G59))</f>
        <v>0.89700000000000002</v>
      </c>
      <c r="O59" s="24">
        <v>5</v>
      </c>
      <c r="P59" s="32">
        <v>2</v>
      </c>
      <c r="Q59" s="32">
        <v>3</v>
      </c>
      <c r="R59" s="32">
        <v>10</v>
      </c>
      <c r="S59" s="32">
        <v>5</v>
      </c>
      <c r="T59" s="32">
        <v>7</v>
      </c>
      <c r="U59" s="32">
        <f t="shared" si="3"/>
        <v>110.00000000000001</v>
      </c>
      <c r="V59" s="25">
        <v>86.724603176116943</v>
      </c>
      <c r="W59" s="25">
        <v>139.52212333679199</v>
      </c>
      <c r="X59" s="25">
        <f t="shared" si="4"/>
        <v>23.275396823883071</v>
      </c>
      <c r="Y59" s="25">
        <f t="shared" si="5"/>
        <v>52.797520160675049</v>
      </c>
      <c r="Z59" s="32">
        <f>IF('Amputation Summary'!$Q$4=2, RANK(F59,F$8:F$87,1)+COUNTIF($F$8:F59,F59)-1, IF('Amputation Summary'!$Q$4=1, RANK(T59,T$8:T$87,1)+COUNTIF($T$8:T59,T59)-1))</f>
        <v>49</v>
      </c>
      <c r="AA59" s="32">
        <f>IF('Amputation Summary'!$Q$4=2, U59, IF('Amputation Summary'!$Q$4=1, O59))</f>
        <v>110.00000000000001</v>
      </c>
      <c r="AB59" s="32">
        <f>IF('Amputation Summary'!$Q$4=2, X59, IF('Amputation Summary'!$Q$4=1, Q59))</f>
        <v>23.275396823883071</v>
      </c>
      <c r="AC59" s="32">
        <f>IF('Amputation Summary'!$Q$4=2, Y59, IF('Amputation Summary'!$Q$4=1, S59))</f>
        <v>52.797520160675049</v>
      </c>
    </row>
    <row r="60" spans="1:29" x14ac:dyDescent="0.25">
      <c r="A60" t="s">
        <v>118</v>
      </c>
      <c r="B60" s="4" t="s">
        <v>119</v>
      </c>
      <c r="C60" s="24">
        <v>78</v>
      </c>
      <c r="D60" s="13" t="s">
        <v>453</v>
      </c>
      <c r="E60" s="19" t="s">
        <v>809</v>
      </c>
      <c r="F60" s="25">
        <v>0.7</v>
      </c>
      <c r="G60" s="23">
        <v>0.83299999999999996</v>
      </c>
      <c r="H60" s="23">
        <v>0.78200000000000003</v>
      </c>
      <c r="I60" s="23">
        <v>5.8000000000000003E-2</v>
      </c>
      <c r="J60" t="s">
        <v>118</v>
      </c>
      <c r="K60">
        <f t="shared" si="6"/>
        <v>2</v>
      </c>
      <c r="L60">
        <f t="shared" si="7"/>
        <v>2</v>
      </c>
      <c r="M60" s="32">
        <f>IF('Amputation Summary'!$Q$33=2, RANK(H60,H$8:H$87,1)+COUNTIF($H$8:H60,H60)-1, IF('Amputation Summary'!$Q$33=1, RANK(G60,G$8:G$87,1)+COUNTIF($G$8:G60,G60)-1))</f>
        <v>39</v>
      </c>
      <c r="N60" s="23">
        <f>IF('Amputation Summary'!$Q$33=2, H60, IF('Amputation Summary'!$Q$33=1, G60))</f>
        <v>0.78200000000000003</v>
      </c>
      <c r="O60" s="24">
        <v>7</v>
      </c>
      <c r="P60" s="32">
        <v>3</v>
      </c>
      <c r="Q60" s="32">
        <v>4</v>
      </c>
      <c r="R60" s="32">
        <v>19</v>
      </c>
      <c r="S60" s="32">
        <v>12</v>
      </c>
      <c r="T60" s="32">
        <v>28</v>
      </c>
      <c r="U60" s="32">
        <f t="shared" si="3"/>
        <v>70</v>
      </c>
      <c r="V60" s="25">
        <v>44.743642210960388</v>
      </c>
      <c r="W60" s="25">
        <v>109.51277017593384</v>
      </c>
      <c r="X60" s="25">
        <f t="shared" si="4"/>
        <v>25.256357789039612</v>
      </c>
      <c r="Y60" s="25">
        <f t="shared" si="5"/>
        <v>64.76912796497345</v>
      </c>
      <c r="Z60" s="32">
        <f>IF('Amputation Summary'!$Q$4=2, RANK(F60,F$8:F$87,1)+COUNTIF($F$8:F60,F60)-1, IF('Amputation Summary'!$Q$4=1, RANK(T60,T$8:T$87,1)+COUNTIF($T$8:T60,T60)-1))</f>
        <v>26</v>
      </c>
      <c r="AA60" s="32">
        <f>IF('Amputation Summary'!$Q$4=2, U60, IF('Amputation Summary'!$Q$4=1, O60))</f>
        <v>70</v>
      </c>
      <c r="AB60" s="32">
        <f>IF('Amputation Summary'!$Q$4=2, X60, IF('Amputation Summary'!$Q$4=1, Q60))</f>
        <v>25.256357789039612</v>
      </c>
      <c r="AC60" s="32">
        <f>IF('Amputation Summary'!$Q$4=2, Y60, IF('Amputation Summary'!$Q$4=1, S60))</f>
        <v>64.76912796497345</v>
      </c>
    </row>
    <row r="61" spans="1:29" x14ac:dyDescent="0.25">
      <c r="A61" t="s">
        <v>128</v>
      </c>
      <c r="B61" s="4" t="s">
        <v>129</v>
      </c>
      <c r="C61" s="24">
        <v>178</v>
      </c>
      <c r="D61" s="13" t="s">
        <v>457</v>
      </c>
      <c r="E61" s="19" t="s">
        <v>811</v>
      </c>
      <c r="F61" s="25">
        <v>1.01</v>
      </c>
      <c r="G61" s="23">
        <v>0.80900000000000005</v>
      </c>
      <c r="H61" s="23">
        <v>1</v>
      </c>
      <c r="I61" s="23">
        <v>5.7000000000000002E-2</v>
      </c>
      <c r="J61" t="s">
        <v>128</v>
      </c>
      <c r="K61">
        <f t="shared" si="6"/>
        <v>2</v>
      </c>
      <c r="L61">
        <f t="shared" si="7"/>
        <v>4</v>
      </c>
      <c r="M61" s="32">
        <f>IF('Amputation Summary'!$Q$33=2, RANK(H61,H$8:H$87,1)+COUNTIF($H$8:H61,H61)-1, IF('Amputation Summary'!$Q$33=1, RANK(G61,G$8:G$87,1)+COUNTIF($G$8:G61,G61)-1))</f>
        <v>79</v>
      </c>
      <c r="N61" s="23">
        <f>IF('Amputation Summary'!$Q$33=2, H61, IF('Amputation Summary'!$Q$33=1, G61))</f>
        <v>1</v>
      </c>
      <c r="O61" s="24">
        <v>5</v>
      </c>
      <c r="P61" s="32">
        <v>2</v>
      </c>
      <c r="Q61" s="32">
        <v>3</v>
      </c>
      <c r="R61" s="32">
        <v>11</v>
      </c>
      <c r="S61" s="32">
        <v>6</v>
      </c>
      <c r="T61" s="32">
        <v>8</v>
      </c>
      <c r="U61" s="32">
        <f t="shared" si="3"/>
        <v>101</v>
      </c>
      <c r="V61" s="25">
        <v>75.281155109405518</v>
      </c>
      <c r="W61" s="25">
        <v>135.50535440444946</v>
      </c>
      <c r="X61" s="25">
        <f t="shared" si="4"/>
        <v>25.718844890594482</v>
      </c>
      <c r="Y61" s="25">
        <f t="shared" si="5"/>
        <v>60.224199295043945</v>
      </c>
      <c r="Z61" s="32">
        <f>IF('Amputation Summary'!$Q$4=2, RANK(F61,F$8:F$87,1)+COUNTIF($F$8:F61,F61)-1, IF('Amputation Summary'!$Q$4=1, RANK(T61,T$8:T$87,1)+COUNTIF($T$8:T61,T61)-1))</f>
        <v>46</v>
      </c>
      <c r="AA61" s="32">
        <f>IF('Amputation Summary'!$Q$4=2, U61, IF('Amputation Summary'!$Q$4=1, O61))</f>
        <v>101</v>
      </c>
      <c r="AB61" s="32">
        <f>IF('Amputation Summary'!$Q$4=2, X61, IF('Amputation Summary'!$Q$4=1, Q61))</f>
        <v>25.718844890594482</v>
      </c>
      <c r="AC61" s="32">
        <f>IF('Amputation Summary'!$Q$4=2, Y61, IF('Amputation Summary'!$Q$4=1, S61))</f>
        <v>60.224199295043945</v>
      </c>
    </row>
    <row r="62" spans="1:29" x14ac:dyDescent="0.25">
      <c r="A62" t="s">
        <v>101</v>
      </c>
      <c r="B62" s="4" t="s">
        <v>102</v>
      </c>
      <c r="C62" s="24">
        <v>40</v>
      </c>
      <c r="D62" s="13" t="s">
        <v>446</v>
      </c>
      <c r="E62" s="19" t="s">
        <v>319</v>
      </c>
      <c r="F62" s="25">
        <v>0.91</v>
      </c>
      <c r="G62" s="23">
        <v>0.875</v>
      </c>
      <c r="H62" s="23">
        <v>0.05</v>
      </c>
      <c r="I62" s="23">
        <v>3.2000000000000001E-2</v>
      </c>
      <c r="J62" t="s">
        <v>101</v>
      </c>
      <c r="K62">
        <f t="shared" si="6"/>
        <v>2</v>
      </c>
      <c r="L62">
        <f t="shared" si="7"/>
        <v>1</v>
      </c>
      <c r="M62" s="32">
        <f>IF('Amputation Summary'!$Q$33=2, RANK(H62,H$8:H$87,1)+COUNTIF($H$8:H62,H62)-1, IF('Amputation Summary'!$Q$33=1, RANK(G62,G$8:G$87,1)+COUNTIF($G$8:G62,G62)-1))</f>
        <v>8</v>
      </c>
      <c r="N62" s="23">
        <f>IF('Amputation Summary'!$Q$33=2, H62, IF('Amputation Summary'!$Q$33=1, G62))</f>
        <v>0.05</v>
      </c>
      <c r="O62" s="24">
        <v>8</v>
      </c>
      <c r="P62" s="32">
        <v>4</v>
      </c>
      <c r="Q62" s="32">
        <v>4</v>
      </c>
      <c r="R62" s="32">
        <v>18</v>
      </c>
      <c r="S62" s="32">
        <v>10</v>
      </c>
      <c r="T62" s="32">
        <v>44</v>
      </c>
      <c r="U62" s="32">
        <f t="shared" si="3"/>
        <v>91</v>
      </c>
      <c r="V62" s="25">
        <v>48.924428224563599</v>
      </c>
      <c r="W62" s="25">
        <v>169.2610502243042</v>
      </c>
      <c r="X62" s="25">
        <f t="shared" si="4"/>
        <v>42.075571775436401</v>
      </c>
      <c r="Y62" s="25">
        <f t="shared" si="5"/>
        <v>120.3366219997406</v>
      </c>
      <c r="Z62" s="32">
        <f>IF('Amputation Summary'!$Q$4=2, RANK(F62,F$8:F$87,1)+COUNTIF($F$8:F62,F62)-1, IF('Amputation Summary'!$Q$4=1, RANK(T62,T$8:T$87,1)+COUNTIF($T$8:T62,T62)-1))</f>
        <v>41</v>
      </c>
      <c r="AA62" s="32">
        <f>IF('Amputation Summary'!$Q$4=2, U62, IF('Amputation Summary'!$Q$4=1, O62))</f>
        <v>91</v>
      </c>
      <c r="AB62" s="32">
        <f>IF('Amputation Summary'!$Q$4=2, X62, IF('Amputation Summary'!$Q$4=1, Q62))</f>
        <v>42.075571775436401</v>
      </c>
      <c r="AC62" s="32">
        <f>IF('Amputation Summary'!$Q$4=2, Y62, IF('Amputation Summary'!$Q$4=1, S62))</f>
        <v>120.3366219997406</v>
      </c>
    </row>
    <row r="63" spans="1:29" x14ac:dyDescent="0.25">
      <c r="A63" t="s">
        <v>42</v>
      </c>
      <c r="B63" s="4" t="s">
        <v>43</v>
      </c>
      <c r="C63" s="24">
        <v>82</v>
      </c>
      <c r="D63" s="13" t="s">
        <v>424</v>
      </c>
      <c r="E63" s="19" t="s">
        <v>400</v>
      </c>
      <c r="F63" s="25">
        <v>0.74</v>
      </c>
      <c r="G63" s="23">
        <v>0.96299999999999997</v>
      </c>
      <c r="H63" s="23">
        <v>0.878</v>
      </c>
      <c r="I63" s="23">
        <v>7.4999999999999997E-2</v>
      </c>
      <c r="J63" t="s">
        <v>42</v>
      </c>
      <c r="K63">
        <f t="shared" si="6"/>
        <v>3</v>
      </c>
      <c r="L63">
        <f t="shared" si="7"/>
        <v>3</v>
      </c>
      <c r="M63" s="32">
        <f>IF('Amputation Summary'!$Q$33=2, RANK(H63,H$8:H$87,1)+COUNTIF($H$8:H63,H63)-1, IF('Amputation Summary'!$Q$33=1, RANK(G63,G$8:G$87,1)+COUNTIF($G$8:G63,G63)-1))</f>
        <v>56</v>
      </c>
      <c r="N63" s="23">
        <f>IF('Amputation Summary'!$Q$33=2, H63, IF('Amputation Summary'!$Q$33=1, G63))</f>
        <v>0.878</v>
      </c>
      <c r="O63" s="24">
        <v>5</v>
      </c>
      <c r="P63" s="32">
        <v>2</v>
      </c>
      <c r="Q63" s="32">
        <v>3</v>
      </c>
      <c r="R63" s="32">
        <v>12</v>
      </c>
      <c r="S63" s="32">
        <v>7</v>
      </c>
      <c r="T63" s="32">
        <v>9</v>
      </c>
      <c r="U63" s="32">
        <f t="shared" si="3"/>
        <v>74</v>
      </c>
      <c r="V63" s="25">
        <v>47.593197226524353</v>
      </c>
      <c r="W63" s="25">
        <v>115.05845785140991</v>
      </c>
      <c r="X63" s="25">
        <f t="shared" si="4"/>
        <v>26.406802773475647</v>
      </c>
      <c r="Y63" s="25">
        <f t="shared" si="5"/>
        <v>67.465260624885559</v>
      </c>
      <c r="Z63" s="32">
        <f>IF('Amputation Summary'!$Q$4=2, RANK(F63,F$8:F$87,1)+COUNTIF($F$8:F63,F63)-1, IF('Amputation Summary'!$Q$4=1, RANK(T63,T$8:T$87,1)+COUNTIF($T$8:T63,T63)-1))</f>
        <v>28</v>
      </c>
      <c r="AA63" s="32">
        <f>IF('Amputation Summary'!$Q$4=2, U63, IF('Amputation Summary'!$Q$4=1, O63))</f>
        <v>74</v>
      </c>
      <c r="AB63" s="32">
        <f>IF('Amputation Summary'!$Q$4=2, X63, IF('Amputation Summary'!$Q$4=1, Q63))</f>
        <v>26.406802773475647</v>
      </c>
      <c r="AC63" s="32">
        <f>IF('Amputation Summary'!$Q$4=2, Y63, IF('Amputation Summary'!$Q$4=1, S63))</f>
        <v>67.465260624885559</v>
      </c>
    </row>
    <row r="64" spans="1:29" x14ac:dyDescent="0.25">
      <c r="A64" t="s">
        <v>44</v>
      </c>
      <c r="B64" s="4" t="s">
        <v>45</v>
      </c>
      <c r="C64" s="24">
        <v>133</v>
      </c>
      <c r="D64" s="13" t="s">
        <v>425</v>
      </c>
      <c r="E64" s="19" t="s">
        <v>792</v>
      </c>
      <c r="F64" s="25">
        <v>0.57999999999999996</v>
      </c>
      <c r="G64" s="23">
        <v>0.97699999999999998</v>
      </c>
      <c r="H64" s="23">
        <v>0.68400000000000005</v>
      </c>
      <c r="I64" s="23">
        <v>5.2999999999999999E-2</v>
      </c>
      <c r="J64" t="s">
        <v>44</v>
      </c>
      <c r="K64">
        <f t="shared" si="6"/>
        <v>4</v>
      </c>
      <c r="L64">
        <f t="shared" si="7"/>
        <v>2</v>
      </c>
      <c r="M64" s="32">
        <f>IF('Amputation Summary'!$Q$33=2, RANK(H64,H$8:H$87,1)+COUNTIF($H$8:H64,H64)-1, IF('Amputation Summary'!$Q$33=1, RANK(G64,G$8:G$87,1)+COUNTIF($G$8:G64,G64)-1))</f>
        <v>31</v>
      </c>
      <c r="N64" s="23">
        <f>IF('Amputation Summary'!$Q$33=2, H64, IF('Amputation Summary'!$Q$33=1, G64))</f>
        <v>0.68400000000000005</v>
      </c>
      <c r="O64" s="24">
        <v>9</v>
      </c>
      <c r="P64" s="32">
        <v>3</v>
      </c>
      <c r="Q64" s="32">
        <v>6</v>
      </c>
      <c r="R64" s="32">
        <v>22</v>
      </c>
      <c r="S64" s="32">
        <v>13</v>
      </c>
      <c r="T64" s="32">
        <v>54</v>
      </c>
      <c r="U64" s="32">
        <f t="shared" si="3"/>
        <v>57.999999999999993</v>
      </c>
      <c r="V64" s="25">
        <v>40.646260976791382</v>
      </c>
      <c r="W64" s="25">
        <v>82.762831449508667</v>
      </c>
      <c r="X64" s="25">
        <f t="shared" si="4"/>
        <v>17.353739023208611</v>
      </c>
      <c r="Y64" s="25">
        <f t="shared" si="5"/>
        <v>42.116570472717285</v>
      </c>
      <c r="Z64" s="32">
        <f>IF('Amputation Summary'!$Q$4=2, RANK(F64,F$8:F$87,1)+COUNTIF($F$8:F64,F64)-1, IF('Amputation Summary'!$Q$4=1, RANK(T64,T$8:T$87,1)+COUNTIF($T$8:T64,T64)-1))</f>
        <v>14</v>
      </c>
      <c r="AA64" s="32">
        <f>IF('Amputation Summary'!$Q$4=2, U64, IF('Amputation Summary'!$Q$4=1, O64))</f>
        <v>57.999999999999993</v>
      </c>
      <c r="AB64" s="32">
        <f>IF('Amputation Summary'!$Q$4=2, X64, IF('Amputation Summary'!$Q$4=1, Q64))</f>
        <v>17.353739023208611</v>
      </c>
      <c r="AC64" s="32">
        <f>IF('Amputation Summary'!$Q$4=2, Y64, IF('Amputation Summary'!$Q$4=1, S64))</f>
        <v>42.116570472717285</v>
      </c>
    </row>
    <row r="65" spans="1:29" x14ac:dyDescent="0.25">
      <c r="A65" t="s">
        <v>56</v>
      </c>
      <c r="B65" s="4" t="s">
        <v>57</v>
      </c>
      <c r="C65" s="24">
        <v>106</v>
      </c>
      <c r="D65" s="13" t="s">
        <v>428</v>
      </c>
      <c r="E65" s="19" t="s">
        <v>795</v>
      </c>
      <c r="F65" s="25">
        <v>0.49</v>
      </c>
      <c r="G65" s="23">
        <v>0.92500000000000004</v>
      </c>
      <c r="H65" s="23">
        <v>0.97199999999999998</v>
      </c>
      <c r="I65" s="23">
        <v>7.5999999999999998E-2</v>
      </c>
      <c r="J65" t="s">
        <v>56</v>
      </c>
      <c r="K65">
        <f t="shared" si="6"/>
        <v>3</v>
      </c>
      <c r="L65">
        <f t="shared" si="7"/>
        <v>4</v>
      </c>
      <c r="M65" s="32">
        <f>IF('Amputation Summary'!$Q$33=2, RANK(H65,H$8:H$87,1)+COUNTIF($H$8:H65,H65)-1, IF('Amputation Summary'!$Q$33=1, RANK(G65,G$8:G$87,1)+COUNTIF($G$8:G65,G65)-1))</f>
        <v>73</v>
      </c>
      <c r="N65" s="23">
        <f>IF('Amputation Summary'!$Q$33=2, H65, IF('Amputation Summary'!$Q$33=1, G65))</f>
        <v>0.97199999999999998</v>
      </c>
      <c r="O65" s="24">
        <v>8</v>
      </c>
      <c r="P65" s="32">
        <v>4</v>
      </c>
      <c r="Q65" s="32">
        <v>4</v>
      </c>
      <c r="R65" s="32">
        <v>21</v>
      </c>
      <c r="S65" s="32">
        <v>13</v>
      </c>
      <c r="T65" s="32">
        <v>46</v>
      </c>
      <c r="U65" s="32">
        <f t="shared" si="3"/>
        <v>49</v>
      </c>
      <c r="V65" s="25">
        <v>32.481783628463745</v>
      </c>
      <c r="W65" s="25">
        <v>73.918354511260986</v>
      </c>
      <c r="X65" s="25">
        <f t="shared" si="4"/>
        <v>16.518216371536255</v>
      </c>
      <c r="Y65" s="25">
        <f t="shared" si="5"/>
        <v>41.436570882797241</v>
      </c>
      <c r="Z65" s="32">
        <f>IF('Amputation Summary'!$Q$4=2, RANK(F65,F$8:F$87,1)+COUNTIF($F$8:F65,F65)-1, IF('Amputation Summary'!$Q$4=1, RANK(T65,T$8:T$87,1)+COUNTIF($T$8:T65,T65)-1))</f>
        <v>9</v>
      </c>
      <c r="AA65" s="32">
        <f>IF('Amputation Summary'!$Q$4=2, U65, IF('Amputation Summary'!$Q$4=1, O65))</f>
        <v>49</v>
      </c>
      <c r="AB65" s="32">
        <f>IF('Amputation Summary'!$Q$4=2, X65, IF('Amputation Summary'!$Q$4=1, Q65))</f>
        <v>16.518216371536255</v>
      </c>
      <c r="AC65" s="32">
        <f>IF('Amputation Summary'!$Q$4=2, Y65, IF('Amputation Summary'!$Q$4=1, S65))</f>
        <v>41.436570882797241</v>
      </c>
    </row>
    <row r="66" spans="1:29" x14ac:dyDescent="0.25">
      <c r="A66" t="s">
        <v>23</v>
      </c>
      <c r="B66" s="4" t="s">
        <v>24</v>
      </c>
      <c r="C66" s="24">
        <v>105</v>
      </c>
      <c r="D66" s="13" t="s">
        <v>416</v>
      </c>
      <c r="E66" s="19" t="s">
        <v>784</v>
      </c>
      <c r="F66" s="25">
        <v>0.83</v>
      </c>
      <c r="G66" s="23">
        <v>0.82899999999999996</v>
      </c>
      <c r="H66" s="23">
        <v>0.82899999999999996</v>
      </c>
      <c r="I66" s="23">
        <v>3.4000000000000002E-2</v>
      </c>
      <c r="J66" t="s">
        <v>23</v>
      </c>
      <c r="K66">
        <f t="shared" si="6"/>
        <v>2</v>
      </c>
      <c r="L66">
        <f t="shared" si="7"/>
        <v>3</v>
      </c>
      <c r="M66" s="32">
        <f>IF('Amputation Summary'!$Q$33=2, RANK(H66,H$8:H$87,1)+COUNTIF($H$8:H66,H66)-1, IF('Amputation Summary'!$Q$33=1, RANK(G66,G$8:G$87,1)+COUNTIF($G$8:G66,G66)-1))</f>
        <v>44</v>
      </c>
      <c r="N66" s="23">
        <f>IF('Amputation Summary'!$Q$33=2, H66, IF('Amputation Summary'!$Q$33=1, G66))</f>
        <v>0.82899999999999996</v>
      </c>
      <c r="O66" s="24">
        <v>8</v>
      </c>
      <c r="P66" s="32">
        <v>3</v>
      </c>
      <c r="Q66" s="32">
        <v>5</v>
      </c>
      <c r="R66" s="32">
        <v>22</v>
      </c>
      <c r="S66" s="32">
        <v>14</v>
      </c>
      <c r="T66" s="32">
        <v>38</v>
      </c>
      <c r="U66" s="32">
        <f t="shared" si="3"/>
        <v>83</v>
      </c>
      <c r="V66" s="25">
        <v>56.535834074020386</v>
      </c>
      <c r="W66" s="25">
        <v>121.85192108154297</v>
      </c>
      <c r="X66" s="25">
        <f t="shared" si="4"/>
        <v>26.464165925979614</v>
      </c>
      <c r="Y66" s="25">
        <f t="shared" si="5"/>
        <v>65.316087007522583</v>
      </c>
      <c r="Z66" s="32">
        <f>IF('Amputation Summary'!$Q$4=2, RANK(F66,F$8:F$87,1)+COUNTIF($F$8:F66,F66)-1, IF('Amputation Summary'!$Q$4=1, RANK(T66,T$8:T$87,1)+COUNTIF($T$8:T66,T66)-1))</f>
        <v>33</v>
      </c>
      <c r="AA66" s="32">
        <f>IF('Amputation Summary'!$Q$4=2, U66, IF('Amputation Summary'!$Q$4=1, O66))</f>
        <v>83</v>
      </c>
      <c r="AB66" s="32">
        <f>IF('Amputation Summary'!$Q$4=2, X66, IF('Amputation Summary'!$Q$4=1, Q66))</f>
        <v>26.464165925979614</v>
      </c>
      <c r="AC66" s="32">
        <f>IF('Amputation Summary'!$Q$4=2, Y66, IF('Amputation Summary'!$Q$4=1, S66))</f>
        <v>65.316087007522583</v>
      </c>
    </row>
    <row r="67" spans="1:29" x14ac:dyDescent="0.25">
      <c r="A67" t="s">
        <v>97</v>
      </c>
      <c r="B67" s="4" t="s">
        <v>98</v>
      </c>
      <c r="C67" s="24">
        <v>214</v>
      </c>
      <c r="D67" s="13" t="s">
        <v>444</v>
      </c>
      <c r="E67" s="19" t="s">
        <v>306</v>
      </c>
      <c r="F67" s="25">
        <v>1.94</v>
      </c>
      <c r="G67" s="23">
        <v>0.79900000000000004</v>
      </c>
      <c r="H67" s="23">
        <v>0.79900000000000004</v>
      </c>
      <c r="I67" s="23">
        <v>3.9E-2</v>
      </c>
      <c r="J67" t="s">
        <v>97</v>
      </c>
      <c r="K67">
        <f t="shared" si="6"/>
        <v>2</v>
      </c>
      <c r="L67">
        <f t="shared" si="7"/>
        <v>3</v>
      </c>
      <c r="M67" s="32">
        <f>IF('Amputation Summary'!$Q$33=2, RANK(H67,H$8:H$87,1)+COUNTIF($H$8:H67,H67)-1, IF('Amputation Summary'!$Q$33=1, RANK(G67,G$8:G$87,1)+COUNTIF($G$8:G67,G67)-1))</f>
        <v>41</v>
      </c>
      <c r="N67" s="23">
        <f>IF('Amputation Summary'!$Q$33=2, H67, IF('Amputation Summary'!$Q$33=1, G67))</f>
        <v>0.79900000000000004</v>
      </c>
      <c r="O67" s="24">
        <v>9</v>
      </c>
      <c r="P67" s="32">
        <v>4</v>
      </c>
      <c r="Q67" s="32">
        <v>5</v>
      </c>
      <c r="R67" s="32">
        <v>21</v>
      </c>
      <c r="S67" s="32">
        <v>12</v>
      </c>
      <c r="T67" s="32">
        <v>56</v>
      </c>
      <c r="U67" s="32">
        <f t="shared" si="3"/>
        <v>194</v>
      </c>
      <c r="V67" s="25">
        <v>146.23943567276001</v>
      </c>
      <c r="W67" s="25">
        <v>257.35876560211182</v>
      </c>
      <c r="X67" s="25">
        <f t="shared" si="4"/>
        <v>47.76056432723999</v>
      </c>
      <c r="Y67" s="25">
        <f t="shared" si="5"/>
        <v>111.11932992935181</v>
      </c>
      <c r="Z67" s="32">
        <f>IF('Amputation Summary'!$Q$4=2, RANK(F67,F$8:F$87,1)+COUNTIF($F$8:F67,F67)-1, IF('Amputation Summary'!$Q$4=1, RANK(T67,T$8:T$87,1)+COUNTIF($T$8:T67,T67)-1))</f>
        <v>75</v>
      </c>
      <c r="AA67" s="32">
        <f>IF('Amputation Summary'!$Q$4=2, U67, IF('Amputation Summary'!$Q$4=1, O67))</f>
        <v>194</v>
      </c>
      <c r="AB67" s="32">
        <f>IF('Amputation Summary'!$Q$4=2, X67, IF('Amputation Summary'!$Q$4=1, Q67))</f>
        <v>47.76056432723999</v>
      </c>
      <c r="AC67" s="32">
        <f>IF('Amputation Summary'!$Q$4=2, Y67, IF('Amputation Summary'!$Q$4=1, S67))</f>
        <v>111.11932992935181</v>
      </c>
    </row>
    <row r="68" spans="1:29" x14ac:dyDescent="0.25">
      <c r="A68" t="s">
        <v>60</v>
      </c>
      <c r="B68" s="4" t="s">
        <v>61</v>
      </c>
      <c r="C68" s="24">
        <v>103</v>
      </c>
      <c r="D68" s="13" t="s">
        <v>430</v>
      </c>
      <c r="E68" s="19" t="s">
        <v>402</v>
      </c>
      <c r="F68" s="25">
        <v>0.65</v>
      </c>
      <c r="G68" s="23">
        <v>0.96099999999999997</v>
      </c>
      <c r="H68" s="23">
        <v>0.73799999999999999</v>
      </c>
      <c r="I68" s="23">
        <v>3.3000000000000002E-2</v>
      </c>
      <c r="J68" t="s">
        <v>60</v>
      </c>
      <c r="K68">
        <f t="shared" ref="K68:K87" si="8">+IF(G68&lt;G$2,1,IF(G68&lt;G$3,2,IF(G68&lt;G$4,3,4)))</f>
        <v>3</v>
      </c>
      <c r="L68">
        <f t="shared" ref="L68:L87" si="9">+IF(H68&lt;H$2,1,IF(H68&lt;H$3,2,IF(H68&lt;H$4,3,4)))</f>
        <v>2</v>
      </c>
      <c r="M68" s="32">
        <f>IF('Amputation Summary'!$Q$33=2, RANK(H68,H$8:H$87,1)+COUNTIF($H$8:H68,H68)-1, IF('Amputation Summary'!$Q$33=1, RANK(G68,G$8:G$87,1)+COUNTIF($G$8:G68,G68)-1))</f>
        <v>34</v>
      </c>
      <c r="N68" s="23">
        <f>IF('Amputation Summary'!$Q$33=2, H68, IF('Amputation Summary'!$Q$33=1, G68))</f>
        <v>0.73799999999999999</v>
      </c>
      <c r="O68" s="24">
        <v>7</v>
      </c>
      <c r="P68" s="32">
        <v>3</v>
      </c>
      <c r="Q68" s="32">
        <v>4</v>
      </c>
      <c r="R68" s="32">
        <v>16</v>
      </c>
      <c r="S68" s="32">
        <v>9</v>
      </c>
      <c r="T68" s="32">
        <v>25</v>
      </c>
      <c r="U68" s="32">
        <f t="shared" si="3"/>
        <v>65</v>
      </c>
      <c r="V68" s="25">
        <v>43.352237343788147</v>
      </c>
      <c r="W68" s="25">
        <v>97.457480430603027</v>
      </c>
      <c r="X68" s="25">
        <f t="shared" si="4"/>
        <v>21.647762656211853</v>
      </c>
      <c r="Y68" s="25">
        <f t="shared" si="5"/>
        <v>54.10524308681488</v>
      </c>
      <c r="Z68" s="32">
        <f>IF('Amputation Summary'!$Q$4=2, RANK(F68,F$8:F$87,1)+COUNTIF($F$8:F68,F68)-1, IF('Amputation Summary'!$Q$4=1, RANK(T68,T$8:T$87,1)+COUNTIF($T$8:T68,T68)-1))</f>
        <v>21</v>
      </c>
      <c r="AA68" s="32">
        <f>IF('Amputation Summary'!$Q$4=2, U68, IF('Amputation Summary'!$Q$4=1, O68))</f>
        <v>65</v>
      </c>
      <c r="AB68" s="32">
        <f>IF('Amputation Summary'!$Q$4=2, X68, IF('Amputation Summary'!$Q$4=1, Q68))</f>
        <v>21.647762656211853</v>
      </c>
      <c r="AC68" s="32">
        <f>IF('Amputation Summary'!$Q$4=2, Y68, IF('Amputation Summary'!$Q$4=1, S68))</f>
        <v>54.10524308681488</v>
      </c>
    </row>
    <row r="69" spans="1:29" x14ac:dyDescent="0.25">
      <c r="A69" t="s">
        <v>156</v>
      </c>
      <c r="B69" s="4" t="s">
        <v>157</v>
      </c>
      <c r="C69" s="24">
        <v>112</v>
      </c>
      <c r="D69" s="13" t="s">
        <v>470</v>
      </c>
      <c r="E69" s="19" t="s">
        <v>817</v>
      </c>
      <c r="F69" s="25">
        <v>0.98</v>
      </c>
      <c r="G69" s="23">
        <v>0.98199999999999998</v>
      </c>
      <c r="H69" s="23">
        <v>0.83</v>
      </c>
      <c r="I69" s="23">
        <v>5.0999999999999997E-2</v>
      </c>
      <c r="J69" t="s">
        <v>156</v>
      </c>
      <c r="K69">
        <f t="shared" si="8"/>
        <v>4</v>
      </c>
      <c r="L69">
        <f t="shared" si="9"/>
        <v>3</v>
      </c>
      <c r="M69" s="32">
        <f>IF('Amputation Summary'!$Q$33=2, RANK(H69,H$8:H$87,1)+COUNTIF($H$8:H69,H69)-1, IF('Amputation Summary'!$Q$33=1, RANK(G69,G$8:G$87,1)+COUNTIF($G$8:G69,G69)-1))</f>
        <v>45</v>
      </c>
      <c r="N69" s="23">
        <f>IF('Amputation Summary'!$Q$33=2, H69, IF('Amputation Summary'!$Q$33=1, G69))</f>
        <v>0.83</v>
      </c>
      <c r="O69" s="24">
        <v>5</v>
      </c>
      <c r="P69" s="32">
        <v>2</v>
      </c>
      <c r="Q69" s="32">
        <v>3</v>
      </c>
      <c r="R69" s="32">
        <v>18</v>
      </c>
      <c r="S69" s="32">
        <v>13</v>
      </c>
      <c r="T69" s="32">
        <v>13</v>
      </c>
      <c r="U69" s="32">
        <f t="shared" ref="U69:U87" si="10">F69*100</f>
        <v>98</v>
      </c>
      <c r="V69" s="25">
        <v>67.628508806228638</v>
      </c>
      <c r="W69" s="25">
        <v>142.01111793518066</v>
      </c>
      <c r="X69" s="25">
        <f t="shared" ref="X69:X87" si="11">U69-V69</f>
        <v>30.371491193771362</v>
      </c>
      <c r="Y69" s="25">
        <f t="shared" ref="Y69:Y87" si="12">W69-V69</f>
        <v>74.382609128952026</v>
      </c>
      <c r="Z69" s="32">
        <f>IF('Amputation Summary'!$Q$4=2, RANK(F69,F$8:F$87,1)+COUNTIF($F$8:F69,F69)-1, IF('Amputation Summary'!$Q$4=1, RANK(T69,T$8:T$87,1)+COUNTIF($T$8:T69,T69)-1))</f>
        <v>44</v>
      </c>
      <c r="AA69" s="32">
        <f>IF('Amputation Summary'!$Q$4=2, U69, IF('Amputation Summary'!$Q$4=1, O69))</f>
        <v>98</v>
      </c>
      <c r="AB69" s="32">
        <f>IF('Amputation Summary'!$Q$4=2, X69, IF('Amputation Summary'!$Q$4=1, Q69))</f>
        <v>30.371491193771362</v>
      </c>
      <c r="AC69" s="32">
        <f>IF('Amputation Summary'!$Q$4=2, Y69, IF('Amputation Summary'!$Q$4=1, S69))</f>
        <v>74.382609128952026</v>
      </c>
    </row>
    <row r="70" spans="1:29" x14ac:dyDescent="0.25">
      <c r="A70" t="s">
        <v>122</v>
      </c>
      <c r="B70" s="4" t="s">
        <v>123</v>
      </c>
      <c r="C70" s="24">
        <v>105</v>
      </c>
      <c r="D70" s="13" t="s">
        <v>454</v>
      </c>
      <c r="E70" s="19" t="s">
        <v>542</v>
      </c>
      <c r="F70" s="25">
        <v>2.29</v>
      </c>
      <c r="G70" s="23">
        <v>0.8</v>
      </c>
      <c r="H70" s="23">
        <v>0.89500000000000002</v>
      </c>
      <c r="I70" s="23">
        <v>5.3999999999999999E-2</v>
      </c>
      <c r="J70" t="s">
        <v>122</v>
      </c>
      <c r="K70">
        <f t="shared" si="8"/>
        <v>2</v>
      </c>
      <c r="L70">
        <f t="shared" si="9"/>
        <v>3</v>
      </c>
      <c r="M70" s="32">
        <f>IF('Amputation Summary'!$Q$33=2, RANK(H70,H$8:H$87,1)+COUNTIF($H$8:H70,H70)-1, IF('Amputation Summary'!$Q$33=1, RANK(G70,G$8:G$87,1)+COUNTIF($G$8:G70,G70)-1))</f>
        <v>58</v>
      </c>
      <c r="N70" s="23">
        <f>IF('Amputation Summary'!$Q$33=2, H70, IF('Amputation Summary'!$Q$33=1, G70))</f>
        <v>0.89500000000000002</v>
      </c>
      <c r="O70" s="24">
        <v>5</v>
      </c>
      <c r="P70" s="32">
        <v>2</v>
      </c>
      <c r="Q70" s="32">
        <v>3</v>
      </c>
      <c r="R70" s="32">
        <v>10</v>
      </c>
      <c r="S70" s="32">
        <v>5</v>
      </c>
      <c r="T70" s="32">
        <v>6</v>
      </c>
      <c r="U70" s="32">
        <f t="shared" si="10"/>
        <v>229</v>
      </c>
      <c r="V70" s="25">
        <v>149.29405450820923</v>
      </c>
      <c r="W70" s="25">
        <v>351.25977993011475</v>
      </c>
      <c r="X70" s="25">
        <f t="shared" si="11"/>
        <v>79.705945491790771</v>
      </c>
      <c r="Y70" s="25">
        <f t="shared" si="12"/>
        <v>201.96572542190552</v>
      </c>
      <c r="Z70" s="32">
        <f>IF('Amputation Summary'!$Q$4=2, RANK(F70,F$8:F$87,1)+COUNTIF($F$8:F70,F70)-1, IF('Amputation Summary'!$Q$4=1, RANK(T70,T$8:T$87,1)+COUNTIF($T$8:T70,T70)-1))</f>
        <v>77</v>
      </c>
      <c r="AA70" s="32">
        <f>IF('Amputation Summary'!$Q$4=2, U70, IF('Amputation Summary'!$Q$4=1, O70))</f>
        <v>229</v>
      </c>
      <c r="AB70" s="32">
        <f>IF('Amputation Summary'!$Q$4=2, X70, IF('Amputation Summary'!$Q$4=1, Q70))</f>
        <v>79.705945491790771</v>
      </c>
      <c r="AC70" s="32">
        <f>IF('Amputation Summary'!$Q$4=2, Y70, IF('Amputation Summary'!$Q$4=1, S70))</f>
        <v>201.96572542190552</v>
      </c>
    </row>
    <row r="71" spans="1:29" x14ac:dyDescent="0.25">
      <c r="A71" t="s">
        <v>21</v>
      </c>
      <c r="B71" s="4" t="s">
        <v>22</v>
      </c>
      <c r="C71" s="24">
        <v>48</v>
      </c>
      <c r="D71" s="13" t="s">
        <v>415</v>
      </c>
      <c r="E71" s="19" t="s">
        <v>783</v>
      </c>
      <c r="F71" s="25">
        <v>0.31</v>
      </c>
      <c r="G71" s="23">
        <v>1</v>
      </c>
      <c r="H71" s="23">
        <v>0.93799999999999994</v>
      </c>
      <c r="I71" s="23">
        <v>4.8000000000000001E-2</v>
      </c>
      <c r="J71" t="s">
        <v>21</v>
      </c>
      <c r="K71">
        <f t="shared" si="8"/>
        <v>4</v>
      </c>
      <c r="L71">
        <f t="shared" si="9"/>
        <v>4</v>
      </c>
      <c r="M71" s="32">
        <f>IF('Amputation Summary'!$Q$33=2, RANK(H71,H$8:H$87,1)+COUNTIF($H$8:H71,H71)-1, IF('Amputation Summary'!$Q$33=1, RANK(G71,G$8:G$87,1)+COUNTIF($G$8:G71,G71)-1))</f>
        <v>68</v>
      </c>
      <c r="N71" s="23">
        <f>IF('Amputation Summary'!$Q$33=2, H71, IF('Amputation Summary'!$Q$33=1, G71))</f>
        <v>0.93799999999999994</v>
      </c>
      <c r="O71" s="24">
        <v>22</v>
      </c>
      <c r="P71" s="32">
        <v>5</v>
      </c>
      <c r="Q71" s="32">
        <v>17</v>
      </c>
      <c r="R71" s="32">
        <v>30</v>
      </c>
      <c r="S71" s="32">
        <v>8</v>
      </c>
      <c r="T71" s="32">
        <v>76</v>
      </c>
      <c r="U71" s="32">
        <f t="shared" si="10"/>
        <v>31</v>
      </c>
      <c r="V71" s="25">
        <v>16.129563748836517</v>
      </c>
      <c r="W71" s="25">
        <v>59.580034017562866</v>
      </c>
      <c r="X71" s="25">
        <f t="shared" si="11"/>
        <v>14.870436251163483</v>
      </c>
      <c r="Y71" s="25">
        <f t="shared" si="12"/>
        <v>43.450470268726349</v>
      </c>
      <c r="Z71" s="32">
        <f>IF('Amputation Summary'!$Q$4=2, RANK(F71,F$8:F$87,1)+COUNTIF($F$8:F71,F71)-1, IF('Amputation Summary'!$Q$4=1, RANK(T71,T$8:T$87,1)+COUNTIF($T$8:T71,T71)-1))</f>
        <v>4</v>
      </c>
      <c r="AA71" s="32">
        <f>IF('Amputation Summary'!$Q$4=2, U71, IF('Amputation Summary'!$Q$4=1, O71))</f>
        <v>31</v>
      </c>
      <c r="AB71" s="32">
        <f>IF('Amputation Summary'!$Q$4=2, X71, IF('Amputation Summary'!$Q$4=1, Q71))</f>
        <v>14.870436251163483</v>
      </c>
      <c r="AC71" s="32">
        <f>IF('Amputation Summary'!$Q$4=2, Y71, IF('Amputation Summary'!$Q$4=1, S71))</f>
        <v>43.450470268726349</v>
      </c>
    </row>
    <row r="72" spans="1:29" x14ac:dyDescent="0.25">
      <c r="A72" t="s">
        <v>68</v>
      </c>
      <c r="B72" s="4" t="s">
        <v>69</v>
      </c>
      <c r="C72" s="24">
        <v>81</v>
      </c>
      <c r="D72" s="13" t="s">
        <v>432</v>
      </c>
      <c r="E72" s="19" t="s">
        <v>797</v>
      </c>
      <c r="F72" s="25">
        <v>2</v>
      </c>
      <c r="G72" s="23">
        <v>0.97499999999999998</v>
      </c>
      <c r="H72" s="23">
        <v>0.91400000000000003</v>
      </c>
      <c r="I72" s="23">
        <v>3.1E-2</v>
      </c>
      <c r="J72" t="s">
        <v>68</v>
      </c>
      <c r="K72">
        <f t="shared" si="8"/>
        <v>4</v>
      </c>
      <c r="L72">
        <f t="shared" si="9"/>
        <v>4</v>
      </c>
      <c r="M72" s="32">
        <f>IF('Amputation Summary'!$Q$33=2, RANK(H72,H$8:H$87,1)+COUNTIF($H$8:H72,H72)-1, IF('Amputation Summary'!$Q$33=1, RANK(G72,G$8:G$87,1)+COUNTIF($G$8:G72,G72)-1))</f>
        <v>62</v>
      </c>
      <c r="N72" s="23">
        <f>IF('Amputation Summary'!$Q$33=2, H72, IF('Amputation Summary'!$Q$33=1, G72))</f>
        <v>0.91400000000000003</v>
      </c>
      <c r="O72" s="24">
        <v>8</v>
      </c>
      <c r="P72" s="32">
        <v>4</v>
      </c>
      <c r="Q72" s="32">
        <v>4</v>
      </c>
      <c r="R72" s="32">
        <v>25</v>
      </c>
      <c r="S72" s="32">
        <v>17</v>
      </c>
      <c r="T72" s="32">
        <v>49</v>
      </c>
      <c r="U72" s="32">
        <f t="shared" si="10"/>
        <v>200</v>
      </c>
      <c r="V72" s="25">
        <v>126.00743770599365</v>
      </c>
      <c r="W72" s="25">
        <v>317.44158267974854</v>
      </c>
      <c r="X72" s="25">
        <f t="shared" si="11"/>
        <v>73.992562294006348</v>
      </c>
      <c r="Y72" s="25">
        <f t="shared" si="12"/>
        <v>191.43414497375488</v>
      </c>
      <c r="Z72" s="32">
        <f>IF('Amputation Summary'!$Q$4=2, RANK(F72,F$8:F$87,1)+COUNTIF($F$8:F72,F72)-1, IF('Amputation Summary'!$Q$4=1, RANK(T72,T$8:T$87,1)+COUNTIF($T$8:T72,T72)-1))</f>
        <v>76</v>
      </c>
      <c r="AA72" s="32">
        <f>IF('Amputation Summary'!$Q$4=2, U72, IF('Amputation Summary'!$Q$4=1, O72))</f>
        <v>200</v>
      </c>
      <c r="AB72" s="32">
        <f>IF('Amputation Summary'!$Q$4=2, X72, IF('Amputation Summary'!$Q$4=1, Q72))</f>
        <v>73.992562294006348</v>
      </c>
      <c r="AC72" s="32">
        <f>IF('Amputation Summary'!$Q$4=2, Y72, IF('Amputation Summary'!$Q$4=1, S72))</f>
        <v>191.43414497375488</v>
      </c>
    </row>
    <row r="73" spans="1:29" x14ac:dyDescent="0.25">
      <c r="A73" t="s">
        <v>4</v>
      </c>
      <c r="B73" s="4" t="s">
        <v>214</v>
      </c>
      <c r="C73" s="24">
        <v>292</v>
      </c>
      <c r="D73" s="13" t="s">
        <v>406</v>
      </c>
      <c r="E73" s="19" t="s">
        <v>775</v>
      </c>
      <c r="F73" s="25">
        <v>1.53</v>
      </c>
      <c r="G73" s="23">
        <v>0.45500000000000002</v>
      </c>
      <c r="H73" s="23">
        <v>0.34899999999999998</v>
      </c>
      <c r="I73" s="23">
        <v>0.06</v>
      </c>
      <c r="J73" t="s">
        <v>4</v>
      </c>
      <c r="K73">
        <f t="shared" si="8"/>
        <v>1</v>
      </c>
      <c r="L73">
        <f t="shared" si="9"/>
        <v>1</v>
      </c>
      <c r="M73" s="32">
        <f>IF('Amputation Summary'!$Q$33=2, RANK(H73,H$8:H$87,1)+COUNTIF($H$8:H73,H73)-1, IF('Amputation Summary'!$Q$33=1, RANK(G73,G$8:G$87,1)+COUNTIF($G$8:G73,G73)-1))</f>
        <v>15</v>
      </c>
      <c r="N73" s="23">
        <f>IF('Amputation Summary'!$Q$33=2, H73, IF('Amputation Summary'!$Q$33=1, G73))</f>
        <v>0.34899999999999998</v>
      </c>
      <c r="O73" s="24">
        <v>10</v>
      </c>
      <c r="P73" s="32">
        <v>4</v>
      </c>
      <c r="Q73" s="32">
        <v>6</v>
      </c>
      <c r="R73" s="32">
        <v>28</v>
      </c>
      <c r="S73" s="32">
        <v>18</v>
      </c>
      <c r="T73" s="32">
        <v>61</v>
      </c>
      <c r="U73" s="32">
        <f t="shared" si="10"/>
        <v>153</v>
      </c>
      <c r="V73" s="25">
        <v>121.14776372909546</v>
      </c>
      <c r="W73" s="25">
        <v>193.2268500328064</v>
      </c>
      <c r="X73" s="25">
        <f t="shared" si="11"/>
        <v>31.852236270904541</v>
      </c>
      <c r="Y73" s="25">
        <f t="shared" si="12"/>
        <v>72.079086303710938</v>
      </c>
      <c r="Z73" s="32">
        <f>IF('Amputation Summary'!$Q$4=2, RANK(F73,F$8:F$87,1)+COUNTIF($F$8:F73,F73)-1, IF('Amputation Summary'!$Q$4=1, RANK(T73,T$8:T$87,1)+COUNTIF($T$8:T73,T73)-1))</f>
        <v>68</v>
      </c>
      <c r="AA73" s="32">
        <f>IF('Amputation Summary'!$Q$4=2, U73, IF('Amputation Summary'!$Q$4=1, O73))</f>
        <v>153</v>
      </c>
      <c r="AB73" s="32">
        <f>IF('Amputation Summary'!$Q$4=2, X73, IF('Amputation Summary'!$Q$4=1, Q73))</f>
        <v>31.852236270904541</v>
      </c>
      <c r="AC73" s="32">
        <f>IF('Amputation Summary'!$Q$4=2, Y73, IF('Amputation Summary'!$Q$4=1, S73))</f>
        <v>72.079086303710938</v>
      </c>
    </row>
    <row r="74" spans="1:29" x14ac:dyDescent="0.25">
      <c r="A74" t="s">
        <v>25</v>
      </c>
      <c r="B74" s="4" t="s">
        <v>26</v>
      </c>
      <c r="C74" s="24">
        <v>69</v>
      </c>
      <c r="D74" s="13" t="s">
        <v>417</v>
      </c>
      <c r="E74" s="19" t="s">
        <v>785</v>
      </c>
      <c r="F74" s="25">
        <v>1.1399999999999999</v>
      </c>
      <c r="G74" s="23">
        <v>0.95699999999999996</v>
      </c>
      <c r="H74" s="23">
        <v>0.88400000000000001</v>
      </c>
      <c r="I74" s="23">
        <v>0</v>
      </c>
      <c r="J74" t="s">
        <v>25</v>
      </c>
      <c r="K74">
        <f t="shared" si="8"/>
        <v>3</v>
      </c>
      <c r="L74">
        <f t="shared" si="9"/>
        <v>3</v>
      </c>
      <c r="M74" s="32">
        <f>IF('Amputation Summary'!$Q$33=2, RANK(H74,H$8:H$87,1)+COUNTIF($H$8:H74,H74)-1, IF('Amputation Summary'!$Q$33=1, RANK(G74,G$8:G$87,1)+COUNTIF($G$8:G74,G74)-1))</f>
        <v>57</v>
      </c>
      <c r="N74" s="23">
        <f>IF('Amputation Summary'!$Q$33=2, H74, IF('Amputation Summary'!$Q$33=1, G74))</f>
        <v>0.88400000000000001</v>
      </c>
      <c r="O74" s="24">
        <v>9</v>
      </c>
      <c r="P74" s="32">
        <v>3</v>
      </c>
      <c r="Q74" s="32">
        <v>6</v>
      </c>
      <c r="R74" s="32">
        <v>16</v>
      </c>
      <c r="S74" s="32">
        <v>7</v>
      </c>
      <c r="T74" s="32">
        <v>53</v>
      </c>
      <c r="U74" s="32">
        <f t="shared" si="10"/>
        <v>113.99999999999999</v>
      </c>
      <c r="V74" s="25">
        <v>71.110594272613525</v>
      </c>
      <c r="W74" s="25">
        <v>182.75758028030396</v>
      </c>
      <c r="X74" s="25">
        <f t="shared" si="11"/>
        <v>42.88940572738646</v>
      </c>
      <c r="Y74" s="25">
        <f t="shared" si="12"/>
        <v>111.64698600769043</v>
      </c>
      <c r="Z74" s="32">
        <f>IF('Amputation Summary'!$Q$4=2, RANK(F74,F$8:F$87,1)+COUNTIF($F$8:F74,F74)-1, IF('Amputation Summary'!$Q$4=1, RANK(T74,T$8:T$87,1)+COUNTIF($T$8:T74,T74)-1))</f>
        <v>52</v>
      </c>
      <c r="AA74" s="32">
        <f>IF('Amputation Summary'!$Q$4=2, U74, IF('Amputation Summary'!$Q$4=1, O74))</f>
        <v>113.99999999999999</v>
      </c>
      <c r="AB74" s="32">
        <f>IF('Amputation Summary'!$Q$4=2, X74, IF('Amputation Summary'!$Q$4=1, Q74))</f>
        <v>42.88940572738646</v>
      </c>
      <c r="AC74" s="32">
        <f>IF('Amputation Summary'!$Q$4=2, Y74, IF('Amputation Summary'!$Q$4=1, S74))</f>
        <v>111.64698600769043</v>
      </c>
    </row>
    <row r="75" spans="1:29" x14ac:dyDescent="0.25">
      <c r="A75" t="s">
        <v>87</v>
      </c>
      <c r="B75" s="4" t="s">
        <v>88</v>
      </c>
      <c r="C75" s="24">
        <v>238</v>
      </c>
      <c r="D75" s="13" t="s">
        <v>439</v>
      </c>
      <c r="E75" s="19" t="s">
        <v>401</v>
      </c>
      <c r="F75" s="25">
        <v>1.28</v>
      </c>
      <c r="G75" s="23">
        <v>0.84499999999999997</v>
      </c>
      <c r="H75" s="23">
        <v>0.94499999999999995</v>
      </c>
      <c r="I75" s="23">
        <v>4.2000000000000003E-2</v>
      </c>
      <c r="J75" t="s">
        <v>87</v>
      </c>
      <c r="K75">
        <f t="shared" si="8"/>
        <v>2</v>
      </c>
      <c r="L75">
        <f t="shared" si="9"/>
        <v>4</v>
      </c>
      <c r="M75" s="32">
        <f>IF('Amputation Summary'!$Q$33=2, RANK(H75,H$8:H$87,1)+COUNTIF($H$8:H75,H75)-1, IF('Amputation Summary'!$Q$33=1, RANK(G75,G$8:G$87,1)+COUNTIF($G$8:G75,G75)-1))</f>
        <v>70</v>
      </c>
      <c r="N75" s="23">
        <f>IF('Amputation Summary'!$Q$33=2, H75, IF('Amputation Summary'!$Q$33=1, G75))</f>
        <v>0.94499999999999995</v>
      </c>
      <c r="O75" s="24">
        <v>5</v>
      </c>
      <c r="P75" s="32">
        <v>2</v>
      </c>
      <c r="Q75" s="32">
        <v>3</v>
      </c>
      <c r="R75" s="32">
        <v>13</v>
      </c>
      <c r="S75" s="32">
        <v>8</v>
      </c>
      <c r="T75" s="32">
        <v>10</v>
      </c>
      <c r="U75" s="32">
        <f t="shared" si="10"/>
        <v>128</v>
      </c>
      <c r="V75" s="25">
        <v>99.149864912033081</v>
      </c>
      <c r="W75" s="25">
        <v>165.24479389190674</v>
      </c>
      <c r="X75" s="25">
        <f t="shared" si="11"/>
        <v>28.850135087966919</v>
      </c>
      <c r="Y75" s="25">
        <f t="shared" si="12"/>
        <v>66.094928979873657</v>
      </c>
      <c r="Z75" s="32">
        <f>IF('Amputation Summary'!$Q$4=2, RANK(F75,F$8:F$87,1)+COUNTIF($F$8:F75,F75)-1, IF('Amputation Summary'!$Q$4=1, RANK(T75,T$8:T$87,1)+COUNTIF($T$8:T75,T75)-1))</f>
        <v>63</v>
      </c>
      <c r="AA75" s="32">
        <f>IF('Amputation Summary'!$Q$4=2, U75, IF('Amputation Summary'!$Q$4=1, O75))</f>
        <v>128</v>
      </c>
      <c r="AB75" s="32">
        <f>IF('Amputation Summary'!$Q$4=2, X75, IF('Amputation Summary'!$Q$4=1, Q75))</f>
        <v>28.850135087966919</v>
      </c>
      <c r="AC75" s="32">
        <f>IF('Amputation Summary'!$Q$4=2, Y75, IF('Amputation Summary'!$Q$4=1, S75))</f>
        <v>66.094928979873657</v>
      </c>
    </row>
    <row r="76" spans="1:29" x14ac:dyDescent="0.25">
      <c r="A76" t="s">
        <v>17</v>
      </c>
      <c r="B76" s="4" t="s">
        <v>18</v>
      </c>
      <c r="C76" s="24">
        <v>25</v>
      </c>
      <c r="D76" s="13" t="s">
        <v>413</v>
      </c>
      <c r="E76" s="19" t="s">
        <v>781</v>
      </c>
      <c r="F76" s="25">
        <v>0.38</v>
      </c>
      <c r="G76" s="23">
        <v>1</v>
      </c>
      <c r="H76" s="23">
        <v>0.96</v>
      </c>
      <c r="I76" s="23">
        <v>6.0999999999999999E-2</v>
      </c>
      <c r="J76" t="s">
        <v>17</v>
      </c>
      <c r="K76">
        <f t="shared" si="8"/>
        <v>4</v>
      </c>
      <c r="L76">
        <f t="shared" si="9"/>
        <v>4</v>
      </c>
      <c r="M76" s="32">
        <f>IF('Amputation Summary'!$Q$33=2, RANK(H76,H$8:H$87,1)+COUNTIF($H$8:H76,H76)-1, IF('Amputation Summary'!$Q$33=1, RANK(G76,G$8:G$87,1)+COUNTIF($G$8:G76,G76)-1))</f>
        <v>72</v>
      </c>
      <c r="N76" s="23">
        <f>IF('Amputation Summary'!$Q$33=2, H76, IF('Amputation Summary'!$Q$33=1, G76))</f>
        <v>0.96</v>
      </c>
      <c r="O76" s="24">
        <v>13</v>
      </c>
      <c r="P76" s="32">
        <v>2</v>
      </c>
      <c r="Q76" s="32">
        <v>11</v>
      </c>
      <c r="R76" s="32">
        <v>51</v>
      </c>
      <c r="S76" s="32">
        <v>38</v>
      </c>
      <c r="T76" s="32">
        <v>65</v>
      </c>
      <c r="U76" s="32">
        <f t="shared" si="10"/>
        <v>38</v>
      </c>
      <c r="V76" s="25">
        <v>15.176256000995636</v>
      </c>
      <c r="W76" s="25">
        <v>95.148634910583496</v>
      </c>
      <c r="X76" s="25">
        <f t="shared" si="11"/>
        <v>22.823743999004364</v>
      </c>
      <c r="Y76" s="25">
        <f t="shared" si="12"/>
        <v>79.97237890958786</v>
      </c>
      <c r="Z76" s="32">
        <f>IF('Amputation Summary'!$Q$4=2, RANK(F76,F$8:F$87,1)+COUNTIF($F$8:F76,F76)-1, IF('Amputation Summary'!$Q$4=1, RANK(T76,T$8:T$87,1)+COUNTIF($T$8:T76,T76)-1))</f>
        <v>6</v>
      </c>
      <c r="AA76" s="32">
        <f>IF('Amputation Summary'!$Q$4=2, U76, IF('Amputation Summary'!$Q$4=1, O76))</f>
        <v>38</v>
      </c>
      <c r="AB76" s="32">
        <f>IF('Amputation Summary'!$Q$4=2, X76, IF('Amputation Summary'!$Q$4=1, Q76))</f>
        <v>22.823743999004364</v>
      </c>
      <c r="AC76" s="32">
        <f>IF('Amputation Summary'!$Q$4=2, Y76, IF('Amputation Summary'!$Q$4=1, S76))</f>
        <v>79.97237890958786</v>
      </c>
    </row>
    <row r="77" spans="1:29" x14ac:dyDescent="0.25">
      <c r="A77" t="s">
        <v>132</v>
      </c>
      <c r="B77" s="4" t="s">
        <v>133</v>
      </c>
      <c r="C77" s="24">
        <v>154</v>
      </c>
      <c r="D77" s="13" t="s">
        <v>459</v>
      </c>
      <c r="E77" s="19" t="s">
        <v>806</v>
      </c>
      <c r="F77" s="25">
        <v>1.93</v>
      </c>
      <c r="G77" s="23">
        <v>0.74</v>
      </c>
      <c r="H77" s="23">
        <v>0.98099999999999998</v>
      </c>
      <c r="I77" s="23">
        <v>6.9000000000000006E-2</v>
      </c>
      <c r="J77" t="s">
        <v>132</v>
      </c>
      <c r="K77">
        <f t="shared" si="8"/>
        <v>1</v>
      </c>
      <c r="L77">
        <f t="shared" si="9"/>
        <v>4</v>
      </c>
      <c r="M77" s="32">
        <f>IF('Amputation Summary'!$Q$33=2, RANK(H77,H$8:H$87,1)+COUNTIF($H$8:H77,H77)-1, IF('Amputation Summary'!$Q$33=1, RANK(G77,G$8:G$87,1)+COUNTIF($G$8:G77,G77)-1))</f>
        <v>76</v>
      </c>
      <c r="N77" s="23">
        <f>IF('Amputation Summary'!$Q$33=2, H77, IF('Amputation Summary'!$Q$33=1, G77))</f>
        <v>0.98099999999999998</v>
      </c>
      <c r="O77" s="24">
        <v>8</v>
      </c>
      <c r="P77" s="32">
        <v>4</v>
      </c>
      <c r="Q77" s="32">
        <v>4</v>
      </c>
      <c r="R77" s="32">
        <v>16</v>
      </c>
      <c r="S77" s="32">
        <v>8</v>
      </c>
      <c r="T77" s="32">
        <v>42</v>
      </c>
      <c r="U77" s="32">
        <f t="shared" si="10"/>
        <v>193</v>
      </c>
      <c r="V77" s="25">
        <v>138.41365575790405</v>
      </c>
      <c r="W77" s="25">
        <v>269.11361217498779</v>
      </c>
      <c r="X77" s="25">
        <f t="shared" si="11"/>
        <v>54.586344242095947</v>
      </c>
      <c r="Y77" s="25">
        <f t="shared" si="12"/>
        <v>130.69995641708374</v>
      </c>
      <c r="Z77" s="32">
        <f>IF('Amputation Summary'!$Q$4=2, RANK(F77,F$8:F$87,1)+COUNTIF($F$8:F77,F77)-1, IF('Amputation Summary'!$Q$4=1, RANK(T77,T$8:T$87,1)+COUNTIF($T$8:T77,T77)-1))</f>
        <v>74</v>
      </c>
      <c r="AA77" s="32">
        <f>IF('Amputation Summary'!$Q$4=2, U77, IF('Amputation Summary'!$Q$4=1, O77))</f>
        <v>193</v>
      </c>
      <c r="AB77" s="32">
        <f>IF('Amputation Summary'!$Q$4=2, X77, IF('Amputation Summary'!$Q$4=1, Q77))</f>
        <v>54.586344242095947</v>
      </c>
      <c r="AC77" s="32">
        <f>IF('Amputation Summary'!$Q$4=2, Y77, IF('Amputation Summary'!$Q$4=1, S77))</f>
        <v>130.69995641708374</v>
      </c>
    </row>
    <row r="78" spans="1:29" x14ac:dyDescent="0.25">
      <c r="A78" t="s">
        <v>70</v>
      </c>
      <c r="B78" s="4" t="s">
        <v>71</v>
      </c>
      <c r="C78" s="24">
        <v>297</v>
      </c>
      <c r="D78" s="13" t="s">
        <v>423</v>
      </c>
      <c r="E78" s="19" t="s">
        <v>402</v>
      </c>
      <c r="F78" s="25">
        <v>0.8</v>
      </c>
      <c r="G78" s="23">
        <v>0.96</v>
      </c>
      <c r="H78" s="23">
        <v>0.70699999999999996</v>
      </c>
      <c r="I78" s="23">
        <v>6.9000000000000006E-2</v>
      </c>
      <c r="J78" t="s">
        <v>70</v>
      </c>
      <c r="K78">
        <f t="shared" si="8"/>
        <v>3</v>
      </c>
      <c r="L78">
        <f t="shared" si="9"/>
        <v>2</v>
      </c>
      <c r="M78" s="32">
        <f>IF('Amputation Summary'!$Q$33=2, RANK(H78,H$8:H$87,1)+COUNTIF($H$8:H78,H78)-1, IF('Amputation Summary'!$Q$33=1, RANK(G78,G$8:G$87,1)+COUNTIF($G$8:G78,G78)-1))</f>
        <v>32</v>
      </c>
      <c r="N78" s="23">
        <f>IF('Amputation Summary'!$Q$33=2, H78, IF('Amputation Summary'!$Q$33=1, G78))</f>
        <v>0.70699999999999996</v>
      </c>
      <c r="O78" s="24">
        <v>7</v>
      </c>
      <c r="P78" s="32">
        <v>3</v>
      </c>
      <c r="Q78" s="32">
        <v>4</v>
      </c>
      <c r="R78" s="32">
        <v>16</v>
      </c>
      <c r="S78" s="32">
        <v>9</v>
      </c>
      <c r="T78" s="32">
        <v>26</v>
      </c>
      <c r="U78" s="32">
        <f t="shared" si="10"/>
        <v>80</v>
      </c>
      <c r="V78" s="25">
        <v>63.634002208709717</v>
      </c>
      <c r="W78" s="25">
        <v>100.57516098022461</v>
      </c>
      <c r="X78" s="25">
        <f t="shared" si="11"/>
        <v>16.365997791290283</v>
      </c>
      <c r="Y78" s="25">
        <f t="shared" si="12"/>
        <v>36.941158771514893</v>
      </c>
      <c r="Z78" s="32">
        <f>IF('Amputation Summary'!$Q$4=2, RANK(F78,F$8:F$87,1)+COUNTIF($F$8:F78,F78)-1, IF('Amputation Summary'!$Q$4=1, RANK(T78,T$8:T$87,1)+COUNTIF($T$8:T78,T78)-1))</f>
        <v>30</v>
      </c>
      <c r="AA78" s="32">
        <f>IF('Amputation Summary'!$Q$4=2, U78, IF('Amputation Summary'!$Q$4=1, O78))</f>
        <v>80</v>
      </c>
      <c r="AB78" s="32">
        <f>IF('Amputation Summary'!$Q$4=2, X78, IF('Amputation Summary'!$Q$4=1, Q78))</f>
        <v>16.365997791290283</v>
      </c>
      <c r="AC78" s="32">
        <f>IF('Amputation Summary'!$Q$4=2, Y78, IF('Amputation Summary'!$Q$4=1, S78))</f>
        <v>36.941158771514893</v>
      </c>
    </row>
    <row r="79" spans="1:29" x14ac:dyDescent="0.25">
      <c r="A79" t="s">
        <v>58</v>
      </c>
      <c r="B79" s="4" t="s">
        <v>59</v>
      </c>
      <c r="C79" s="24">
        <v>269</v>
      </c>
      <c r="D79" s="13" t="s">
        <v>429</v>
      </c>
      <c r="E79" s="19" t="s">
        <v>796</v>
      </c>
      <c r="F79" s="25">
        <v>0.59</v>
      </c>
      <c r="G79" s="23">
        <v>0.92600000000000005</v>
      </c>
      <c r="H79" s="23">
        <v>0.46100000000000002</v>
      </c>
      <c r="I79" s="23">
        <v>2.5999999999999999E-2</v>
      </c>
      <c r="J79" t="s">
        <v>58</v>
      </c>
      <c r="K79">
        <f t="shared" si="8"/>
        <v>3</v>
      </c>
      <c r="L79">
        <f t="shared" si="9"/>
        <v>1</v>
      </c>
      <c r="M79" s="32">
        <f>IF('Amputation Summary'!$Q$33=2, RANK(H79,H$8:H$87,1)+COUNTIF($H$8:H79,H79)-1, IF('Amputation Summary'!$Q$33=1, RANK(G79,G$8:G$87,1)+COUNTIF($G$8:G79,G79)-1))</f>
        <v>17</v>
      </c>
      <c r="N79" s="23">
        <f>IF('Amputation Summary'!$Q$33=2, H79, IF('Amputation Summary'!$Q$33=1, G79))</f>
        <v>0.46100000000000002</v>
      </c>
      <c r="O79" s="24">
        <v>7</v>
      </c>
      <c r="P79" s="32">
        <v>5</v>
      </c>
      <c r="Q79" s="32">
        <v>2</v>
      </c>
      <c r="R79" s="32">
        <v>21</v>
      </c>
      <c r="S79" s="32">
        <v>14</v>
      </c>
      <c r="T79" s="32">
        <v>32</v>
      </c>
      <c r="U79" s="32">
        <f t="shared" si="10"/>
        <v>59</v>
      </c>
      <c r="V79" s="25">
        <v>46.026256680488586</v>
      </c>
      <c r="W79" s="25">
        <v>75.630736351013184</v>
      </c>
      <c r="X79" s="25">
        <f t="shared" si="11"/>
        <v>12.973743319511414</v>
      </c>
      <c r="Y79" s="25">
        <f t="shared" si="12"/>
        <v>29.604479670524597</v>
      </c>
      <c r="Z79" s="32">
        <f>IF('Amputation Summary'!$Q$4=2, RANK(F79,F$8:F$87,1)+COUNTIF($F$8:F79,F79)-1, IF('Amputation Summary'!$Q$4=1, RANK(T79,T$8:T$87,1)+COUNTIF($T$8:T79,T79)-1))</f>
        <v>16</v>
      </c>
      <c r="AA79" s="32">
        <f>IF('Amputation Summary'!$Q$4=2, U79, IF('Amputation Summary'!$Q$4=1, O79))</f>
        <v>59</v>
      </c>
      <c r="AB79" s="32">
        <f>IF('Amputation Summary'!$Q$4=2, X79, IF('Amputation Summary'!$Q$4=1, Q79))</f>
        <v>12.973743319511414</v>
      </c>
      <c r="AC79" s="32">
        <f>IF('Amputation Summary'!$Q$4=2, Y79, IF('Amputation Summary'!$Q$4=1, S79))</f>
        <v>29.604479670524597</v>
      </c>
    </row>
    <row r="80" spans="1:29" x14ac:dyDescent="0.25">
      <c r="A80" t="s">
        <v>107</v>
      </c>
      <c r="B80" s="4" t="s">
        <v>108</v>
      </c>
      <c r="C80" s="24">
        <v>308</v>
      </c>
      <c r="D80" s="13" t="s">
        <v>449</v>
      </c>
      <c r="E80" s="19" t="s">
        <v>806</v>
      </c>
      <c r="F80" s="25">
        <v>0.62</v>
      </c>
      <c r="G80" s="23">
        <v>0.78600000000000003</v>
      </c>
      <c r="H80" s="23">
        <v>0.86699999999999999</v>
      </c>
      <c r="I80" s="23">
        <v>5.6000000000000001E-2</v>
      </c>
      <c r="J80" t="s">
        <v>107</v>
      </c>
      <c r="K80">
        <f t="shared" si="8"/>
        <v>1</v>
      </c>
      <c r="L80">
        <f t="shared" si="9"/>
        <v>3</v>
      </c>
      <c r="M80" s="32">
        <f>IF('Amputation Summary'!$Q$33=2, RANK(H80,H$8:H$87,1)+COUNTIF($H$8:H80,H80)-1, IF('Amputation Summary'!$Q$33=1, RANK(G80,G$8:G$87,1)+COUNTIF($G$8:G80,G80)-1))</f>
        <v>54</v>
      </c>
      <c r="N80" s="23">
        <f>IF('Amputation Summary'!$Q$33=2, H80, IF('Amputation Summary'!$Q$33=1, G80))</f>
        <v>0.86699999999999999</v>
      </c>
      <c r="O80" s="24">
        <v>8</v>
      </c>
      <c r="P80" s="32">
        <v>4</v>
      </c>
      <c r="Q80" s="32">
        <v>4</v>
      </c>
      <c r="R80" s="32">
        <v>16</v>
      </c>
      <c r="S80" s="32">
        <v>8</v>
      </c>
      <c r="T80" s="32">
        <v>41</v>
      </c>
      <c r="U80" s="32">
        <f t="shared" si="10"/>
        <v>62</v>
      </c>
      <c r="V80" s="25">
        <v>49.217292666435242</v>
      </c>
      <c r="W80" s="25">
        <v>78.102630376815796</v>
      </c>
      <c r="X80" s="25">
        <f t="shared" si="11"/>
        <v>12.782707333564758</v>
      </c>
      <c r="Y80" s="25">
        <f t="shared" si="12"/>
        <v>28.885337710380554</v>
      </c>
      <c r="Z80" s="32">
        <f>IF('Amputation Summary'!$Q$4=2, RANK(F80,F$8:F$87,1)+COUNTIF($F$8:F80,F80)-1, IF('Amputation Summary'!$Q$4=1, RANK(T80,T$8:T$87,1)+COUNTIF($T$8:T80,T80)-1))</f>
        <v>20</v>
      </c>
      <c r="AA80" s="32">
        <f>IF('Amputation Summary'!$Q$4=2, U80, IF('Amputation Summary'!$Q$4=1, O80))</f>
        <v>62</v>
      </c>
      <c r="AB80" s="32">
        <f>IF('Amputation Summary'!$Q$4=2, X80, IF('Amputation Summary'!$Q$4=1, Q80))</f>
        <v>12.782707333564758</v>
      </c>
      <c r="AC80" s="32">
        <f>IF('Amputation Summary'!$Q$4=2, Y80, IF('Amputation Summary'!$Q$4=1, S80))</f>
        <v>28.885337710380554</v>
      </c>
    </row>
    <row r="81" spans="1:29" x14ac:dyDescent="0.25">
      <c r="A81" t="s">
        <v>77</v>
      </c>
      <c r="B81" s="4" t="s">
        <v>78</v>
      </c>
      <c r="C81" s="24">
        <v>88</v>
      </c>
      <c r="D81" s="13" t="s">
        <v>436</v>
      </c>
      <c r="E81" s="19" t="s">
        <v>800</v>
      </c>
      <c r="F81" s="25">
        <v>0.59</v>
      </c>
      <c r="G81" s="23">
        <v>0.65900000000000003</v>
      </c>
      <c r="H81" s="23">
        <v>0.86399999999999999</v>
      </c>
      <c r="I81" s="23">
        <v>0</v>
      </c>
      <c r="J81" t="s">
        <v>77</v>
      </c>
      <c r="K81">
        <f t="shared" si="8"/>
        <v>1</v>
      </c>
      <c r="L81">
        <f t="shared" si="9"/>
        <v>3</v>
      </c>
      <c r="M81" s="32">
        <f>IF('Amputation Summary'!$Q$33=2, RANK(H81,H$8:H$87,1)+COUNTIF($H$8:H81,H81)-1, IF('Amputation Summary'!$Q$33=1, RANK(G81,G$8:G$87,1)+COUNTIF($G$8:G81,G81)-1))</f>
        <v>52</v>
      </c>
      <c r="N81" s="23">
        <f>IF('Amputation Summary'!$Q$33=2, H81, IF('Amputation Summary'!$Q$33=1, G81))</f>
        <v>0.86399999999999999</v>
      </c>
      <c r="O81" s="24">
        <v>16</v>
      </c>
      <c r="P81" s="32">
        <v>7</v>
      </c>
      <c r="Q81" s="32">
        <v>9</v>
      </c>
      <c r="R81" s="32">
        <v>30</v>
      </c>
      <c r="S81" s="32">
        <v>14</v>
      </c>
      <c r="T81" s="32">
        <v>75</v>
      </c>
      <c r="U81" s="32">
        <f t="shared" si="10"/>
        <v>59</v>
      </c>
      <c r="V81" s="25">
        <v>38.097059726715088</v>
      </c>
      <c r="W81" s="25">
        <v>91.371876001358032</v>
      </c>
      <c r="X81" s="25">
        <f t="shared" si="11"/>
        <v>20.902940273284912</v>
      </c>
      <c r="Y81" s="25">
        <f t="shared" si="12"/>
        <v>53.274816274642944</v>
      </c>
      <c r="Z81" s="32">
        <f>IF('Amputation Summary'!$Q$4=2, RANK(F81,F$8:F$87,1)+COUNTIF($F$8:F81,F81)-1, IF('Amputation Summary'!$Q$4=1, RANK(T81,T$8:T$87,1)+COUNTIF($T$8:T81,T81)-1))</f>
        <v>17</v>
      </c>
      <c r="AA81" s="32">
        <f>IF('Amputation Summary'!$Q$4=2, U81, IF('Amputation Summary'!$Q$4=1, O81))</f>
        <v>59</v>
      </c>
      <c r="AB81" s="32">
        <f>IF('Amputation Summary'!$Q$4=2, X81, IF('Amputation Summary'!$Q$4=1, Q81))</f>
        <v>20.902940273284912</v>
      </c>
      <c r="AC81" s="32">
        <f>IF('Amputation Summary'!$Q$4=2, Y81, IF('Amputation Summary'!$Q$4=1, S81))</f>
        <v>53.274816274642944</v>
      </c>
    </row>
    <row r="82" spans="1:29" x14ac:dyDescent="0.25">
      <c r="A82" t="s">
        <v>117</v>
      </c>
      <c r="B82" s="1" t="s">
        <v>773</v>
      </c>
      <c r="C82" s="24">
        <v>163</v>
      </c>
      <c r="D82" s="13" t="s">
        <v>452</v>
      </c>
      <c r="E82" s="19" t="s">
        <v>279</v>
      </c>
      <c r="F82" s="25">
        <v>1.42</v>
      </c>
      <c r="G82" s="23">
        <v>0.94499999999999995</v>
      </c>
      <c r="H82" s="23">
        <v>0.62</v>
      </c>
      <c r="I82" s="23">
        <v>5.3999999999999999E-2</v>
      </c>
      <c r="J82" t="s">
        <v>117</v>
      </c>
      <c r="K82">
        <f t="shared" si="8"/>
        <v>3</v>
      </c>
      <c r="L82">
        <f t="shared" si="9"/>
        <v>2</v>
      </c>
      <c r="M82" s="32">
        <f>IF('Amputation Summary'!$Q$33=2, RANK(H82,H$8:H$87,1)+COUNTIF($H$8:H82,H82)-1, IF('Amputation Summary'!$Q$33=1, RANK(G82,G$8:G$87,1)+COUNTIF($G$8:G82,G82)-1))</f>
        <v>25</v>
      </c>
      <c r="N82" s="23">
        <f>IF('Amputation Summary'!$Q$33=2, H82, IF('Amputation Summary'!$Q$33=1, G82))</f>
        <v>0.62</v>
      </c>
      <c r="O82" s="24">
        <v>2</v>
      </c>
      <c r="P82" s="32">
        <v>1</v>
      </c>
      <c r="Q82" s="32">
        <v>1</v>
      </c>
      <c r="R82" s="32">
        <v>4</v>
      </c>
      <c r="S82" s="32">
        <v>2</v>
      </c>
      <c r="T82" s="32">
        <v>1</v>
      </c>
      <c r="U82" s="32">
        <f t="shared" si="10"/>
        <v>142</v>
      </c>
      <c r="V82" s="25">
        <v>103.86383533477783</v>
      </c>
      <c r="W82" s="25">
        <v>194.13877725601196</v>
      </c>
      <c r="X82" s="25">
        <f t="shared" si="11"/>
        <v>38.136164665222168</v>
      </c>
      <c r="Y82" s="25">
        <f t="shared" si="12"/>
        <v>90.274941921234131</v>
      </c>
      <c r="Z82" s="32">
        <f>IF('Amputation Summary'!$Q$4=2, RANK(F82,F$8:F$87,1)+COUNTIF($F$8:F82,F82)-1, IF('Amputation Summary'!$Q$4=1, RANK(T82,T$8:T$87,1)+COUNTIF($T$8:T82,T82)-1))</f>
        <v>67</v>
      </c>
      <c r="AA82" s="32">
        <f>IF('Amputation Summary'!$Q$4=2, U82, IF('Amputation Summary'!$Q$4=1, O82))</f>
        <v>142</v>
      </c>
      <c r="AB82" s="32">
        <f>IF('Amputation Summary'!$Q$4=2, X82, IF('Amputation Summary'!$Q$4=1, Q82))</f>
        <v>38.136164665222168</v>
      </c>
      <c r="AC82" s="32">
        <f>IF('Amputation Summary'!$Q$4=2, Y82, IF('Amputation Summary'!$Q$4=1, S82))</f>
        <v>90.274941921234131</v>
      </c>
    </row>
    <row r="83" spans="1:29" x14ac:dyDescent="0.25">
      <c r="A83" t="s">
        <v>134</v>
      </c>
      <c r="B83" s="4" t="s">
        <v>135</v>
      </c>
      <c r="C83" s="24">
        <v>105</v>
      </c>
      <c r="D83" s="13" t="s">
        <v>460</v>
      </c>
      <c r="E83" s="19" t="s">
        <v>813</v>
      </c>
      <c r="F83" s="25">
        <v>1.41</v>
      </c>
      <c r="G83" s="23">
        <v>0.66700000000000004</v>
      </c>
      <c r="H83" s="23">
        <v>0.56200000000000006</v>
      </c>
      <c r="I83" s="23">
        <v>5.5E-2</v>
      </c>
      <c r="J83" t="s">
        <v>134</v>
      </c>
      <c r="K83">
        <f t="shared" si="8"/>
        <v>1</v>
      </c>
      <c r="L83">
        <f t="shared" si="9"/>
        <v>2</v>
      </c>
      <c r="M83" s="32">
        <f>IF('Amputation Summary'!$Q$33=2, RANK(H83,H$8:H$87,1)+COUNTIF($H$8:H83,H83)-1, IF('Amputation Summary'!$Q$33=1, RANK(G83,G$8:G$87,1)+COUNTIF($G$8:G83,G83)-1))</f>
        <v>22</v>
      </c>
      <c r="N83" s="23">
        <f>IF('Amputation Summary'!$Q$33=2, H83, IF('Amputation Summary'!$Q$33=1, G83))</f>
        <v>0.56200000000000006</v>
      </c>
      <c r="O83" s="24">
        <v>9</v>
      </c>
      <c r="P83" s="32">
        <v>2</v>
      </c>
      <c r="Q83" s="32">
        <v>7</v>
      </c>
      <c r="R83" s="32">
        <v>16</v>
      </c>
      <c r="S83" s="32">
        <v>7</v>
      </c>
      <c r="T83" s="32">
        <v>52</v>
      </c>
      <c r="U83" s="32">
        <f t="shared" si="10"/>
        <v>141</v>
      </c>
      <c r="V83" s="25">
        <v>95.563006401062012</v>
      </c>
      <c r="W83" s="25">
        <v>208.04073810577393</v>
      </c>
      <c r="X83" s="25">
        <f t="shared" si="11"/>
        <v>45.436993598937988</v>
      </c>
      <c r="Y83" s="25">
        <f t="shared" si="12"/>
        <v>112.47773170471191</v>
      </c>
      <c r="Z83" s="32">
        <f>IF('Amputation Summary'!$Q$4=2, RANK(F83,F$8:F$87,1)+COUNTIF($F$8:F83,F83)-1, IF('Amputation Summary'!$Q$4=1, RANK(T83,T$8:T$87,1)+COUNTIF($T$8:T83,T83)-1))</f>
        <v>66</v>
      </c>
      <c r="AA83" s="32">
        <f>IF('Amputation Summary'!$Q$4=2, U83, IF('Amputation Summary'!$Q$4=1, O83))</f>
        <v>141</v>
      </c>
      <c r="AB83" s="32">
        <f>IF('Amputation Summary'!$Q$4=2, X83, IF('Amputation Summary'!$Q$4=1, Q83))</f>
        <v>45.436993598937988</v>
      </c>
      <c r="AC83" s="32">
        <f>IF('Amputation Summary'!$Q$4=2, Y83, IF('Amputation Summary'!$Q$4=1, S83))</f>
        <v>112.47773170471191</v>
      </c>
    </row>
    <row r="84" spans="1:29" x14ac:dyDescent="0.25">
      <c r="A84" t="s">
        <v>76</v>
      </c>
      <c r="B84" s="4" t="s">
        <v>215</v>
      </c>
      <c r="C84" s="24">
        <v>97</v>
      </c>
      <c r="D84" s="13" t="s">
        <v>435</v>
      </c>
      <c r="E84" s="19" t="s">
        <v>799</v>
      </c>
      <c r="F84" s="25">
        <v>1.22</v>
      </c>
      <c r="G84" s="23">
        <v>0.99</v>
      </c>
      <c r="H84" s="23">
        <v>0.92800000000000005</v>
      </c>
      <c r="I84" s="23">
        <v>5.2999999999999999E-2</v>
      </c>
      <c r="J84" t="s">
        <v>76</v>
      </c>
      <c r="K84">
        <f t="shared" si="8"/>
        <v>4</v>
      </c>
      <c r="L84">
        <f t="shared" si="9"/>
        <v>4</v>
      </c>
      <c r="M84" s="32">
        <f>IF('Amputation Summary'!$Q$33=2, RANK(H84,H$8:H$87,1)+COUNTIF($H$8:H84,H84)-1, IF('Amputation Summary'!$Q$33=1, RANK(G84,G$8:G$87,1)+COUNTIF($G$8:G84,G84)-1))</f>
        <v>66</v>
      </c>
      <c r="N84" s="23">
        <f>IF('Amputation Summary'!$Q$33=2, H84, IF('Amputation Summary'!$Q$33=1, G84))</f>
        <v>0.92800000000000005</v>
      </c>
      <c r="O84" s="24">
        <v>13</v>
      </c>
      <c r="P84" s="32">
        <v>5</v>
      </c>
      <c r="Q84" s="32">
        <v>8</v>
      </c>
      <c r="R84" s="32">
        <v>59</v>
      </c>
      <c r="S84" s="32">
        <v>46</v>
      </c>
      <c r="T84" s="32">
        <v>70</v>
      </c>
      <c r="U84" s="32">
        <f t="shared" si="10"/>
        <v>122</v>
      </c>
      <c r="V84" s="25">
        <v>81.856268644332886</v>
      </c>
      <c r="W84" s="25">
        <v>181.83091878890991</v>
      </c>
      <c r="X84" s="25">
        <f t="shared" si="11"/>
        <v>40.143731355667114</v>
      </c>
      <c r="Y84" s="25">
        <f t="shared" si="12"/>
        <v>99.974650144577026</v>
      </c>
      <c r="Z84" s="32">
        <f>IF('Amputation Summary'!$Q$4=2, RANK(F84,F$8:F$87,1)+COUNTIF($F$8:F84,F84)-1, IF('Amputation Summary'!$Q$4=1, RANK(T84,T$8:T$87,1)+COUNTIF($T$8:T84,T84)-1))</f>
        <v>58</v>
      </c>
      <c r="AA84" s="32">
        <f>IF('Amputation Summary'!$Q$4=2, U84, IF('Amputation Summary'!$Q$4=1, O84))</f>
        <v>122</v>
      </c>
      <c r="AB84" s="32">
        <f>IF('Amputation Summary'!$Q$4=2, X84, IF('Amputation Summary'!$Q$4=1, Q84))</f>
        <v>40.143731355667114</v>
      </c>
      <c r="AC84" s="32">
        <f>IF('Amputation Summary'!$Q$4=2, Y84, IF('Amputation Summary'!$Q$4=1, S84))</f>
        <v>99.974650144577026</v>
      </c>
    </row>
    <row r="85" spans="1:29" x14ac:dyDescent="0.25">
      <c r="A85" t="s">
        <v>136</v>
      </c>
      <c r="B85" s="4" t="s">
        <v>137</v>
      </c>
      <c r="C85" s="24">
        <v>6</v>
      </c>
      <c r="D85" s="13" t="s">
        <v>461</v>
      </c>
      <c r="E85" s="19" t="s">
        <v>403</v>
      </c>
      <c r="F85" s="25">
        <v>1</v>
      </c>
      <c r="G85" s="23">
        <v>1</v>
      </c>
      <c r="H85" s="23">
        <v>0.33300000000000002</v>
      </c>
      <c r="I85" s="23">
        <v>0</v>
      </c>
      <c r="J85" t="s">
        <v>136</v>
      </c>
      <c r="K85">
        <f t="shared" si="8"/>
        <v>4</v>
      </c>
      <c r="L85">
        <f t="shared" si="9"/>
        <v>1</v>
      </c>
      <c r="M85" s="32">
        <f>IF('Amputation Summary'!$Q$33=2, RANK(H85,H$8:H$87,1)+COUNTIF($H$8:H85,H85)-1, IF('Amputation Summary'!$Q$33=1, RANK(G85,G$8:G$87,1)+COUNTIF($G$8:G85,G85)-1))</f>
        <v>14</v>
      </c>
      <c r="N85" s="23">
        <f>IF('Amputation Summary'!$Q$33=2, H85, IF('Amputation Summary'!$Q$33=1, G85))</f>
        <v>0.33300000000000002</v>
      </c>
      <c r="O85" s="24">
        <v>8</v>
      </c>
      <c r="P85" s="32">
        <v>8</v>
      </c>
      <c r="Q85" s="32">
        <v>0</v>
      </c>
      <c r="R85" s="32">
        <v>10</v>
      </c>
      <c r="S85" s="32">
        <v>2</v>
      </c>
      <c r="T85" s="32">
        <v>51</v>
      </c>
      <c r="U85" s="32">
        <f t="shared" si="10"/>
        <v>100</v>
      </c>
      <c r="V85" s="25">
        <v>20.18292248249054</v>
      </c>
      <c r="W85" s="25">
        <v>495.4683780670166</v>
      </c>
      <c r="X85" s="25">
        <f t="shared" si="11"/>
        <v>79.81707751750946</v>
      </c>
      <c r="Y85" s="25">
        <f t="shared" si="12"/>
        <v>475.28545558452606</v>
      </c>
      <c r="Z85" s="32">
        <f>IF('Amputation Summary'!$Q$4=2, RANK(F85,F$8:F$87,1)+COUNTIF($F$8:F85,F85)-1, IF('Amputation Summary'!$Q$4=1, RANK(T85,T$8:T$87,1)+COUNTIF($T$8:T85,T85)-1))</f>
        <v>45</v>
      </c>
      <c r="AA85" s="32">
        <f>IF('Amputation Summary'!$Q$4=2, U85, IF('Amputation Summary'!$Q$4=1, O85))</f>
        <v>100</v>
      </c>
      <c r="AB85" s="32">
        <f>IF('Amputation Summary'!$Q$4=2, X85, IF('Amputation Summary'!$Q$4=1, Q85))</f>
        <v>79.81707751750946</v>
      </c>
      <c r="AC85" s="32">
        <f>IF('Amputation Summary'!$Q$4=2, Y85, IF('Amputation Summary'!$Q$4=1, S85))</f>
        <v>475.28545558452606</v>
      </c>
    </row>
    <row r="86" spans="1:29" x14ac:dyDescent="0.25">
      <c r="A86" t="s">
        <v>140</v>
      </c>
      <c r="B86" s="4" t="s">
        <v>141</v>
      </c>
      <c r="C86" s="24">
        <v>111</v>
      </c>
      <c r="D86" s="13" t="s">
        <v>463</v>
      </c>
      <c r="E86" s="19" t="s">
        <v>567</v>
      </c>
      <c r="F86" s="25">
        <v>1.03</v>
      </c>
      <c r="G86" s="23">
        <v>0.78400000000000003</v>
      </c>
      <c r="H86" s="23">
        <v>0.98199999999999998</v>
      </c>
      <c r="I86" s="23">
        <v>6.7000000000000004E-2</v>
      </c>
      <c r="J86" t="s">
        <v>140</v>
      </c>
      <c r="K86">
        <f t="shared" si="8"/>
        <v>1</v>
      </c>
      <c r="L86">
        <f t="shared" si="9"/>
        <v>4</v>
      </c>
      <c r="M86" s="32">
        <f>IF('Amputation Summary'!$Q$33=2, RANK(H86,H$8:H$87,1)+COUNTIF($H$8:H86,H86)-1, IF('Amputation Summary'!$Q$33=1, RANK(G86,G$8:G$87,1)+COUNTIF($G$8:G86,G86)-1))</f>
        <v>77</v>
      </c>
      <c r="N86" s="23">
        <f>IF('Amputation Summary'!$Q$33=2, H86, IF('Amputation Summary'!$Q$33=1, G86))</f>
        <v>0.98199999999999998</v>
      </c>
      <c r="O86" s="24">
        <v>6</v>
      </c>
      <c r="P86" s="32">
        <v>2</v>
      </c>
      <c r="Q86" s="32">
        <v>4</v>
      </c>
      <c r="R86" s="32">
        <v>11</v>
      </c>
      <c r="S86" s="32">
        <v>5</v>
      </c>
      <c r="T86" s="32">
        <v>17</v>
      </c>
      <c r="U86" s="32">
        <f t="shared" si="10"/>
        <v>103</v>
      </c>
      <c r="V86" s="25">
        <v>70.997446775436401</v>
      </c>
      <c r="W86" s="25">
        <v>149.42790269851685</v>
      </c>
      <c r="X86" s="25">
        <f t="shared" si="11"/>
        <v>32.002553224563599</v>
      </c>
      <c r="Y86" s="25">
        <f t="shared" si="12"/>
        <v>78.430455923080444</v>
      </c>
      <c r="Z86" s="32">
        <f>IF('Amputation Summary'!$Q$4=2, RANK(F86,F$8:F$87,1)+COUNTIF($F$8:F86,F86)-1, IF('Amputation Summary'!$Q$4=1, RANK(T86,T$8:T$87,1)+COUNTIF($T$8:T86,T86)-1))</f>
        <v>47</v>
      </c>
      <c r="AA86" s="32">
        <f>IF('Amputation Summary'!$Q$4=2, U86, IF('Amputation Summary'!$Q$4=1, O86))</f>
        <v>103</v>
      </c>
      <c r="AB86" s="32">
        <f>IF('Amputation Summary'!$Q$4=2, X86, IF('Amputation Summary'!$Q$4=1, Q86))</f>
        <v>32.002553224563599</v>
      </c>
      <c r="AC86" s="32">
        <f>IF('Amputation Summary'!$Q$4=2, Y86, IF('Amputation Summary'!$Q$4=1, S86))</f>
        <v>78.430455923080444</v>
      </c>
    </row>
    <row r="87" spans="1:29" x14ac:dyDescent="0.25">
      <c r="A87" t="s">
        <v>35</v>
      </c>
      <c r="B87" s="4" t="s">
        <v>36</v>
      </c>
      <c r="C87" s="24">
        <v>80</v>
      </c>
      <c r="D87" s="13" t="s">
        <v>420</v>
      </c>
      <c r="E87" s="19" t="s">
        <v>788</v>
      </c>
      <c r="F87" s="25">
        <v>0.83</v>
      </c>
      <c r="G87" s="23">
        <v>0.91300000000000003</v>
      </c>
      <c r="H87" s="23">
        <v>0.83799999999999997</v>
      </c>
      <c r="I87" s="23">
        <v>6.0999999999999999E-2</v>
      </c>
      <c r="J87" t="s">
        <v>35</v>
      </c>
      <c r="K87">
        <f t="shared" si="8"/>
        <v>3</v>
      </c>
      <c r="L87">
        <f t="shared" si="9"/>
        <v>3</v>
      </c>
      <c r="M87" s="32">
        <f>IF('Amputation Summary'!$Q$33=2, RANK(H87,H$8:H$87,1)+COUNTIF($H$8:H87,H87)-1, IF('Amputation Summary'!$Q$33=1, RANK(G87,G$8:G$87,1)+COUNTIF($G$8:G87,G87)-1))</f>
        <v>46</v>
      </c>
      <c r="N87" s="23">
        <f>IF('Amputation Summary'!$Q$33=2, H87, IF('Amputation Summary'!$Q$33=1, G87))</f>
        <v>0.83799999999999997</v>
      </c>
      <c r="O87" s="24">
        <v>8</v>
      </c>
      <c r="P87" s="32">
        <v>3</v>
      </c>
      <c r="Q87" s="32">
        <v>5</v>
      </c>
      <c r="R87" s="32">
        <v>45</v>
      </c>
      <c r="S87" s="32">
        <v>37</v>
      </c>
      <c r="T87" s="32">
        <v>40</v>
      </c>
      <c r="U87" s="32">
        <f t="shared" si="10"/>
        <v>83</v>
      </c>
      <c r="V87" s="25">
        <v>53.547614812850952</v>
      </c>
      <c r="W87" s="25">
        <v>128.65184545516968</v>
      </c>
      <c r="X87" s="25">
        <f t="shared" si="11"/>
        <v>29.452385187149048</v>
      </c>
      <c r="Y87" s="25">
        <f t="shared" si="12"/>
        <v>75.104230642318726</v>
      </c>
      <c r="Z87" s="32">
        <f>IF('Amputation Summary'!$Q$4=2, RANK(F87,F$8:F$87,1)+COUNTIF($F$8:F87,F87)-1, IF('Amputation Summary'!$Q$4=1, RANK(T87,T$8:T$87,1)+COUNTIF($T$8:T87,T87)-1))</f>
        <v>34</v>
      </c>
      <c r="AA87" s="32">
        <f>IF('Amputation Summary'!$Q$4=2, U87, IF('Amputation Summary'!$Q$4=1, O87))</f>
        <v>83</v>
      </c>
      <c r="AB87" s="32">
        <f>IF('Amputation Summary'!$Q$4=2, X87, IF('Amputation Summary'!$Q$4=1, Q87))</f>
        <v>29.452385187149048</v>
      </c>
      <c r="AC87" s="32">
        <f>IF('Amputation Summary'!$Q$4=2, Y87, IF('Amputation Summary'!$Q$4=1, S87))</f>
        <v>75.104230642318726</v>
      </c>
    </row>
  </sheetData>
  <sortState ref="A8:U91">
    <sortCondition ref="B8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0.140625" bestFit="1" customWidth="1"/>
    <col min="2" max="2" width="63.7109375" bestFit="1" customWidth="1"/>
    <col min="3" max="3" width="10" bestFit="1" customWidth="1"/>
    <col min="4" max="4" width="15.42578125" customWidth="1"/>
    <col min="5" max="5" width="6" bestFit="1" customWidth="1"/>
    <col min="6" max="6" width="10.140625" bestFit="1" customWidth="1"/>
    <col min="7" max="7" width="19.7109375" customWidth="1"/>
    <col min="8" max="8" width="16.85546875" bestFit="1" customWidth="1"/>
    <col min="9" max="9" width="12.28515625" bestFit="1" customWidth="1"/>
    <col min="10" max="10" width="14.140625" bestFit="1" customWidth="1"/>
    <col min="11" max="11" width="15.28515625" customWidth="1"/>
    <col min="12" max="12" width="15" customWidth="1"/>
    <col min="13" max="13" width="6.42578125" bestFit="1" customWidth="1"/>
    <col min="14" max="14" width="8.28515625" bestFit="1" customWidth="1"/>
    <col min="15" max="15" width="8.7109375" bestFit="1" customWidth="1"/>
    <col min="16" max="16" width="6" bestFit="1" customWidth="1"/>
    <col min="17" max="17" width="9.85546875" bestFit="1" customWidth="1"/>
    <col min="18" max="19" width="10.140625" bestFit="1" customWidth="1"/>
    <col min="20" max="20" width="10" bestFit="1" customWidth="1"/>
    <col min="21" max="21" width="11.7109375" bestFit="1" customWidth="1"/>
    <col min="22" max="22" width="10" bestFit="1" customWidth="1"/>
    <col min="23" max="23" width="10.5703125" bestFit="1" customWidth="1"/>
    <col min="24" max="24" width="10.140625" bestFit="1" customWidth="1"/>
    <col min="25" max="25" width="10.5703125" bestFit="1" customWidth="1"/>
    <col min="26" max="26" width="8.42578125" bestFit="1" customWidth="1"/>
    <col min="27" max="27" width="6.42578125" bestFit="1" customWidth="1"/>
    <col min="28" max="29" width="8.42578125" bestFit="1" customWidth="1"/>
  </cols>
  <sheetData>
    <row r="1" spans="1:29" ht="60" x14ac:dyDescent="0.25">
      <c r="A1" s="92" t="s">
        <v>189</v>
      </c>
      <c r="B1" s="92" t="s">
        <v>183</v>
      </c>
      <c r="C1" s="93" t="s">
        <v>190</v>
      </c>
      <c r="D1" s="27" t="s">
        <v>1110</v>
      </c>
      <c r="E1" s="27" t="s">
        <v>1108</v>
      </c>
      <c r="F1" s="27" t="s">
        <v>1109</v>
      </c>
      <c r="G1" s="94" t="s">
        <v>206</v>
      </c>
      <c r="H1" s="93" t="s">
        <v>209</v>
      </c>
      <c r="I1" s="33" t="s">
        <v>770</v>
      </c>
      <c r="J1" s="27" t="s">
        <v>1148</v>
      </c>
      <c r="K1" s="27" t="s">
        <v>523</v>
      </c>
      <c r="L1" s="27" t="s">
        <v>524</v>
      </c>
      <c r="M1" s="92" t="s">
        <v>189</v>
      </c>
      <c r="N1" s="27" t="s">
        <v>1133</v>
      </c>
      <c r="O1" s="27" t="s">
        <v>1134</v>
      </c>
      <c r="P1" s="27" t="s">
        <v>1135</v>
      </c>
      <c r="Q1" s="27" t="s">
        <v>1136</v>
      </c>
      <c r="R1" s="27" t="s">
        <v>1137</v>
      </c>
      <c r="S1" s="27" t="s">
        <v>1144</v>
      </c>
      <c r="T1" s="27" t="s">
        <v>1138</v>
      </c>
      <c r="U1" s="27" t="s">
        <v>1139</v>
      </c>
      <c r="V1" s="27" t="s">
        <v>1140</v>
      </c>
      <c r="W1" s="27" t="s">
        <v>1141</v>
      </c>
      <c r="X1" s="27" t="s">
        <v>1142</v>
      </c>
      <c r="Y1" s="27" t="s">
        <v>1143</v>
      </c>
      <c r="Z1" s="95" t="s">
        <v>1124</v>
      </c>
      <c r="AA1" s="95" t="s">
        <v>1149</v>
      </c>
      <c r="AB1" s="95" t="s">
        <v>1128</v>
      </c>
      <c r="AC1" s="95" t="s">
        <v>1129</v>
      </c>
    </row>
    <row r="2" spans="1:29" x14ac:dyDescent="0.25">
      <c r="A2" s="96" t="s">
        <v>46</v>
      </c>
      <c r="B2" s="29" t="s">
        <v>47</v>
      </c>
      <c r="C2" s="97">
        <v>25</v>
      </c>
      <c r="D2" s="98">
        <v>1</v>
      </c>
      <c r="E2" s="98">
        <v>0.72</v>
      </c>
      <c r="F2" s="98">
        <v>0.88</v>
      </c>
      <c r="G2" s="99" t="s">
        <v>371</v>
      </c>
      <c r="H2" s="100" t="e">
        <v>#N/A</v>
      </c>
      <c r="I2" s="101">
        <v>21</v>
      </c>
      <c r="J2" s="100">
        <v>0.14299999999999999</v>
      </c>
      <c r="K2" s="30">
        <v>4</v>
      </c>
      <c r="L2" s="30" t="s">
        <v>772</v>
      </c>
      <c r="M2" s="96" t="s">
        <v>46</v>
      </c>
      <c r="N2" s="98">
        <v>0.86</v>
      </c>
      <c r="O2" s="98">
        <v>1</v>
      </c>
      <c r="P2" s="98">
        <v>0.51</v>
      </c>
      <c r="Q2" s="98">
        <v>0.88</v>
      </c>
      <c r="R2" s="98">
        <v>0.69</v>
      </c>
      <c r="S2" s="98">
        <v>0.97</v>
      </c>
      <c r="T2" s="98">
        <f t="shared" ref="T2:T33" si="0">D2-N2</f>
        <v>0.14000000000000001</v>
      </c>
      <c r="U2" s="98">
        <f t="shared" ref="U2:U33" si="1">O2-D2</f>
        <v>0</v>
      </c>
      <c r="V2" s="98">
        <f t="shared" ref="V2:V33" si="2">E2-P2</f>
        <v>0.20999999999999996</v>
      </c>
      <c r="W2" s="98">
        <f t="shared" ref="W2:W33" si="3">Q2-E2</f>
        <v>0.16000000000000003</v>
      </c>
      <c r="X2" s="98">
        <f t="shared" ref="X2:X33" si="4">F2-R2</f>
        <v>0.19000000000000006</v>
      </c>
      <c r="Y2" s="98">
        <f t="shared" ref="Y2:Y33" si="5">S2-F2</f>
        <v>8.9999999999999969E-2</v>
      </c>
      <c r="Z2" s="30">
        <f>IF('Angioplasty Summary'!$R$55=3, RANK(F2,F$2:F$92,1)+COUNTIF($F$2:F2,F2)-1, IF('Angioplasty Summary'!$R$55=2, RANK(E2,E$2:E$92,1)+COUNTIF($E$2:E2,E2)-1, IF('Angioplasty Summary'!$R$55=1, RANK(D2,D$2:D$92,1)+COUNTIF($D$2:D2,D2)-1)))</f>
        <v>46</v>
      </c>
      <c r="AA2" s="98">
        <f>IF('Angioplasty Summary'!$R$55=3, F2, IF('Angioplasty Summary'!$R$55=2, E2, IF('Angioplasty Summary'!$R$55=1, D2)))</f>
        <v>1</v>
      </c>
      <c r="AB2" s="98">
        <f>IF('Angioplasty Summary'!$R$55=3, X2, IF('Angioplasty Summary'!$R$55=2, V2, IF('Angioplasty Summary'!$R$55=1, T2)))</f>
        <v>0.14000000000000001</v>
      </c>
      <c r="AC2" s="98">
        <f>IF('Angioplasty Summary'!$R$55=3, Y2, IF('Angioplasty Summary'!$R$55=2, W2, IF('Angioplasty Summary'!$R$55=1, U2)))</f>
        <v>0</v>
      </c>
    </row>
    <row r="3" spans="1:29" x14ac:dyDescent="0.25">
      <c r="A3" s="96" t="s">
        <v>9</v>
      </c>
      <c r="B3" s="29" t="s">
        <v>10</v>
      </c>
      <c r="C3" s="97">
        <v>51</v>
      </c>
      <c r="D3" s="98">
        <v>1</v>
      </c>
      <c r="E3" s="98">
        <v>0.65</v>
      </c>
      <c r="F3" s="98">
        <v>0.94</v>
      </c>
      <c r="G3" s="99" t="s">
        <v>357</v>
      </c>
      <c r="H3" s="100">
        <v>9.8000000000000004E-2</v>
      </c>
      <c r="I3" s="101">
        <v>19</v>
      </c>
      <c r="J3" s="100">
        <v>0.158</v>
      </c>
      <c r="K3" s="30">
        <v>11</v>
      </c>
      <c r="L3" s="30" t="s">
        <v>513</v>
      </c>
      <c r="M3" s="96" t="s">
        <v>9</v>
      </c>
      <c r="N3" s="98">
        <v>0.93</v>
      </c>
      <c r="O3" s="98">
        <v>1</v>
      </c>
      <c r="P3" s="98">
        <v>0.5</v>
      </c>
      <c r="Q3" s="98">
        <v>0.78</v>
      </c>
      <c r="R3" s="98">
        <v>0.84</v>
      </c>
      <c r="S3" s="98">
        <v>0.99</v>
      </c>
      <c r="T3" s="98">
        <f t="shared" si="0"/>
        <v>6.9999999999999951E-2</v>
      </c>
      <c r="U3" s="98">
        <f t="shared" si="1"/>
        <v>0</v>
      </c>
      <c r="V3" s="98">
        <f t="shared" si="2"/>
        <v>0.15000000000000002</v>
      </c>
      <c r="W3" s="98">
        <f t="shared" si="3"/>
        <v>0.13</v>
      </c>
      <c r="X3" s="98">
        <f t="shared" si="4"/>
        <v>9.9999999999999978E-2</v>
      </c>
      <c r="Y3" s="98">
        <f t="shared" si="5"/>
        <v>5.0000000000000044E-2</v>
      </c>
      <c r="Z3" s="30">
        <f>IF('Angioplasty Summary'!$R$55=3, RANK(F3,F$2:F$92,1)+COUNTIF($F$2:F3,F3)-1, IF('Angioplasty Summary'!$R$55=2, RANK(E3,E$2:E$92,1)+COUNTIF($E$2:E3,E3)-1, IF('Angioplasty Summary'!$R$55=1, RANK(D3,D$2:D$92,1)+COUNTIF($D$2:D3,D3)-1)))</f>
        <v>47</v>
      </c>
      <c r="AA3" s="98">
        <f>IF('Angioplasty Summary'!$R$55=3, F3, IF('Angioplasty Summary'!$R$55=2, E3, IF('Angioplasty Summary'!$R$55=1, D3)))</f>
        <v>1</v>
      </c>
      <c r="AB3" s="98">
        <f>IF('Angioplasty Summary'!$R$55=3, X3, IF('Angioplasty Summary'!$R$55=2, V3, IF('Angioplasty Summary'!$R$55=1, T3)))</f>
        <v>6.9999999999999951E-2</v>
      </c>
      <c r="AC3" s="98">
        <f>IF('Angioplasty Summary'!$R$55=3, Y3, IF('Angioplasty Summary'!$R$55=2, W3, IF('Angioplasty Summary'!$R$55=1, U3)))</f>
        <v>0</v>
      </c>
    </row>
    <row r="4" spans="1:29" x14ac:dyDescent="0.25">
      <c r="A4" s="96" t="s">
        <v>120</v>
      </c>
      <c r="B4" s="29" t="s">
        <v>121</v>
      </c>
      <c r="C4" s="97">
        <v>91</v>
      </c>
      <c r="D4" s="98">
        <v>0.91</v>
      </c>
      <c r="E4" s="98">
        <v>0.45</v>
      </c>
      <c r="F4" s="98">
        <v>0.97</v>
      </c>
      <c r="G4" s="99" t="s">
        <v>387</v>
      </c>
      <c r="H4" s="100" t="e">
        <v>#N/A</v>
      </c>
      <c r="I4" s="101">
        <v>88</v>
      </c>
      <c r="J4" s="100">
        <v>6.8000000000000005E-2</v>
      </c>
      <c r="K4" s="30">
        <v>12</v>
      </c>
      <c r="L4" s="30" t="s">
        <v>527</v>
      </c>
      <c r="M4" s="96" t="s">
        <v>120</v>
      </c>
      <c r="N4" s="98">
        <v>0.83</v>
      </c>
      <c r="O4" s="98">
        <v>0.96</v>
      </c>
      <c r="P4" s="98">
        <v>0.35</v>
      </c>
      <c r="Q4" s="98">
        <v>0.56000000000000005</v>
      </c>
      <c r="R4" s="98">
        <v>0.91</v>
      </c>
      <c r="S4" s="98">
        <v>0.99</v>
      </c>
      <c r="T4" s="98">
        <f t="shared" si="0"/>
        <v>8.0000000000000071E-2</v>
      </c>
      <c r="U4" s="98">
        <f t="shared" si="1"/>
        <v>4.9999999999999933E-2</v>
      </c>
      <c r="V4" s="98">
        <f t="shared" si="2"/>
        <v>0.10000000000000003</v>
      </c>
      <c r="W4" s="98">
        <f t="shared" si="3"/>
        <v>0.11000000000000004</v>
      </c>
      <c r="X4" s="98">
        <f t="shared" si="4"/>
        <v>5.9999999999999942E-2</v>
      </c>
      <c r="Y4" s="98">
        <f t="shared" si="5"/>
        <v>2.0000000000000018E-2</v>
      </c>
      <c r="Z4" s="30">
        <f>IF('Angioplasty Summary'!$R$55=3, RANK(F4,F$2:F$92,1)+COUNTIF($F$2:F4,F4)-1, IF('Angioplasty Summary'!$R$55=2, RANK(E4,E$2:E$92,1)+COUNTIF($E$2:E4,E4)-1, IF('Angioplasty Summary'!$R$55=1, RANK(D4,D$2:D$92,1)+COUNTIF($D$2:D4,D4)-1)))</f>
        <v>3</v>
      </c>
      <c r="AA4" s="98">
        <f>IF('Angioplasty Summary'!$R$55=3, F4, IF('Angioplasty Summary'!$R$55=2, E4, IF('Angioplasty Summary'!$R$55=1, D4)))</f>
        <v>0.91</v>
      </c>
      <c r="AB4" s="98">
        <f>IF('Angioplasty Summary'!$R$55=3, X4, IF('Angioplasty Summary'!$R$55=2, V4, IF('Angioplasty Summary'!$R$55=1, T4)))</f>
        <v>8.0000000000000071E-2</v>
      </c>
      <c r="AC4" s="98">
        <f>IF('Angioplasty Summary'!$R$55=3, Y4, IF('Angioplasty Summary'!$R$55=2, W4, IF('Angioplasty Summary'!$R$55=1, U4)))</f>
        <v>4.9999999999999933E-2</v>
      </c>
    </row>
    <row r="5" spans="1:29" x14ac:dyDescent="0.25">
      <c r="A5" s="96" t="s">
        <v>48</v>
      </c>
      <c r="B5" s="29" t="s">
        <v>49</v>
      </c>
      <c r="C5" s="97">
        <v>635</v>
      </c>
      <c r="D5" s="98">
        <v>0.93</v>
      </c>
      <c r="E5" s="98">
        <v>0.46</v>
      </c>
      <c r="F5" s="98">
        <v>0.85</v>
      </c>
      <c r="G5" s="99" t="s">
        <v>372</v>
      </c>
      <c r="H5" s="100">
        <v>2.7E-2</v>
      </c>
      <c r="I5" s="101">
        <v>616</v>
      </c>
      <c r="J5" s="100">
        <v>0.13300000000000001</v>
      </c>
      <c r="K5" s="30">
        <v>87</v>
      </c>
      <c r="L5" s="30" t="s">
        <v>673</v>
      </c>
      <c r="M5" s="96" t="s">
        <v>48</v>
      </c>
      <c r="N5" s="98">
        <v>0.91</v>
      </c>
      <c r="O5" s="98">
        <v>0.95</v>
      </c>
      <c r="P5" s="98">
        <v>0.42</v>
      </c>
      <c r="Q5" s="98">
        <v>0.5</v>
      </c>
      <c r="R5" s="98">
        <v>0.82</v>
      </c>
      <c r="S5" s="98">
        <v>0.88</v>
      </c>
      <c r="T5" s="98">
        <f t="shared" si="0"/>
        <v>2.0000000000000018E-2</v>
      </c>
      <c r="U5" s="98">
        <f t="shared" si="1"/>
        <v>1.9999999999999907E-2</v>
      </c>
      <c r="V5" s="98">
        <f t="shared" si="2"/>
        <v>4.0000000000000036E-2</v>
      </c>
      <c r="W5" s="98">
        <f t="shared" si="3"/>
        <v>3.999999999999998E-2</v>
      </c>
      <c r="X5" s="98">
        <f t="shared" si="4"/>
        <v>3.0000000000000027E-2</v>
      </c>
      <c r="Y5" s="98">
        <f t="shared" si="5"/>
        <v>3.0000000000000027E-2</v>
      </c>
      <c r="Z5" s="30">
        <f>IF('Angioplasty Summary'!$R$55=3, RANK(F5,F$2:F$92,1)+COUNTIF($F$2:F5,F5)-1, IF('Angioplasty Summary'!$R$55=2, RANK(E5,E$2:E$92,1)+COUNTIF($E$2:E5,E5)-1, IF('Angioplasty Summary'!$R$55=1, RANK(D5,D$2:D$92,1)+COUNTIF($D$2:D5,D5)-1)))</f>
        <v>7</v>
      </c>
      <c r="AA5" s="98">
        <f>IF('Angioplasty Summary'!$R$55=3, F5, IF('Angioplasty Summary'!$R$55=2, E5, IF('Angioplasty Summary'!$R$55=1, D5)))</f>
        <v>0.93</v>
      </c>
      <c r="AB5" s="98">
        <f>IF('Angioplasty Summary'!$R$55=3, X5, IF('Angioplasty Summary'!$R$55=2, V5, IF('Angioplasty Summary'!$R$55=1, T5)))</f>
        <v>2.0000000000000018E-2</v>
      </c>
      <c r="AC5" s="98">
        <f>IF('Angioplasty Summary'!$R$55=3, Y5, IF('Angioplasty Summary'!$R$55=2, W5, IF('Angioplasty Summary'!$R$55=1, U5)))</f>
        <v>1.9999999999999907E-2</v>
      </c>
    </row>
    <row r="6" spans="1:29" x14ac:dyDescent="0.25">
      <c r="A6" s="96" t="s">
        <v>13</v>
      </c>
      <c r="B6" s="29" t="s">
        <v>14</v>
      </c>
      <c r="C6" s="97">
        <v>680</v>
      </c>
      <c r="D6" s="98">
        <v>0.97</v>
      </c>
      <c r="E6" s="98">
        <v>0.41</v>
      </c>
      <c r="F6" s="98">
        <v>0.82</v>
      </c>
      <c r="G6" s="99" t="s">
        <v>359</v>
      </c>
      <c r="H6" s="100">
        <v>2.9000000000000001E-2</v>
      </c>
      <c r="I6" s="101">
        <v>590</v>
      </c>
      <c r="J6" s="100">
        <v>0.188</v>
      </c>
      <c r="K6" s="30">
        <v>70</v>
      </c>
      <c r="L6" s="30" t="s">
        <v>757</v>
      </c>
      <c r="M6" s="96" t="s">
        <v>13</v>
      </c>
      <c r="N6" s="98">
        <v>0.94</v>
      </c>
      <c r="O6" s="98">
        <v>0.99</v>
      </c>
      <c r="P6" s="98">
        <v>0.37</v>
      </c>
      <c r="Q6" s="98">
        <v>0.44</v>
      </c>
      <c r="R6" s="98">
        <v>0.77</v>
      </c>
      <c r="S6" s="98">
        <v>0.87</v>
      </c>
      <c r="T6" s="98">
        <f t="shared" si="0"/>
        <v>3.0000000000000027E-2</v>
      </c>
      <c r="U6" s="98">
        <f t="shared" si="1"/>
        <v>2.0000000000000018E-2</v>
      </c>
      <c r="V6" s="98">
        <f t="shared" si="2"/>
        <v>3.999999999999998E-2</v>
      </c>
      <c r="W6" s="98">
        <f t="shared" si="3"/>
        <v>3.0000000000000027E-2</v>
      </c>
      <c r="X6" s="98">
        <f t="shared" si="4"/>
        <v>4.9999999999999933E-2</v>
      </c>
      <c r="Y6" s="98">
        <f t="shared" si="5"/>
        <v>5.0000000000000044E-2</v>
      </c>
      <c r="Z6" s="30">
        <f>IF('Angioplasty Summary'!$R$55=3, RANK(F6,F$2:F$92,1)+COUNTIF($F$2:F6,F6)-1, IF('Angioplasty Summary'!$R$55=2, RANK(E6,E$2:E$92,1)+COUNTIF($E$2:E6,E6)-1, IF('Angioplasty Summary'!$R$55=1, RANK(D6,D$2:D$92,1)+COUNTIF($D$2:D6,D6)-1)))</f>
        <v>19</v>
      </c>
      <c r="AA6" s="98">
        <f>IF('Angioplasty Summary'!$R$55=3, F6, IF('Angioplasty Summary'!$R$55=2, E6, IF('Angioplasty Summary'!$R$55=1, D6)))</f>
        <v>0.97</v>
      </c>
      <c r="AB6" s="98">
        <f>IF('Angioplasty Summary'!$R$55=3, X6, IF('Angioplasty Summary'!$R$55=2, V6, IF('Angioplasty Summary'!$R$55=1, T6)))</f>
        <v>3.0000000000000027E-2</v>
      </c>
      <c r="AC6" s="98">
        <f>IF('Angioplasty Summary'!$R$55=3, Y6, IF('Angioplasty Summary'!$R$55=2, W6, IF('Angioplasty Summary'!$R$55=1, U6)))</f>
        <v>2.0000000000000018E-2</v>
      </c>
    </row>
    <row r="7" spans="1:29" x14ac:dyDescent="0.25">
      <c r="A7" s="96" t="s">
        <v>37</v>
      </c>
      <c r="B7" s="29" t="s">
        <v>38</v>
      </c>
      <c r="C7" s="97">
        <v>20</v>
      </c>
      <c r="D7" s="98">
        <v>1</v>
      </c>
      <c r="E7" s="98">
        <v>0.3</v>
      </c>
      <c r="F7" s="98">
        <v>1</v>
      </c>
      <c r="G7" s="99" t="s">
        <v>368</v>
      </c>
      <c r="H7" s="100" t="e">
        <v>#N/A</v>
      </c>
      <c r="I7" s="101">
        <v>14</v>
      </c>
      <c r="J7" s="100">
        <v>0.14299999999999999</v>
      </c>
      <c r="K7" s="30">
        <v>3</v>
      </c>
      <c r="L7" s="30" t="s">
        <v>772</v>
      </c>
      <c r="M7" s="96" t="s">
        <v>37</v>
      </c>
      <c r="N7" s="98">
        <v>0.83</v>
      </c>
      <c r="O7" s="98">
        <v>1</v>
      </c>
      <c r="P7" s="98">
        <v>0.12</v>
      </c>
      <c r="Q7" s="98">
        <v>0.54</v>
      </c>
      <c r="R7" s="98">
        <v>0.82</v>
      </c>
      <c r="S7" s="98">
        <v>1</v>
      </c>
      <c r="T7" s="98">
        <f t="shared" si="0"/>
        <v>0.17000000000000004</v>
      </c>
      <c r="U7" s="98">
        <f t="shared" si="1"/>
        <v>0</v>
      </c>
      <c r="V7" s="98">
        <f t="shared" si="2"/>
        <v>0.18</v>
      </c>
      <c r="W7" s="98">
        <f t="shared" si="3"/>
        <v>0.24000000000000005</v>
      </c>
      <c r="X7" s="98">
        <f t="shared" si="4"/>
        <v>0.18000000000000005</v>
      </c>
      <c r="Y7" s="98">
        <f t="shared" si="5"/>
        <v>0</v>
      </c>
      <c r="Z7" s="30">
        <f>IF('Angioplasty Summary'!$R$55=3, RANK(F7,F$2:F$92,1)+COUNTIF($F$2:F7,F7)-1, IF('Angioplasty Summary'!$R$55=2, RANK(E7,E$2:E$92,1)+COUNTIF($E$2:E7,E7)-1, IF('Angioplasty Summary'!$R$55=1, RANK(D7,D$2:D$92,1)+COUNTIF($D$2:D7,D7)-1)))</f>
        <v>48</v>
      </c>
      <c r="AA7" s="98">
        <f>IF('Angioplasty Summary'!$R$55=3, F7, IF('Angioplasty Summary'!$R$55=2, E7, IF('Angioplasty Summary'!$R$55=1, D7)))</f>
        <v>1</v>
      </c>
      <c r="AB7" s="98">
        <f>IF('Angioplasty Summary'!$R$55=3, X7, IF('Angioplasty Summary'!$R$55=2, V7, IF('Angioplasty Summary'!$R$55=1, T7)))</f>
        <v>0.17000000000000004</v>
      </c>
      <c r="AC7" s="98">
        <f>IF('Angioplasty Summary'!$R$55=3, Y7, IF('Angioplasty Summary'!$R$55=2, W7, IF('Angioplasty Summary'!$R$55=1, U7)))</f>
        <v>0</v>
      </c>
    </row>
    <row r="8" spans="1:29" x14ac:dyDescent="0.25">
      <c r="A8" s="96" t="s">
        <v>33</v>
      </c>
      <c r="B8" s="29" t="s">
        <v>34</v>
      </c>
      <c r="C8" s="97">
        <v>410</v>
      </c>
      <c r="D8" s="98">
        <v>0.99</v>
      </c>
      <c r="E8" s="98">
        <v>0.88</v>
      </c>
      <c r="F8" s="98">
        <v>0.89</v>
      </c>
      <c r="G8" s="99" t="s">
        <v>361</v>
      </c>
      <c r="H8" s="100">
        <v>0</v>
      </c>
      <c r="I8" s="101">
        <v>52</v>
      </c>
      <c r="J8" s="100">
        <v>1.9E-2</v>
      </c>
      <c r="K8" s="30">
        <v>83</v>
      </c>
      <c r="L8" s="30" t="s">
        <v>361</v>
      </c>
      <c r="M8" s="96" t="s">
        <v>33</v>
      </c>
      <c r="N8" s="98">
        <v>0.97</v>
      </c>
      <c r="O8" s="98">
        <v>1</v>
      </c>
      <c r="P8" s="98">
        <v>0.85</v>
      </c>
      <c r="Q8" s="98">
        <v>0.91</v>
      </c>
      <c r="R8" s="98">
        <v>0.86</v>
      </c>
      <c r="S8" s="98">
        <v>0.92</v>
      </c>
      <c r="T8" s="98">
        <f t="shared" si="0"/>
        <v>2.0000000000000018E-2</v>
      </c>
      <c r="U8" s="98">
        <f t="shared" si="1"/>
        <v>1.0000000000000009E-2</v>
      </c>
      <c r="V8" s="98">
        <f t="shared" si="2"/>
        <v>3.0000000000000027E-2</v>
      </c>
      <c r="W8" s="98">
        <f t="shared" si="3"/>
        <v>3.0000000000000027E-2</v>
      </c>
      <c r="X8" s="98">
        <f t="shared" si="4"/>
        <v>3.0000000000000027E-2</v>
      </c>
      <c r="Y8" s="98">
        <f t="shared" si="5"/>
        <v>3.0000000000000027E-2</v>
      </c>
      <c r="Z8" s="30">
        <f>IF('Angioplasty Summary'!$R$55=3, RANK(F8,F$2:F$92,1)+COUNTIF($F$2:F8,F8)-1, IF('Angioplasty Summary'!$R$55=2, RANK(E8,E$2:E$92,1)+COUNTIF($E$2:E8,E8)-1, IF('Angioplasty Summary'!$R$55=1, RANK(D8,D$2:D$92,1)+COUNTIF($D$2:D8,D8)-1)))</f>
        <v>37</v>
      </c>
      <c r="AA8" s="98">
        <f>IF('Angioplasty Summary'!$R$55=3, F8, IF('Angioplasty Summary'!$R$55=2, E8, IF('Angioplasty Summary'!$R$55=1, D8)))</f>
        <v>0.99</v>
      </c>
      <c r="AB8" s="98">
        <f>IF('Angioplasty Summary'!$R$55=3, X8, IF('Angioplasty Summary'!$R$55=2, V8, IF('Angioplasty Summary'!$R$55=1, T8)))</f>
        <v>2.0000000000000018E-2</v>
      </c>
      <c r="AC8" s="98">
        <f>IF('Angioplasty Summary'!$R$55=3, Y8, IF('Angioplasty Summary'!$R$55=2, W8, IF('Angioplasty Summary'!$R$55=1, U8)))</f>
        <v>1.0000000000000009E-2</v>
      </c>
    </row>
    <row r="9" spans="1:29" x14ac:dyDescent="0.25">
      <c r="A9" s="96" t="s">
        <v>180</v>
      </c>
      <c r="B9" s="29" t="s">
        <v>181</v>
      </c>
      <c r="C9" s="97">
        <v>559</v>
      </c>
      <c r="D9" s="98">
        <v>0.99</v>
      </c>
      <c r="E9" s="98">
        <v>0.72</v>
      </c>
      <c r="F9" s="98">
        <v>0.85</v>
      </c>
      <c r="G9" s="99" t="s">
        <v>375</v>
      </c>
      <c r="H9" s="100">
        <v>2E-3</v>
      </c>
      <c r="I9" s="101">
        <v>551</v>
      </c>
      <c r="J9" s="100">
        <v>0.16700000000000001</v>
      </c>
      <c r="K9" s="30">
        <v>92</v>
      </c>
      <c r="L9" s="30" t="s">
        <v>513</v>
      </c>
      <c r="M9" s="96" t="s">
        <v>180</v>
      </c>
      <c r="N9" s="98">
        <v>0.97</v>
      </c>
      <c r="O9" s="98">
        <v>0.99</v>
      </c>
      <c r="P9" s="98">
        <v>0.68</v>
      </c>
      <c r="Q9" s="98">
        <v>0.76</v>
      </c>
      <c r="R9" s="98">
        <v>0.82</v>
      </c>
      <c r="S9" s="98">
        <v>0.88</v>
      </c>
      <c r="T9" s="98">
        <f t="shared" si="0"/>
        <v>2.0000000000000018E-2</v>
      </c>
      <c r="U9" s="98">
        <f t="shared" si="1"/>
        <v>0</v>
      </c>
      <c r="V9" s="98">
        <f t="shared" si="2"/>
        <v>3.9999999999999925E-2</v>
      </c>
      <c r="W9" s="98">
        <f t="shared" si="3"/>
        <v>4.0000000000000036E-2</v>
      </c>
      <c r="X9" s="98">
        <f t="shared" si="4"/>
        <v>3.0000000000000027E-2</v>
      </c>
      <c r="Y9" s="98">
        <f t="shared" si="5"/>
        <v>3.0000000000000027E-2</v>
      </c>
      <c r="Z9" s="30">
        <f>IF('Angioplasty Summary'!$R$55=3, RANK(F9,F$2:F$92,1)+COUNTIF($F$2:F9,F9)-1, IF('Angioplasty Summary'!$R$55=2, RANK(E9,E$2:E$92,1)+COUNTIF($E$2:E9,E9)-1, IF('Angioplasty Summary'!$R$55=1, RANK(D9,D$2:D$92,1)+COUNTIF($D$2:D9,D9)-1)))</f>
        <v>38</v>
      </c>
      <c r="AA9" s="98">
        <f>IF('Angioplasty Summary'!$R$55=3, F9, IF('Angioplasty Summary'!$R$55=2, E9, IF('Angioplasty Summary'!$R$55=1, D9)))</f>
        <v>0.99</v>
      </c>
      <c r="AB9" s="98">
        <f>IF('Angioplasty Summary'!$R$55=3, X9, IF('Angioplasty Summary'!$R$55=2, V9, IF('Angioplasty Summary'!$R$55=1, T9)))</f>
        <v>2.0000000000000018E-2</v>
      </c>
      <c r="AC9" s="98">
        <f>IF('Angioplasty Summary'!$R$55=3, Y9, IF('Angioplasty Summary'!$R$55=2, W9, IF('Angioplasty Summary'!$R$55=1, U9)))</f>
        <v>0</v>
      </c>
    </row>
    <row r="10" spans="1:29" x14ac:dyDescent="0.25">
      <c r="A10" s="1" t="s">
        <v>0</v>
      </c>
      <c r="B10" s="1" t="s">
        <v>1</v>
      </c>
      <c r="C10" s="5">
        <v>0</v>
      </c>
      <c r="D10" s="5" t="s">
        <v>772</v>
      </c>
      <c r="E10" t="s">
        <v>772</v>
      </c>
      <c r="F10" t="s">
        <v>772</v>
      </c>
      <c r="G10" s="13" t="s">
        <v>772</v>
      </c>
      <c r="H10" t="e">
        <v>#N/A</v>
      </c>
      <c r="I10" s="101">
        <v>0</v>
      </c>
      <c r="J10" s="101" t="s">
        <v>772</v>
      </c>
      <c r="K10" s="30">
        <v>0</v>
      </c>
      <c r="L10" s="30" t="s">
        <v>772</v>
      </c>
      <c r="M10" t="s">
        <v>0</v>
      </c>
      <c r="N10" t="s">
        <v>772</v>
      </c>
      <c r="O10" t="s">
        <v>772</v>
      </c>
      <c r="P10" t="s">
        <v>772</v>
      </c>
      <c r="Q10" t="s">
        <v>772</v>
      </c>
      <c r="R10" t="s">
        <v>772</v>
      </c>
      <c r="S10" t="s">
        <v>772</v>
      </c>
      <c r="T10" s="98" t="e">
        <f t="shared" si="0"/>
        <v>#VALUE!</v>
      </c>
      <c r="U10" s="98" t="e">
        <f t="shared" si="1"/>
        <v>#VALUE!</v>
      </c>
      <c r="V10" s="98" t="e">
        <f t="shared" si="2"/>
        <v>#VALUE!</v>
      </c>
      <c r="W10" s="98" t="e">
        <f t="shared" si="3"/>
        <v>#VALUE!</v>
      </c>
      <c r="X10" s="98" t="e">
        <f t="shared" si="4"/>
        <v>#VALUE!</v>
      </c>
      <c r="Y10" s="98" t="e">
        <f t="shared" si="5"/>
        <v>#VALUE!</v>
      </c>
      <c r="Z10" s="30" t="e">
        <f>IF('Angioplasty Summary'!$R$55=3, RANK(F10,F$2:F$92,1)+COUNTIF($F$2:F10,F10)-1, IF('Angioplasty Summary'!$R$55=2, RANK(E10,E$2:E$92,1)+COUNTIF($E$2:E10,E10)-1, IF('Angioplasty Summary'!$R$55=1, RANK(D10,D$2:D$92,1)+COUNTIF($D$2:D10,D10)-1)))</f>
        <v>#VALUE!</v>
      </c>
      <c r="AA10" s="98" t="str">
        <f>IF('Angioplasty Summary'!$R$55=3, F10, IF('Angioplasty Summary'!$R$55=2, E10, IF('Angioplasty Summary'!$R$55=1, D10)))</f>
        <v>xx</v>
      </c>
      <c r="AB10" s="98" t="e">
        <f>IF('Angioplasty Summary'!$R$55=3, X10, IF('Angioplasty Summary'!$R$55=2, V10, IF('Angioplasty Summary'!$R$55=1, T10)))</f>
        <v>#VALUE!</v>
      </c>
      <c r="AC10" s="98" t="e">
        <f>IF('Angioplasty Summary'!$R$55=3, Y10, IF('Angioplasty Summary'!$R$55=2, W10, IF('Angioplasty Summary'!$R$55=1, U10)))</f>
        <v>#VALUE!</v>
      </c>
    </row>
    <row r="11" spans="1:29" x14ac:dyDescent="0.25">
      <c r="A11" s="96" t="s">
        <v>85</v>
      </c>
      <c r="B11" s="29" t="s">
        <v>86</v>
      </c>
      <c r="C11" s="97">
        <v>218</v>
      </c>
      <c r="D11" s="98">
        <v>0.99</v>
      </c>
      <c r="E11" s="98">
        <v>0.88</v>
      </c>
      <c r="F11" s="98">
        <v>0.8</v>
      </c>
      <c r="G11" s="99" t="s">
        <v>361</v>
      </c>
      <c r="H11" s="100">
        <v>2.5999999999999999E-2</v>
      </c>
      <c r="I11" s="101">
        <v>153</v>
      </c>
      <c r="J11" s="100">
        <v>1.2999999999999999E-2</v>
      </c>
      <c r="K11" s="30">
        <v>13</v>
      </c>
      <c r="L11" s="30" t="s">
        <v>304</v>
      </c>
      <c r="M11" s="96" t="s">
        <v>85</v>
      </c>
      <c r="N11" s="98">
        <v>0.97</v>
      </c>
      <c r="O11" s="98">
        <v>1</v>
      </c>
      <c r="P11" s="98">
        <v>0.82</v>
      </c>
      <c r="Q11" s="98">
        <v>0.92</v>
      </c>
      <c r="R11" s="98">
        <v>0.74</v>
      </c>
      <c r="S11" s="98">
        <v>0.85</v>
      </c>
      <c r="T11" s="98">
        <f t="shared" si="0"/>
        <v>2.0000000000000018E-2</v>
      </c>
      <c r="U11" s="98">
        <f t="shared" si="1"/>
        <v>1.0000000000000009E-2</v>
      </c>
      <c r="V11" s="98">
        <f t="shared" si="2"/>
        <v>6.0000000000000053E-2</v>
      </c>
      <c r="W11" s="98">
        <f t="shared" si="3"/>
        <v>4.0000000000000036E-2</v>
      </c>
      <c r="X11" s="98">
        <f t="shared" si="4"/>
        <v>6.0000000000000053E-2</v>
      </c>
      <c r="Y11" s="98">
        <f t="shared" si="5"/>
        <v>4.9999999999999933E-2</v>
      </c>
      <c r="Z11" s="30">
        <f>IF('Angioplasty Summary'!$R$55=3, RANK(F11,F$2:F$92,1)+COUNTIF($F$2:F11,F11)-1, IF('Angioplasty Summary'!$R$55=2, RANK(E11,E$2:E$92,1)+COUNTIF($E$2:E11,E11)-1, IF('Angioplasty Summary'!$R$55=1, RANK(D11,D$2:D$92,1)+COUNTIF($D$2:D11,D11)-1)))</f>
        <v>39</v>
      </c>
      <c r="AA11" s="98">
        <f>IF('Angioplasty Summary'!$R$55=3, F11, IF('Angioplasty Summary'!$R$55=2, E11, IF('Angioplasty Summary'!$R$55=1, D11)))</f>
        <v>0.99</v>
      </c>
      <c r="AB11" s="98">
        <f>IF('Angioplasty Summary'!$R$55=3, X11, IF('Angioplasty Summary'!$R$55=2, V11, IF('Angioplasty Summary'!$R$55=1, T11)))</f>
        <v>2.0000000000000018E-2</v>
      </c>
      <c r="AC11" s="98">
        <f>IF('Angioplasty Summary'!$R$55=3, Y11, IF('Angioplasty Summary'!$R$55=2, W11, IF('Angioplasty Summary'!$R$55=1, U11)))</f>
        <v>1.0000000000000009E-2</v>
      </c>
    </row>
    <row r="12" spans="1:29" x14ac:dyDescent="0.25">
      <c r="A12" s="96" t="s">
        <v>19</v>
      </c>
      <c r="B12" s="29" t="s">
        <v>20</v>
      </c>
      <c r="C12" s="97">
        <v>27</v>
      </c>
      <c r="D12" s="98">
        <v>0.96</v>
      </c>
      <c r="E12" s="98">
        <v>0.59</v>
      </c>
      <c r="F12" s="98">
        <v>0.93</v>
      </c>
      <c r="G12" s="99" t="s">
        <v>362</v>
      </c>
      <c r="H12" s="100" t="e">
        <v>#N/A</v>
      </c>
      <c r="I12" s="101">
        <v>18</v>
      </c>
      <c r="J12" s="100">
        <v>0.111</v>
      </c>
      <c r="K12" s="30">
        <v>9</v>
      </c>
      <c r="L12" s="30" t="s">
        <v>772</v>
      </c>
      <c r="M12" s="96" t="s">
        <v>19</v>
      </c>
      <c r="N12" s="98">
        <v>0.81</v>
      </c>
      <c r="O12" s="98">
        <v>1</v>
      </c>
      <c r="P12" s="98">
        <v>0.39</v>
      </c>
      <c r="Q12" s="98">
        <v>0.78</v>
      </c>
      <c r="R12" s="98">
        <v>0.76</v>
      </c>
      <c r="S12" s="98">
        <v>0.99</v>
      </c>
      <c r="T12" s="98">
        <f t="shared" si="0"/>
        <v>0.14999999999999991</v>
      </c>
      <c r="U12" s="98">
        <f t="shared" si="1"/>
        <v>4.0000000000000036E-2</v>
      </c>
      <c r="V12" s="98">
        <f t="shared" si="2"/>
        <v>0.19999999999999996</v>
      </c>
      <c r="W12" s="98">
        <f t="shared" si="3"/>
        <v>0.19000000000000006</v>
      </c>
      <c r="X12" s="98">
        <f t="shared" si="4"/>
        <v>0.17000000000000004</v>
      </c>
      <c r="Y12" s="98">
        <f t="shared" si="5"/>
        <v>5.9999999999999942E-2</v>
      </c>
      <c r="Z12" s="30">
        <f>IF('Angioplasty Summary'!$R$55=3, RANK(F12,F$2:F$92,1)+COUNTIF($F$2:F12,F12)-1, IF('Angioplasty Summary'!$R$55=2, RANK(E12,E$2:E$92,1)+COUNTIF($E$2:E12,E12)-1, IF('Angioplasty Summary'!$R$55=1, RANK(D12,D$2:D$92,1)+COUNTIF($D$2:D12,D12)-1)))</f>
        <v>16</v>
      </c>
      <c r="AA12" s="98">
        <f>IF('Angioplasty Summary'!$R$55=3, F12, IF('Angioplasty Summary'!$R$55=2, E12, IF('Angioplasty Summary'!$R$55=1, D12)))</f>
        <v>0.96</v>
      </c>
      <c r="AB12" s="98">
        <f>IF('Angioplasty Summary'!$R$55=3, X12, IF('Angioplasty Summary'!$R$55=2, V12, IF('Angioplasty Summary'!$R$55=1, T12)))</f>
        <v>0.14999999999999991</v>
      </c>
      <c r="AC12" s="98">
        <f>IF('Angioplasty Summary'!$R$55=3, Y12, IF('Angioplasty Summary'!$R$55=2, W12, IF('Angioplasty Summary'!$R$55=1, U12)))</f>
        <v>4.0000000000000036E-2</v>
      </c>
    </row>
    <row r="13" spans="1:29" x14ac:dyDescent="0.25">
      <c r="A13" s="1" t="s">
        <v>148</v>
      </c>
      <c r="B13" s="1" t="s">
        <v>149</v>
      </c>
      <c r="C13" s="5">
        <v>0</v>
      </c>
      <c r="D13" s="5" t="s">
        <v>772</v>
      </c>
      <c r="E13" t="s">
        <v>772</v>
      </c>
      <c r="F13" t="s">
        <v>772</v>
      </c>
      <c r="G13" s="13" t="s">
        <v>772</v>
      </c>
      <c r="H13" t="e">
        <v>#N/A</v>
      </c>
      <c r="I13" s="101">
        <v>0</v>
      </c>
      <c r="J13" s="101" t="s">
        <v>772</v>
      </c>
      <c r="K13" s="30">
        <v>0</v>
      </c>
      <c r="L13" s="30" t="s">
        <v>772</v>
      </c>
      <c r="M13" t="s">
        <v>148</v>
      </c>
      <c r="N13" t="s">
        <v>772</v>
      </c>
      <c r="O13" t="s">
        <v>772</v>
      </c>
      <c r="P13" t="s">
        <v>772</v>
      </c>
      <c r="Q13" t="s">
        <v>772</v>
      </c>
      <c r="R13" t="s">
        <v>772</v>
      </c>
      <c r="S13" t="s">
        <v>772</v>
      </c>
      <c r="T13" s="98" t="e">
        <f t="shared" si="0"/>
        <v>#VALUE!</v>
      </c>
      <c r="U13" s="98" t="e">
        <f t="shared" si="1"/>
        <v>#VALUE!</v>
      </c>
      <c r="V13" s="98" t="e">
        <f t="shared" si="2"/>
        <v>#VALUE!</v>
      </c>
      <c r="W13" s="98" t="e">
        <f t="shared" si="3"/>
        <v>#VALUE!</v>
      </c>
      <c r="X13" s="98" t="e">
        <f t="shared" si="4"/>
        <v>#VALUE!</v>
      </c>
      <c r="Y13" s="98" t="e">
        <f t="shared" si="5"/>
        <v>#VALUE!</v>
      </c>
      <c r="Z13" s="30" t="e">
        <f>IF('Angioplasty Summary'!$R$55=3, RANK(F13,F$2:F$92,1)+COUNTIF($F$2:F13,F13)-1, IF('Angioplasty Summary'!$R$55=2, RANK(E13,E$2:E$92,1)+COUNTIF($E$2:E13,E13)-1, IF('Angioplasty Summary'!$R$55=1, RANK(D13,D$2:D$92,1)+COUNTIF($D$2:D13,D13)-1)))</f>
        <v>#VALUE!</v>
      </c>
      <c r="AA13" s="98" t="str">
        <f>IF('Angioplasty Summary'!$R$55=3, F13, IF('Angioplasty Summary'!$R$55=2, E13, IF('Angioplasty Summary'!$R$55=1, D13)))</f>
        <v>xx</v>
      </c>
      <c r="AB13" s="98" t="e">
        <f>IF('Angioplasty Summary'!$R$55=3, X13, IF('Angioplasty Summary'!$R$55=2, V13, IF('Angioplasty Summary'!$R$55=1, T13)))</f>
        <v>#VALUE!</v>
      </c>
      <c r="AC13" s="98" t="e">
        <f>IF('Angioplasty Summary'!$R$55=3, Y13, IF('Angioplasty Summary'!$R$55=2, W13, IF('Angioplasty Summary'!$R$55=1, U13)))</f>
        <v>#VALUE!</v>
      </c>
    </row>
    <row r="14" spans="1:29" x14ac:dyDescent="0.25">
      <c r="A14" s="96" t="s">
        <v>300</v>
      </c>
      <c r="B14" s="29" t="s">
        <v>753</v>
      </c>
      <c r="C14" s="97">
        <v>29</v>
      </c>
      <c r="D14" s="98">
        <v>1</v>
      </c>
      <c r="E14" s="98">
        <v>0.97</v>
      </c>
      <c r="F14" s="98">
        <v>1</v>
      </c>
      <c r="G14" s="99" t="s">
        <v>361</v>
      </c>
      <c r="H14" s="100" t="e">
        <v>#N/A</v>
      </c>
      <c r="I14" s="101">
        <v>1</v>
      </c>
      <c r="J14" s="100" t="s">
        <v>772</v>
      </c>
      <c r="K14" s="30">
        <v>1</v>
      </c>
      <c r="L14" s="30" t="s">
        <v>772</v>
      </c>
      <c r="M14" s="96" t="s">
        <v>300</v>
      </c>
      <c r="N14" s="98">
        <v>0.88</v>
      </c>
      <c r="O14" s="98">
        <v>1</v>
      </c>
      <c r="P14" s="98">
        <v>0.82</v>
      </c>
      <c r="Q14" s="98">
        <v>1</v>
      </c>
      <c r="R14" s="98">
        <v>0.88</v>
      </c>
      <c r="S14" s="98">
        <v>1</v>
      </c>
      <c r="T14" s="98">
        <f t="shared" si="0"/>
        <v>0.12</v>
      </c>
      <c r="U14" s="98">
        <f t="shared" si="1"/>
        <v>0</v>
      </c>
      <c r="V14" s="98">
        <f t="shared" si="2"/>
        <v>0.15000000000000002</v>
      </c>
      <c r="W14" s="98">
        <f t="shared" si="3"/>
        <v>3.0000000000000027E-2</v>
      </c>
      <c r="X14" s="98">
        <f t="shared" si="4"/>
        <v>0.12</v>
      </c>
      <c r="Y14" s="98">
        <f t="shared" si="5"/>
        <v>0</v>
      </c>
      <c r="Z14" s="30">
        <f>IF('Angioplasty Summary'!$R$55=3, RANK(F14,F$2:F$92,1)+COUNTIF($F$2:F14,F14)-1, IF('Angioplasty Summary'!$R$55=2, RANK(E14,E$2:E$92,1)+COUNTIF($E$2:E14,E14)-1, IF('Angioplasty Summary'!$R$55=1, RANK(D14,D$2:D$92,1)+COUNTIF($D$2:D14,D14)-1)))</f>
        <v>49</v>
      </c>
      <c r="AA14" s="98">
        <f>IF('Angioplasty Summary'!$R$55=3, F14, IF('Angioplasty Summary'!$R$55=2, E14, IF('Angioplasty Summary'!$R$55=1, D14)))</f>
        <v>1</v>
      </c>
      <c r="AB14" s="98">
        <f>IF('Angioplasty Summary'!$R$55=3, X14, IF('Angioplasty Summary'!$R$55=2, V14, IF('Angioplasty Summary'!$R$55=1, T14)))</f>
        <v>0.12</v>
      </c>
      <c r="AC14" s="98">
        <f>IF('Angioplasty Summary'!$R$55=3, Y14, IF('Angioplasty Summary'!$R$55=2, W14, IF('Angioplasty Summary'!$R$55=1, U14)))</f>
        <v>0</v>
      </c>
    </row>
    <row r="15" spans="1:29" x14ac:dyDescent="0.25">
      <c r="A15" s="1" t="s">
        <v>142</v>
      </c>
      <c r="B15" s="1" t="s">
        <v>143</v>
      </c>
      <c r="C15" s="5">
        <v>0</v>
      </c>
      <c r="D15" s="5" t="s">
        <v>772</v>
      </c>
      <c r="E15" t="s">
        <v>772</v>
      </c>
      <c r="F15" t="s">
        <v>772</v>
      </c>
      <c r="G15" s="13" t="s">
        <v>772</v>
      </c>
      <c r="H15" t="e">
        <v>#N/A</v>
      </c>
      <c r="I15" s="101">
        <v>0</v>
      </c>
      <c r="J15" s="101" t="s">
        <v>772</v>
      </c>
      <c r="K15" s="30">
        <v>0</v>
      </c>
      <c r="L15" s="30" t="s">
        <v>772</v>
      </c>
      <c r="M15" t="s">
        <v>142</v>
      </c>
      <c r="N15" t="s">
        <v>772</v>
      </c>
      <c r="O15" t="s">
        <v>772</v>
      </c>
      <c r="P15" t="s">
        <v>772</v>
      </c>
      <c r="Q15" t="s">
        <v>772</v>
      </c>
      <c r="R15" t="s">
        <v>772</v>
      </c>
      <c r="S15" t="s">
        <v>772</v>
      </c>
      <c r="T15" s="98" t="e">
        <f t="shared" si="0"/>
        <v>#VALUE!</v>
      </c>
      <c r="U15" s="98" t="e">
        <f t="shared" si="1"/>
        <v>#VALUE!</v>
      </c>
      <c r="V15" s="98" t="e">
        <f t="shared" si="2"/>
        <v>#VALUE!</v>
      </c>
      <c r="W15" s="98" t="e">
        <f t="shared" si="3"/>
        <v>#VALUE!</v>
      </c>
      <c r="X15" s="98" t="e">
        <f t="shared" si="4"/>
        <v>#VALUE!</v>
      </c>
      <c r="Y15" s="98" t="e">
        <f t="shared" si="5"/>
        <v>#VALUE!</v>
      </c>
      <c r="Z15" s="30" t="e">
        <f>IF('Angioplasty Summary'!$R$55=3, RANK(F15,F$2:F$92,1)+COUNTIF($F$2:F15,F15)-1, IF('Angioplasty Summary'!$R$55=2, RANK(E15,E$2:E$92,1)+COUNTIF($E$2:E15,E15)-1, IF('Angioplasty Summary'!$R$55=1, RANK(D15,D$2:D$92,1)+COUNTIF($D$2:D15,D15)-1)))</f>
        <v>#VALUE!</v>
      </c>
      <c r="AA15" s="98" t="str">
        <f>IF('Angioplasty Summary'!$R$55=3, F15, IF('Angioplasty Summary'!$R$55=2, E15, IF('Angioplasty Summary'!$R$55=1, D15)))</f>
        <v>xx</v>
      </c>
      <c r="AB15" s="98" t="e">
        <f>IF('Angioplasty Summary'!$R$55=3, X15, IF('Angioplasty Summary'!$R$55=2, V15, IF('Angioplasty Summary'!$R$55=1, T15)))</f>
        <v>#VALUE!</v>
      </c>
      <c r="AC15" s="98" t="e">
        <f>IF('Angioplasty Summary'!$R$55=3, Y15, IF('Angioplasty Summary'!$R$55=2, W15, IF('Angioplasty Summary'!$R$55=1, U15)))</f>
        <v>#VALUE!</v>
      </c>
    </row>
    <row r="16" spans="1:29" x14ac:dyDescent="0.25">
      <c r="A16" s="96" t="s">
        <v>54</v>
      </c>
      <c r="B16" s="29" t="s">
        <v>55</v>
      </c>
      <c r="C16" s="97">
        <v>41</v>
      </c>
      <c r="D16" s="98">
        <v>1</v>
      </c>
      <c r="E16" s="98">
        <v>0.28999999999999998</v>
      </c>
      <c r="F16" s="98">
        <v>0.85</v>
      </c>
      <c r="G16" s="99" t="s">
        <v>373</v>
      </c>
      <c r="H16" s="100" t="e">
        <v>#N/A</v>
      </c>
      <c r="I16" s="101">
        <v>37</v>
      </c>
      <c r="J16" s="100">
        <v>0.108</v>
      </c>
      <c r="K16" s="30">
        <v>8</v>
      </c>
      <c r="L16" s="30" t="s">
        <v>772</v>
      </c>
      <c r="M16" s="96" t="s">
        <v>54</v>
      </c>
      <c r="N16" s="98">
        <v>0.91</v>
      </c>
      <c r="O16" s="98">
        <v>1</v>
      </c>
      <c r="P16" s="98">
        <v>0.16</v>
      </c>
      <c r="Q16" s="98">
        <v>0.46</v>
      </c>
      <c r="R16" s="98">
        <v>0.71</v>
      </c>
      <c r="S16" s="98">
        <v>0.94</v>
      </c>
      <c r="T16" s="98">
        <f t="shared" si="0"/>
        <v>8.9999999999999969E-2</v>
      </c>
      <c r="U16" s="98">
        <f t="shared" si="1"/>
        <v>0</v>
      </c>
      <c r="V16" s="98">
        <f t="shared" si="2"/>
        <v>0.12999999999999998</v>
      </c>
      <c r="W16" s="98">
        <f t="shared" si="3"/>
        <v>0.17000000000000004</v>
      </c>
      <c r="X16" s="98">
        <f t="shared" si="4"/>
        <v>0.14000000000000001</v>
      </c>
      <c r="Y16" s="98">
        <f t="shared" si="5"/>
        <v>8.9999999999999969E-2</v>
      </c>
      <c r="Z16" s="30">
        <f>IF('Angioplasty Summary'!$R$55=3, RANK(F16,F$2:F$92,1)+COUNTIF($F$2:F16,F16)-1, IF('Angioplasty Summary'!$R$55=2, RANK(E16,E$2:E$92,1)+COUNTIF($E$2:E16,E16)-1, IF('Angioplasty Summary'!$R$55=1, RANK(D16,D$2:D$92,1)+COUNTIF($D$2:D16,D16)-1)))</f>
        <v>50</v>
      </c>
      <c r="AA16" s="98">
        <f>IF('Angioplasty Summary'!$R$55=3, F16, IF('Angioplasty Summary'!$R$55=2, E16, IF('Angioplasty Summary'!$R$55=1, D16)))</f>
        <v>1</v>
      </c>
      <c r="AB16" s="98">
        <f>IF('Angioplasty Summary'!$R$55=3, X16, IF('Angioplasty Summary'!$R$55=2, V16, IF('Angioplasty Summary'!$R$55=1, T16)))</f>
        <v>8.9999999999999969E-2</v>
      </c>
      <c r="AC16" s="98">
        <f>IF('Angioplasty Summary'!$R$55=3, Y16, IF('Angioplasty Summary'!$R$55=2, W16, IF('Angioplasty Summary'!$R$55=1, U16)))</f>
        <v>0</v>
      </c>
    </row>
    <row r="17" spans="1:29" x14ac:dyDescent="0.25">
      <c r="A17" s="96" t="s">
        <v>5</v>
      </c>
      <c r="B17" s="29" t="s">
        <v>6</v>
      </c>
      <c r="C17" s="97">
        <v>75</v>
      </c>
      <c r="D17" s="98">
        <v>1</v>
      </c>
      <c r="E17" s="98">
        <v>0.44</v>
      </c>
      <c r="F17" s="98">
        <v>0.89</v>
      </c>
      <c r="G17" s="99" t="s">
        <v>355</v>
      </c>
      <c r="H17" s="100">
        <v>0.03</v>
      </c>
      <c r="I17" s="101">
        <v>70</v>
      </c>
      <c r="J17" s="100">
        <v>0.1</v>
      </c>
      <c r="K17" s="30">
        <v>24</v>
      </c>
      <c r="L17" s="30" t="s">
        <v>755</v>
      </c>
      <c r="M17" s="96" t="s">
        <v>5</v>
      </c>
      <c r="N17" s="98">
        <v>0.95</v>
      </c>
      <c r="O17" s="98">
        <v>1</v>
      </c>
      <c r="P17" s="98">
        <v>0.33</v>
      </c>
      <c r="Q17" s="98">
        <v>0.56000000000000005</v>
      </c>
      <c r="R17" s="98">
        <v>0.8</v>
      </c>
      <c r="S17" s="98">
        <v>0.95</v>
      </c>
      <c r="T17" s="98">
        <f t="shared" si="0"/>
        <v>5.0000000000000044E-2</v>
      </c>
      <c r="U17" s="98">
        <f t="shared" si="1"/>
        <v>0</v>
      </c>
      <c r="V17" s="98">
        <f t="shared" si="2"/>
        <v>0.10999999999999999</v>
      </c>
      <c r="W17" s="98">
        <f t="shared" si="3"/>
        <v>0.12000000000000005</v>
      </c>
      <c r="X17" s="98">
        <f t="shared" si="4"/>
        <v>8.9999999999999969E-2</v>
      </c>
      <c r="Y17" s="98">
        <f t="shared" si="5"/>
        <v>5.9999999999999942E-2</v>
      </c>
      <c r="Z17" s="30">
        <f>IF('Angioplasty Summary'!$R$55=3, RANK(F17,F$2:F$92,1)+COUNTIF($F$2:F17,F17)-1, IF('Angioplasty Summary'!$R$55=2, RANK(E17,E$2:E$92,1)+COUNTIF($E$2:E17,E17)-1, IF('Angioplasty Summary'!$R$55=1, RANK(D17,D$2:D$92,1)+COUNTIF($D$2:D17,D17)-1)))</f>
        <v>51</v>
      </c>
      <c r="AA17" s="98">
        <f>IF('Angioplasty Summary'!$R$55=3, F17, IF('Angioplasty Summary'!$R$55=2, E17, IF('Angioplasty Summary'!$R$55=1, D17)))</f>
        <v>1</v>
      </c>
      <c r="AB17" s="98">
        <f>IF('Angioplasty Summary'!$R$55=3, X17, IF('Angioplasty Summary'!$R$55=2, V17, IF('Angioplasty Summary'!$R$55=1, T17)))</f>
        <v>5.0000000000000044E-2</v>
      </c>
      <c r="AC17" s="98">
        <f>IF('Angioplasty Summary'!$R$55=3, Y17, IF('Angioplasty Summary'!$R$55=2, W17, IF('Angioplasty Summary'!$R$55=1, U17)))</f>
        <v>0</v>
      </c>
    </row>
    <row r="18" spans="1:29" x14ac:dyDescent="0.25">
      <c r="A18" s="96" t="s">
        <v>81</v>
      </c>
      <c r="B18" s="29" t="s">
        <v>82</v>
      </c>
      <c r="C18" s="97">
        <v>4</v>
      </c>
      <c r="D18" s="98" t="s">
        <v>772</v>
      </c>
      <c r="E18" s="98" t="s">
        <v>772</v>
      </c>
      <c r="F18" s="98" t="s">
        <v>772</v>
      </c>
      <c r="G18" s="99" t="s">
        <v>772</v>
      </c>
      <c r="H18" s="100" t="e">
        <v>#N/A</v>
      </c>
      <c r="I18" s="101">
        <v>4</v>
      </c>
      <c r="J18" s="100" t="s">
        <v>772</v>
      </c>
      <c r="K18" s="30">
        <v>1</v>
      </c>
      <c r="L18" s="30" t="s">
        <v>772</v>
      </c>
      <c r="M18" s="96" t="s">
        <v>81</v>
      </c>
      <c r="N18" s="98">
        <v>0.19</v>
      </c>
      <c r="O18" s="98">
        <v>0.99</v>
      </c>
      <c r="P18" s="98">
        <v>0.19</v>
      </c>
      <c r="Q18" s="98">
        <v>0.99</v>
      </c>
      <c r="R18" s="98">
        <v>0.4</v>
      </c>
      <c r="S18" s="98">
        <v>1</v>
      </c>
      <c r="T18" s="98" t="e">
        <f t="shared" si="0"/>
        <v>#VALUE!</v>
      </c>
      <c r="U18" s="98" t="e">
        <f t="shared" si="1"/>
        <v>#VALUE!</v>
      </c>
      <c r="V18" s="98" t="e">
        <f t="shared" si="2"/>
        <v>#VALUE!</v>
      </c>
      <c r="W18" s="98" t="e">
        <f t="shared" si="3"/>
        <v>#VALUE!</v>
      </c>
      <c r="X18" s="98" t="e">
        <f t="shared" si="4"/>
        <v>#VALUE!</v>
      </c>
      <c r="Y18" s="98" t="e">
        <f t="shared" si="5"/>
        <v>#VALUE!</v>
      </c>
      <c r="Z18" s="30" t="e">
        <f>IF('Angioplasty Summary'!$R$55=3, RANK(F18,F$2:F$92,1)+COUNTIF($F$2:F18,F18)-1, IF('Angioplasty Summary'!$R$55=2, RANK(E18,E$2:E$92,1)+COUNTIF($E$2:E18,E18)-1, IF('Angioplasty Summary'!$R$55=1, RANK(D18,D$2:D$92,1)+COUNTIF($D$2:D18,D18)-1)))</f>
        <v>#VALUE!</v>
      </c>
      <c r="AA18" s="98" t="str">
        <f>IF('Angioplasty Summary'!$R$55=3, F18, IF('Angioplasty Summary'!$R$55=2, E18, IF('Angioplasty Summary'!$R$55=1, D18)))</f>
        <v>xx</v>
      </c>
      <c r="AB18" s="98" t="e">
        <f>IF('Angioplasty Summary'!$R$55=3, X18, IF('Angioplasty Summary'!$R$55=2, V18, IF('Angioplasty Summary'!$R$55=1, T18)))</f>
        <v>#VALUE!</v>
      </c>
      <c r="AC18" s="98" t="e">
        <f>IF('Angioplasty Summary'!$R$55=3, Y18, IF('Angioplasty Summary'!$R$55=2, W18, IF('Angioplasty Summary'!$R$55=1, U18)))</f>
        <v>#VALUE!</v>
      </c>
    </row>
    <row r="19" spans="1:29" x14ac:dyDescent="0.25">
      <c r="A19" s="96" t="s">
        <v>72</v>
      </c>
      <c r="B19" s="29" t="s">
        <v>73</v>
      </c>
      <c r="C19" s="30">
        <v>6</v>
      </c>
      <c r="D19" s="98" t="s">
        <v>772</v>
      </c>
      <c r="E19" s="98" t="s">
        <v>772</v>
      </c>
      <c r="F19" s="98" t="s">
        <v>772</v>
      </c>
      <c r="G19" s="99" t="s">
        <v>377</v>
      </c>
      <c r="H19" s="100" t="e">
        <v>#N/A</v>
      </c>
      <c r="I19" s="101">
        <v>3</v>
      </c>
      <c r="J19" s="100" t="s">
        <v>772</v>
      </c>
      <c r="K19" s="30">
        <v>2</v>
      </c>
      <c r="L19" s="30" t="s">
        <v>772</v>
      </c>
      <c r="M19" s="96" t="s">
        <v>72</v>
      </c>
      <c r="N19" s="98">
        <v>0.54</v>
      </c>
      <c r="O19" s="98">
        <v>1</v>
      </c>
      <c r="P19" s="98">
        <v>0.04</v>
      </c>
      <c r="Q19" s="98">
        <v>0.78</v>
      </c>
      <c r="R19" s="98">
        <v>0.22</v>
      </c>
      <c r="S19" s="98">
        <v>0.96</v>
      </c>
      <c r="T19" s="98" t="e">
        <f t="shared" si="0"/>
        <v>#VALUE!</v>
      </c>
      <c r="U19" s="98" t="e">
        <f t="shared" si="1"/>
        <v>#VALUE!</v>
      </c>
      <c r="V19" s="98" t="e">
        <f t="shared" si="2"/>
        <v>#VALUE!</v>
      </c>
      <c r="W19" s="98" t="e">
        <f t="shared" si="3"/>
        <v>#VALUE!</v>
      </c>
      <c r="X19" s="98" t="e">
        <f t="shared" si="4"/>
        <v>#VALUE!</v>
      </c>
      <c r="Y19" s="98" t="e">
        <f t="shared" si="5"/>
        <v>#VALUE!</v>
      </c>
      <c r="Z19" s="30" t="e">
        <f>IF('Angioplasty Summary'!$R$55=3, RANK(F19,F$2:F$92,1)+COUNTIF($F$2:F19,F19)-1, IF('Angioplasty Summary'!$R$55=2, RANK(E19,E$2:E$92,1)+COUNTIF($E$2:E19,E19)-1, IF('Angioplasty Summary'!$R$55=1, RANK(D19,D$2:D$92,1)+COUNTIF($D$2:D19,D19)-1)))</f>
        <v>#VALUE!</v>
      </c>
      <c r="AA19" s="98" t="str">
        <f>IF('Angioplasty Summary'!$R$55=3, F19, IF('Angioplasty Summary'!$R$55=2, E19, IF('Angioplasty Summary'!$R$55=1, D19)))</f>
        <v>xx</v>
      </c>
      <c r="AB19" s="98" t="e">
        <f>IF('Angioplasty Summary'!$R$55=3, X19, IF('Angioplasty Summary'!$R$55=2, V19, IF('Angioplasty Summary'!$R$55=1, T19)))</f>
        <v>#VALUE!</v>
      </c>
      <c r="AC19" s="98" t="e">
        <f>IF('Angioplasty Summary'!$R$55=3, Y19, IF('Angioplasty Summary'!$R$55=2, W19, IF('Angioplasty Summary'!$R$55=1, U19)))</f>
        <v>#VALUE!</v>
      </c>
    </row>
    <row r="20" spans="1:29" x14ac:dyDescent="0.25">
      <c r="A20" s="96" t="s">
        <v>152</v>
      </c>
      <c r="B20" s="29" t="s">
        <v>153</v>
      </c>
      <c r="C20" s="97">
        <v>16</v>
      </c>
      <c r="D20" s="98">
        <v>1</v>
      </c>
      <c r="E20" s="98">
        <v>0.56000000000000005</v>
      </c>
      <c r="F20" s="98">
        <v>1</v>
      </c>
      <c r="G20" s="99" t="s">
        <v>378</v>
      </c>
      <c r="H20" s="100" t="e">
        <v>#N/A</v>
      </c>
      <c r="I20" s="101">
        <v>16</v>
      </c>
      <c r="J20" s="100">
        <v>0.125</v>
      </c>
      <c r="K20" s="30">
        <v>5</v>
      </c>
      <c r="L20" s="30" t="s">
        <v>772</v>
      </c>
      <c r="M20" s="96" t="s">
        <v>152</v>
      </c>
      <c r="N20" s="98">
        <v>0.79</v>
      </c>
      <c r="O20" s="98">
        <v>1</v>
      </c>
      <c r="P20" s="98">
        <v>0.3</v>
      </c>
      <c r="Q20" s="98">
        <v>0.8</v>
      </c>
      <c r="R20" s="98">
        <v>0.79</v>
      </c>
      <c r="S20" s="98">
        <v>1</v>
      </c>
      <c r="T20" s="98">
        <f t="shared" si="0"/>
        <v>0.20999999999999996</v>
      </c>
      <c r="U20" s="98">
        <f t="shared" si="1"/>
        <v>0</v>
      </c>
      <c r="V20" s="98">
        <f t="shared" si="2"/>
        <v>0.26000000000000006</v>
      </c>
      <c r="W20" s="98">
        <f t="shared" si="3"/>
        <v>0.24</v>
      </c>
      <c r="X20" s="98">
        <f t="shared" si="4"/>
        <v>0.20999999999999996</v>
      </c>
      <c r="Y20" s="98">
        <f t="shared" si="5"/>
        <v>0</v>
      </c>
      <c r="Z20" s="30">
        <f>IF('Angioplasty Summary'!$R$55=3, RANK(F20,F$2:F$92,1)+COUNTIF($F$2:F20,F20)-1, IF('Angioplasty Summary'!$R$55=2, RANK(E20,E$2:E$92,1)+COUNTIF($E$2:E20,E20)-1, IF('Angioplasty Summary'!$R$55=1, RANK(D20,D$2:D$92,1)+COUNTIF($D$2:D20,D20)-1)))</f>
        <v>52</v>
      </c>
      <c r="AA20" s="98">
        <f>IF('Angioplasty Summary'!$R$55=3, F20, IF('Angioplasty Summary'!$R$55=2, E20, IF('Angioplasty Summary'!$R$55=1, D20)))</f>
        <v>1</v>
      </c>
      <c r="AB20" s="98">
        <f>IF('Angioplasty Summary'!$R$55=3, X20, IF('Angioplasty Summary'!$R$55=2, V20, IF('Angioplasty Summary'!$R$55=1, T20)))</f>
        <v>0.20999999999999996</v>
      </c>
      <c r="AC20" s="98">
        <f>IF('Angioplasty Summary'!$R$55=3, Y20, IF('Angioplasty Summary'!$R$55=2, W20, IF('Angioplasty Summary'!$R$55=1, U20)))</f>
        <v>0</v>
      </c>
    </row>
    <row r="21" spans="1:29" x14ac:dyDescent="0.25">
      <c r="A21" s="96" t="s">
        <v>7</v>
      </c>
      <c r="B21" s="29" t="s">
        <v>8</v>
      </c>
      <c r="C21" s="97">
        <v>149</v>
      </c>
      <c r="D21" s="98">
        <v>1</v>
      </c>
      <c r="E21" s="98">
        <v>0.62</v>
      </c>
      <c r="F21" s="98">
        <v>0.92</v>
      </c>
      <c r="G21" s="99" t="s">
        <v>356</v>
      </c>
      <c r="H21" s="100">
        <v>1.2E-2</v>
      </c>
      <c r="I21" s="101">
        <v>143</v>
      </c>
      <c r="J21" s="100">
        <v>7.6999999999999999E-2</v>
      </c>
      <c r="K21" s="30">
        <v>39</v>
      </c>
      <c r="L21" s="30" t="s">
        <v>756</v>
      </c>
      <c r="M21" s="96" t="s">
        <v>7</v>
      </c>
      <c r="N21" s="98">
        <v>0.98</v>
      </c>
      <c r="O21" s="98">
        <v>1</v>
      </c>
      <c r="P21" s="98">
        <v>0.54</v>
      </c>
      <c r="Q21" s="98">
        <v>0.7</v>
      </c>
      <c r="R21" s="98">
        <v>0.86</v>
      </c>
      <c r="S21" s="98">
        <v>0.96</v>
      </c>
      <c r="T21" s="98">
        <f t="shared" si="0"/>
        <v>2.0000000000000018E-2</v>
      </c>
      <c r="U21" s="98">
        <f t="shared" si="1"/>
        <v>0</v>
      </c>
      <c r="V21" s="98">
        <f t="shared" si="2"/>
        <v>7.999999999999996E-2</v>
      </c>
      <c r="W21" s="98">
        <f t="shared" si="3"/>
        <v>7.999999999999996E-2</v>
      </c>
      <c r="X21" s="98">
        <f t="shared" si="4"/>
        <v>6.0000000000000053E-2</v>
      </c>
      <c r="Y21" s="98">
        <f t="shared" si="5"/>
        <v>3.9999999999999925E-2</v>
      </c>
      <c r="Z21" s="30">
        <f>IF('Angioplasty Summary'!$R$55=3, RANK(F21,F$2:F$92,1)+COUNTIF($F$2:F21,F21)-1, IF('Angioplasty Summary'!$R$55=2, RANK(E21,E$2:E$92,1)+COUNTIF($E$2:E21,E21)-1, IF('Angioplasty Summary'!$R$55=1, RANK(D21,D$2:D$92,1)+COUNTIF($D$2:D21,D21)-1)))</f>
        <v>53</v>
      </c>
      <c r="AA21" s="98">
        <f>IF('Angioplasty Summary'!$R$55=3, F21, IF('Angioplasty Summary'!$R$55=2, E21, IF('Angioplasty Summary'!$R$55=1, D21)))</f>
        <v>1</v>
      </c>
      <c r="AB21" s="98">
        <f>IF('Angioplasty Summary'!$R$55=3, X21, IF('Angioplasty Summary'!$R$55=2, V21, IF('Angioplasty Summary'!$R$55=1, T21)))</f>
        <v>2.0000000000000018E-2</v>
      </c>
      <c r="AC21" s="98">
        <f>IF('Angioplasty Summary'!$R$55=3, Y21, IF('Angioplasty Summary'!$R$55=2, W21, IF('Angioplasty Summary'!$R$55=1, U21)))</f>
        <v>0</v>
      </c>
    </row>
    <row r="22" spans="1:29" x14ac:dyDescent="0.25">
      <c r="A22" s="96" t="s">
        <v>93</v>
      </c>
      <c r="B22" s="29" t="s">
        <v>94</v>
      </c>
      <c r="C22" s="97">
        <v>40</v>
      </c>
      <c r="D22" s="98">
        <v>0.88</v>
      </c>
      <c r="E22" s="98">
        <v>0.52</v>
      </c>
      <c r="F22" s="98">
        <v>0.9</v>
      </c>
      <c r="G22" s="99" t="s">
        <v>383</v>
      </c>
      <c r="H22" s="100" t="e">
        <v>#N/A</v>
      </c>
      <c r="I22" s="101">
        <v>37</v>
      </c>
      <c r="J22" s="100">
        <v>8.1000000000000003E-2</v>
      </c>
      <c r="K22" s="30">
        <v>10</v>
      </c>
      <c r="L22" s="30" t="s">
        <v>535</v>
      </c>
      <c r="M22" s="96" t="s">
        <v>93</v>
      </c>
      <c r="N22" s="98">
        <v>0.73</v>
      </c>
      <c r="O22" s="98">
        <v>0.96</v>
      </c>
      <c r="P22" s="98">
        <v>0.36</v>
      </c>
      <c r="Q22" s="98">
        <v>0.68</v>
      </c>
      <c r="R22" s="98">
        <v>0.76</v>
      </c>
      <c r="S22" s="98">
        <v>0.97</v>
      </c>
      <c r="T22" s="98">
        <f t="shared" si="0"/>
        <v>0.15000000000000002</v>
      </c>
      <c r="U22" s="98">
        <f t="shared" si="1"/>
        <v>7.999999999999996E-2</v>
      </c>
      <c r="V22" s="98">
        <f t="shared" si="2"/>
        <v>0.16000000000000003</v>
      </c>
      <c r="W22" s="98">
        <f t="shared" si="3"/>
        <v>0.16000000000000003</v>
      </c>
      <c r="X22" s="98">
        <f t="shared" si="4"/>
        <v>0.14000000000000001</v>
      </c>
      <c r="Y22" s="98">
        <f t="shared" si="5"/>
        <v>6.9999999999999951E-2</v>
      </c>
      <c r="Z22" s="30">
        <f>IF('Angioplasty Summary'!$R$55=3, RANK(F22,F$2:F$92,1)+COUNTIF($F$2:F22,F22)-1, IF('Angioplasty Summary'!$R$55=2, RANK(E22,E$2:E$92,1)+COUNTIF($E$2:E22,E22)-1, IF('Angioplasty Summary'!$R$55=1, RANK(D22,D$2:D$92,1)+COUNTIF($D$2:D22,D22)-1)))</f>
        <v>1</v>
      </c>
      <c r="AA22" s="98">
        <f>IF('Angioplasty Summary'!$R$55=3, F22, IF('Angioplasty Summary'!$R$55=2, E22, IF('Angioplasty Summary'!$R$55=1, D22)))</f>
        <v>0.88</v>
      </c>
      <c r="AB22" s="98">
        <f>IF('Angioplasty Summary'!$R$55=3, X22, IF('Angioplasty Summary'!$R$55=2, V22, IF('Angioplasty Summary'!$R$55=1, T22)))</f>
        <v>0.15000000000000002</v>
      </c>
      <c r="AC22" s="98">
        <f>IF('Angioplasty Summary'!$R$55=3, Y22, IF('Angioplasty Summary'!$R$55=2, W22, IF('Angioplasty Summary'!$R$55=1, U22)))</f>
        <v>7.999999999999996E-2</v>
      </c>
    </row>
    <row r="23" spans="1:29" x14ac:dyDescent="0.25">
      <c r="A23" s="1" t="s">
        <v>27</v>
      </c>
      <c r="B23" s="1" t="s">
        <v>28</v>
      </c>
      <c r="C23" s="5">
        <v>0</v>
      </c>
      <c r="D23" s="5" t="s">
        <v>772</v>
      </c>
      <c r="E23" t="s">
        <v>772</v>
      </c>
      <c r="F23" t="s">
        <v>772</v>
      </c>
      <c r="G23" s="13" t="s">
        <v>772</v>
      </c>
      <c r="H23" t="e">
        <v>#N/A</v>
      </c>
      <c r="I23" s="101">
        <v>0</v>
      </c>
      <c r="J23" s="101" t="s">
        <v>772</v>
      </c>
      <c r="K23" s="30">
        <v>0</v>
      </c>
      <c r="L23" s="30" t="s">
        <v>772</v>
      </c>
      <c r="M23" t="s">
        <v>27</v>
      </c>
      <c r="N23" t="s">
        <v>772</v>
      </c>
      <c r="O23" t="s">
        <v>772</v>
      </c>
      <c r="P23" t="s">
        <v>772</v>
      </c>
      <c r="Q23" t="s">
        <v>772</v>
      </c>
      <c r="R23" t="s">
        <v>772</v>
      </c>
      <c r="S23" t="s">
        <v>772</v>
      </c>
      <c r="T23" s="98" t="e">
        <f t="shared" si="0"/>
        <v>#VALUE!</v>
      </c>
      <c r="U23" s="98" t="e">
        <f t="shared" si="1"/>
        <v>#VALUE!</v>
      </c>
      <c r="V23" s="98" t="e">
        <f t="shared" si="2"/>
        <v>#VALUE!</v>
      </c>
      <c r="W23" s="98" t="e">
        <f t="shared" si="3"/>
        <v>#VALUE!</v>
      </c>
      <c r="X23" s="98" t="e">
        <f t="shared" si="4"/>
        <v>#VALUE!</v>
      </c>
      <c r="Y23" s="98" t="e">
        <f t="shared" si="5"/>
        <v>#VALUE!</v>
      </c>
      <c r="Z23" s="30" t="e">
        <f>IF('Angioplasty Summary'!$R$55=3, RANK(F23,F$2:F$92,1)+COUNTIF($F$2:F23,F23)-1, IF('Angioplasty Summary'!$R$55=2, RANK(E23,E$2:E$92,1)+COUNTIF($E$2:E23,E23)-1, IF('Angioplasty Summary'!$R$55=1, RANK(D23,D$2:D$92,1)+COUNTIF($D$2:D23,D23)-1)))</f>
        <v>#VALUE!</v>
      </c>
      <c r="AA23" s="98" t="str">
        <f>IF('Angioplasty Summary'!$R$55=3, F23, IF('Angioplasty Summary'!$R$55=2, E23, IF('Angioplasty Summary'!$R$55=1, D23)))</f>
        <v>xx</v>
      </c>
      <c r="AB23" s="98" t="e">
        <f>IF('Angioplasty Summary'!$R$55=3, X23, IF('Angioplasty Summary'!$R$55=2, V23, IF('Angioplasty Summary'!$R$55=1, T23)))</f>
        <v>#VALUE!</v>
      </c>
      <c r="AC23" s="98" t="e">
        <f>IF('Angioplasty Summary'!$R$55=3, Y23, IF('Angioplasty Summary'!$R$55=2, W23, IF('Angioplasty Summary'!$R$55=1, U23)))</f>
        <v>#VALUE!</v>
      </c>
    </row>
    <row r="24" spans="1:29" x14ac:dyDescent="0.25">
      <c r="A24" s="96" t="s">
        <v>138</v>
      </c>
      <c r="B24" s="29" t="s">
        <v>139</v>
      </c>
      <c r="C24" s="97">
        <v>146</v>
      </c>
      <c r="D24" s="98">
        <v>0.99</v>
      </c>
      <c r="E24" s="98">
        <v>0.57999999999999996</v>
      </c>
      <c r="F24" s="98">
        <v>0.95</v>
      </c>
      <c r="G24" s="99" t="s">
        <v>357</v>
      </c>
      <c r="H24" s="100">
        <v>1.9E-2</v>
      </c>
      <c r="I24" s="101">
        <v>63</v>
      </c>
      <c r="J24" s="100">
        <v>0.14299999999999999</v>
      </c>
      <c r="K24" s="30">
        <v>36</v>
      </c>
      <c r="L24" s="30" t="s">
        <v>766</v>
      </c>
      <c r="M24" s="96" t="s">
        <v>138</v>
      </c>
      <c r="N24" s="98">
        <v>0.95</v>
      </c>
      <c r="O24" s="98">
        <v>1</v>
      </c>
      <c r="P24" s="98">
        <v>0.5</v>
      </c>
      <c r="Q24" s="98">
        <v>0.66</v>
      </c>
      <c r="R24" s="98">
        <v>0.9</v>
      </c>
      <c r="S24" s="98">
        <v>0.98</v>
      </c>
      <c r="T24" s="98">
        <f t="shared" si="0"/>
        <v>4.0000000000000036E-2</v>
      </c>
      <c r="U24" s="98">
        <f t="shared" si="1"/>
        <v>1.0000000000000009E-2</v>
      </c>
      <c r="V24" s="98">
        <f t="shared" si="2"/>
        <v>7.999999999999996E-2</v>
      </c>
      <c r="W24" s="98">
        <f t="shared" si="3"/>
        <v>8.0000000000000071E-2</v>
      </c>
      <c r="X24" s="98">
        <f t="shared" si="4"/>
        <v>4.9999999999999933E-2</v>
      </c>
      <c r="Y24" s="98">
        <f t="shared" si="5"/>
        <v>3.0000000000000027E-2</v>
      </c>
      <c r="Z24" s="30">
        <f>IF('Angioplasty Summary'!$R$55=3, RANK(F24,F$2:F$92,1)+COUNTIF($F$2:F24,F24)-1, IF('Angioplasty Summary'!$R$55=2, RANK(E24,E$2:E$92,1)+COUNTIF($E$2:E24,E24)-1, IF('Angioplasty Summary'!$R$55=1, RANK(D24,D$2:D$92,1)+COUNTIF($D$2:D24,D24)-1)))</f>
        <v>40</v>
      </c>
      <c r="AA24" s="98">
        <f>IF('Angioplasty Summary'!$R$55=3, F24, IF('Angioplasty Summary'!$R$55=2, E24, IF('Angioplasty Summary'!$R$55=1, D24)))</f>
        <v>0.99</v>
      </c>
      <c r="AB24" s="98">
        <f>IF('Angioplasty Summary'!$R$55=3, X24, IF('Angioplasty Summary'!$R$55=2, V24, IF('Angioplasty Summary'!$R$55=1, T24)))</f>
        <v>4.0000000000000036E-2</v>
      </c>
      <c r="AC24" s="98">
        <f>IF('Angioplasty Summary'!$R$55=3, Y24, IF('Angioplasty Summary'!$R$55=2, W24, IF('Angioplasty Summary'!$R$55=1, U24)))</f>
        <v>1.0000000000000009E-2</v>
      </c>
    </row>
    <row r="25" spans="1:29" x14ac:dyDescent="0.25">
      <c r="A25" s="96" t="s">
        <v>126</v>
      </c>
      <c r="B25" s="29" t="s">
        <v>127</v>
      </c>
      <c r="C25" s="97">
        <v>367</v>
      </c>
      <c r="D25" s="98">
        <v>0.95</v>
      </c>
      <c r="E25" s="98">
        <v>0.44</v>
      </c>
      <c r="F25" s="98">
        <v>0.86</v>
      </c>
      <c r="G25" s="99" t="s">
        <v>389</v>
      </c>
      <c r="H25" s="100">
        <v>2.3E-2</v>
      </c>
      <c r="I25" s="101">
        <v>308</v>
      </c>
      <c r="J25" s="100">
        <v>0.17199999999999999</v>
      </c>
      <c r="K25" s="30">
        <v>124</v>
      </c>
      <c r="L25" s="30" t="s">
        <v>765</v>
      </c>
      <c r="M25" s="96" t="s">
        <v>126</v>
      </c>
      <c r="N25" s="98">
        <v>0.92</v>
      </c>
      <c r="O25" s="98">
        <v>0.97</v>
      </c>
      <c r="P25" s="98">
        <v>0.39</v>
      </c>
      <c r="Q25" s="98">
        <v>0.49</v>
      </c>
      <c r="R25" s="98">
        <v>0.82</v>
      </c>
      <c r="S25" s="98">
        <v>0.89</v>
      </c>
      <c r="T25" s="98">
        <f t="shared" si="0"/>
        <v>2.9999999999999916E-2</v>
      </c>
      <c r="U25" s="98">
        <f t="shared" si="1"/>
        <v>2.0000000000000018E-2</v>
      </c>
      <c r="V25" s="98">
        <f t="shared" si="2"/>
        <v>4.9999999999999989E-2</v>
      </c>
      <c r="W25" s="98">
        <f t="shared" si="3"/>
        <v>4.9999999999999989E-2</v>
      </c>
      <c r="X25" s="98">
        <f t="shared" si="4"/>
        <v>4.0000000000000036E-2</v>
      </c>
      <c r="Y25" s="98">
        <f t="shared" si="5"/>
        <v>3.0000000000000027E-2</v>
      </c>
      <c r="Z25" s="30">
        <f>IF('Angioplasty Summary'!$R$55=3, RANK(F25,F$2:F$92,1)+COUNTIF($F$2:F25,F25)-1, IF('Angioplasty Summary'!$R$55=2, RANK(E25,E$2:E$92,1)+COUNTIF($E$2:E25,E25)-1, IF('Angioplasty Summary'!$R$55=1, RANK(D25,D$2:D$92,1)+COUNTIF($D$2:D25,D25)-1)))</f>
        <v>13</v>
      </c>
      <c r="AA25" s="98">
        <f>IF('Angioplasty Summary'!$R$55=3, F25, IF('Angioplasty Summary'!$R$55=2, E25, IF('Angioplasty Summary'!$R$55=1, D25)))</f>
        <v>0.95</v>
      </c>
      <c r="AB25" s="98">
        <f>IF('Angioplasty Summary'!$R$55=3, X25, IF('Angioplasty Summary'!$R$55=2, V25, IF('Angioplasty Summary'!$R$55=1, T25)))</f>
        <v>2.9999999999999916E-2</v>
      </c>
      <c r="AC25" s="98">
        <f>IF('Angioplasty Summary'!$R$55=3, Y25, IF('Angioplasty Summary'!$R$55=2, W25, IF('Angioplasty Summary'!$R$55=1, U25)))</f>
        <v>2.0000000000000018E-2</v>
      </c>
    </row>
    <row r="26" spans="1:29" x14ac:dyDescent="0.25">
      <c r="A26" s="96" t="s">
        <v>154</v>
      </c>
      <c r="B26" s="29" t="s">
        <v>155</v>
      </c>
      <c r="C26" s="97">
        <v>718</v>
      </c>
      <c r="D26" s="98">
        <v>0.97</v>
      </c>
      <c r="E26" s="98">
        <v>0.56999999999999995</v>
      </c>
      <c r="F26" s="98">
        <v>0.88</v>
      </c>
      <c r="G26" s="99" t="s">
        <v>358</v>
      </c>
      <c r="H26" s="100">
        <v>2.7E-2</v>
      </c>
      <c r="I26" s="101">
        <v>587</v>
      </c>
      <c r="J26" s="100">
        <v>0.11600000000000001</v>
      </c>
      <c r="K26" s="30">
        <v>145</v>
      </c>
      <c r="L26" s="30" t="s">
        <v>379</v>
      </c>
      <c r="M26" s="96" t="s">
        <v>154</v>
      </c>
      <c r="N26" s="98">
        <v>0.96</v>
      </c>
      <c r="O26" s="98">
        <v>0.98</v>
      </c>
      <c r="P26" s="98">
        <v>0.53</v>
      </c>
      <c r="Q26" s="98">
        <v>0.6</v>
      </c>
      <c r="R26" s="98">
        <v>0.85</v>
      </c>
      <c r="S26" s="98">
        <v>0.9</v>
      </c>
      <c r="T26" s="98">
        <f t="shared" si="0"/>
        <v>1.0000000000000009E-2</v>
      </c>
      <c r="U26" s="98">
        <f t="shared" si="1"/>
        <v>1.0000000000000009E-2</v>
      </c>
      <c r="V26" s="98">
        <f t="shared" si="2"/>
        <v>3.9999999999999925E-2</v>
      </c>
      <c r="W26" s="98">
        <f t="shared" si="3"/>
        <v>3.0000000000000027E-2</v>
      </c>
      <c r="X26" s="98">
        <f t="shared" si="4"/>
        <v>3.0000000000000027E-2</v>
      </c>
      <c r="Y26" s="98">
        <f t="shared" si="5"/>
        <v>2.0000000000000018E-2</v>
      </c>
      <c r="Z26" s="30">
        <f>IF('Angioplasty Summary'!$R$55=3, RANK(F26,F$2:F$92,1)+COUNTIF($F$2:F26,F26)-1, IF('Angioplasty Summary'!$R$55=2, RANK(E26,E$2:E$92,1)+COUNTIF($E$2:E26,E26)-1, IF('Angioplasty Summary'!$R$55=1, RANK(D26,D$2:D$92,1)+COUNTIF($D$2:D26,D26)-1)))</f>
        <v>20</v>
      </c>
      <c r="AA26" s="98">
        <f>IF('Angioplasty Summary'!$R$55=3, F26, IF('Angioplasty Summary'!$R$55=2, E26, IF('Angioplasty Summary'!$R$55=1, D26)))</f>
        <v>0.97</v>
      </c>
      <c r="AB26" s="98">
        <f>IF('Angioplasty Summary'!$R$55=3, X26, IF('Angioplasty Summary'!$R$55=2, V26, IF('Angioplasty Summary'!$R$55=1, T26)))</f>
        <v>1.0000000000000009E-2</v>
      </c>
      <c r="AC26" s="98">
        <f>IF('Angioplasty Summary'!$R$55=3, Y26, IF('Angioplasty Summary'!$R$55=2, W26, IF('Angioplasty Summary'!$R$55=1, U26)))</f>
        <v>1.0000000000000009E-2</v>
      </c>
    </row>
    <row r="27" spans="1:29" x14ac:dyDescent="0.25">
      <c r="A27" s="96" t="s">
        <v>39</v>
      </c>
      <c r="B27" s="29" t="s">
        <v>216</v>
      </c>
      <c r="C27" s="97">
        <v>126</v>
      </c>
      <c r="D27" s="98">
        <v>0.92</v>
      </c>
      <c r="E27" s="98">
        <v>0.62</v>
      </c>
      <c r="F27" s="98">
        <v>0.9</v>
      </c>
      <c r="G27" s="99" t="s">
        <v>369</v>
      </c>
      <c r="H27" s="100">
        <v>0</v>
      </c>
      <c r="I27" s="101">
        <v>115</v>
      </c>
      <c r="J27" s="100">
        <v>7.8E-2</v>
      </c>
      <c r="K27" s="30">
        <v>24</v>
      </c>
      <c r="L27" s="30" t="s">
        <v>331</v>
      </c>
      <c r="M27" s="96" t="s">
        <v>39</v>
      </c>
      <c r="N27" s="98">
        <v>0.86</v>
      </c>
      <c r="O27" s="98">
        <v>0.96</v>
      </c>
      <c r="P27" s="98">
        <v>0.53</v>
      </c>
      <c r="Q27" s="98">
        <v>0.7</v>
      </c>
      <c r="R27" s="98">
        <v>0.84</v>
      </c>
      <c r="S27" s="98">
        <v>0.95</v>
      </c>
      <c r="T27" s="98">
        <f t="shared" si="0"/>
        <v>6.0000000000000053E-2</v>
      </c>
      <c r="U27" s="98">
        <f t="shared" si="1"/>
        <v>3.9999999999999925E-2</v>
      </c>
      <c r="V27" s="98">
        <f t="shared" si="2"/>
        <v>8.9999999999999969E-2</v>
      </c>
      <c r="W27" s="98">
        <f t="shared" si="3"/>
        <v>7.999999999999996E-2</v>
      </c>
      <c r="X27" s="98">
        <f t="shared" si="4"/>
        <v>6.0000000000000053E-2</v>
      </c>
      <c r="Y27" s="98">
        <f t="shared" si="5"/>
        <v>4.9999999999999933E-2</v>
      </c>
      <c r="Z27" s="30">
        <f>IF('Angioplasty Summary'!$R$55=3, RANK(F27,F$2:F$92,1)+COUNTIF($F$2:F27,F27)-1, IF('Angioplasty Summary'!$R$55=2, RANK(E27,E$2:E$92,1)+COUNTIF($E$2:E27,E27)-1, IF('Angioplasty Summary'!$R$55=1, RANK(D27,D$2:D$92,1)+COUNTIF($D$2:D27,D27)-1)))</f>
        <v>5</v>
      </c>
      <c r="AA27" s="98">
        <f>IF('Angioplasty Summary'!$R$55=3, F27, IF('Angioplasty Summary'!$R$55=2, E27, IF('Angioplasty Summary'!$R$55=1, D27)))</f>
        <v>0.92</v>
      </c>
      <c r="AB27" s="98">
        <f>IF('Angioplasty Summary'!$R$55=3, X27, IF('Angioplasty Summary'!$R$55=2, V27, IF('Angioplasty Summary'!$R$55=1, T27)))</f>
        <v>6.0000000000000053E-2</v>
      </c>
      <c r="AC27" s="98">
        <f>IF('Angioplasty Summary'!$R$55=3, Y27, IF('Angioplasty Summary'!$R$55=2, W27, IF('Angioplasty Summary'!$R$55=1, U27)))</f>
        <v>3.9999999999999925E-2</v>
      </c>
    </row>
    <row r="28" spans="1:29" x14ac:dyDescent="0.25">
      <c r="A28" s="96" t="s">
        <v>40</v>
      </c>
      <c r="B28" s="29" t="s">
        <v>41</v>
      </c>
      <c r="C28" s="97">
        <v>414</v>
      </c>
      <c r="D28" s="98">
        <v>0.97</v>
      </c>
      <c r="E28" s="98">
        <v>0.68</v>
      </c>
      <c r="F28" s="98">
        <v>0.9</v>
      </c>
      <c r="G28" s="99" t="s">
        <v>370</v>
      </c>
      <c r="H28" s="100">
        <v>1.4E-2</v>
      </c>
      <c r="I28" s="101">
        <v>409</v>
      </c>
      <c r="J28" s="100">
        <v>7.5999999999999998E-2</v>
      </c>
      <c r="K28" s="30">
        <v>82</v>
      </c>
      <c r="L28" s="30" t="s">
        <v>683</v>
      </c>
      <c r="M28" s="96" t="s">
        <v>40</v>
      </c>
      <c r="N28" s="98">
        <v>0.95</v>
      </c>
      <c r="O28" s="98">
        <v>0.98</v>
      </c>
      <c r="P28" s="98">
        <v>0.63</v>
      </c>
      <c r="Q28" s="98">
        <v>0.72</v>
      </c>
      <c r="R28" s="98">
        <v>0.87</v>
      </c>
      <c r="S28" s="98">
        <v>0.93</v>
      </c>
      <c r="T28" s="98">
        <f t="shared" si="0"/>
        <v>2.0000000000000018E-2</v>
      </c>
      <c r="U28" s="98">
        <f t="shared" si="1"/>
        <v>1.0000000000000009E-2</v>
      </c>
      <c r="V28" s="98">
        <f t="shared" si="2"/>
        <v>5.0000000000000044E-2</v>
      </c>
      <c r="W28" s="98">
        <f t="shared" si="3"/>
        <v>3.9999999999999925E-2</v>
      </c>
      <c r="X28" s="98">
        <f t="shared" si="4"/>
        <v>3.0000000000000027E-2</v>
      </c>
      <c r="Y28" s="98">
        <f t="shared" si="5"/>
        <v>3.0000000000000027E-2</v>
      </c>
      <c r="Z28" s="30">
        <f>IF('Angioplasty Summary'!$R$55=3, RANK(F28,F$2:F$92,1)+COUNTIF($F$2:F28,F28)-1, IF('Angioplasty Summary'!$R$55=2, RANK(E28,E$2:E$92,1)+COUNTIF($E$2:E28,E28)-1, IF('Angioplasty Summary'!$R$55=1, RANK(D28,D$2:D$92,1)+COUNTIF($D$2:D28,D28)-1)))</f>
        <v>21</v>
      </c>
      <c r="AA28" s="98">
        <f>IF('Angioplasty Summary'!$R$55=3, F28, IF('Angioplasty Summary'!$R$55=2, E28, IF('Angioplasty Summary'!$R$55=1, D28)))</f>
        <v>0.97</v>
      </c>
      <c r="AB28" s="98">
        <f>IF('Angioplasty Summary'!$R$55=3, X28, IF('Angioplasty Summary'!$R$55=2, V28, IF('Angioplasty Summary'!$R$55=1, T28)))</f>
        <v>2.0000000000000018E-2</v>
      </c>
      <c r="AC28" s="98">
        <f>IF('Angioplasty Summary'!$R$55=3, Y28, IF('Angioplasty Summary'!$R$55=2, W28, IF('Angioplasty Summary'!$R$55=1, U28)))</f>
        <v>1.0000000000000009E-2</v>
      </c>
    </row>
    <row r="29" spans="1:29" x14ac:dyDescent="0.25">
      <c r="A29" s="96" t="s">
        <v>103</v>
      </c>
      <c r="B29" s="29" t="s">
        <v>104</v>
      </c>
      <c r="C29" s="97">
        <v>406</v>
      </c>
      <c r="D29" s="98">
        <v>0.94</v>
      </c>
      <c r="E29" s="98">
        <v>0.78</v>
      </c>
      <c r="F29" s="98">
        <v>0.81</v>
      </c>
      <c r="G29" s="99" t="s">
        <v>366</v>
      </c>
      <c r="H29" s="100">
        <v>1.4999999999999999E-2</v>
      </c>
      <c r="I29" s="101">
        <v>401</v>
      </c>
      <c r="J29" s="100">
        <v>0.15</v>
      </c>
      <c r="K29" s="30">
        <v>54</v>
      </c>
      <c r="L29" s="30" t="s">
        <v>763</v>
      </c>
      <c r="M29" s="96" t="s">
        <v>103</v>
      </c>
      <c r="N29" s="98">
        <v>0.92</v>
      </c>
      <c r="O29" s="98">
        <v>0.96</v>
      </c>
      <c r="P29" s="98">
        <v>0.73</v>
      </c>
      <c r="Q29" s="98">
        <v>0.82</v>
      </c>
      <c r="R29" s="98">
        <v>0.77</v>
      </c>
      <c r="S29" s="98">
        <v>0.85</v>
      </c>
      <c r="T29" s="98">
        <f t="shared" si="0"/>
        <v>1.9999999999999907E-2</v>
      </c>
      <c r="U29" s="98">
        <f t="shared" si="1"/>
        <v>2.0000000000000018E-2</v>
      </c>
      <c r="V29" s="98">
        <f t="shared" si="2"/>
        <v>5.0000000000000044E-2</v>
      </c>
      <c r="W29" s="98">
        <f t="shared" si="3"/>
        <v>3.9999999999999925E-2</v>
      </c>
      <c r="X29" s="98">
        <f t="shared" si="4"/>
        <v>4.0000000000000036E-2</v>
      </c>
      <c r="Y29" s="98">
        <f t="shared" si="5"/>
        <v>3.9999999999999925E-2</v>
      </c>
      <c r="Z29" s="30">
        <f>IF('Angioplasty Summary'!$R$55=3, RANK(F29,F$2:F$92,1)+COUNTIF($F$2:F29,F29)-1, IF('Angioplasty Summary'!$R$55=2, RANK(E29,E$2:E$92,1)+COUNTIF($E$2:E29,E29)-1, IF('Angioplasty Summary'!$R$55=1, RANK(D29,D$2:D$92,1)+COUNTIF($D$2:D29,D29)-1)))</f>
        <v>8</v>
      </c>
      <c r="AA29" s="98">
        <f>IF('Angioplasty Summary'!$R$55=3, F29, IF('Angioplasty Summary'!$R$55=2, E29, IF('Angioplasty Summary'!$R$55=1, D29)))</f>
        <v>0.94</v>
      </c>
      <c r="AB29" s="98">
        <f>IF('Angioplasty Summary'!$R$55=3, X29, IF('Angioplasty Summary'!$R$55=2, V29, IF('Angioplasty Summary'!$R$55=1, T29)))</f>
        <v>1.9999999999999907E-2</v>
      </c>
      <c r="AC29" s="98">
        <f>IF('Angioplasty Summary'!$R$55=3, Y29, IF('Angioplasty Summary'!$R$55=2, W29, IF('Angioplasty Summary'!$R$55=1, U29)))</f>
        <v>2.0000000000000018E-2</v>
      </c>
    </row>
    <row r="30" spans="1:29" x14ac:dyDescent="0.25">
      <c r="A30" s="96" t="s">
        <v>115</v>
      </c>
      <c r="B30" s="29" t="s">
        <v>116</v>
      </c>
      <c r="C30" s="97">
        <v>52</v>
      </c>
      <c r="D30" s="98">
        <v>0.98</v>
      </c>
      <c r="E30" s="98">
        <v>0.56000000000000005</v>
      </c>
      <c r="F30" s="98">
        <v>0.86</v>
      </c>
      <c r="G30" s="99" t="s">
        <v>386</v>
      </c>
      <c r="H30" s="100" t="e">
        <v>#N/A</v>
      </c>
      <c r="I30" s="101">
        <v>31</v>
      </c>
      <c r="J30" s="100">
        <v>9.7000000000000003E-2</v>
      </c>
      <c r="K30" s="30">
        <v>7</v>
      </c>
      <c r="L30" s="30" t="s">
        <v>772</v>
      </c>
      <c r="M30" s="96" t="s">
        <v>115</v>
      </c>
      <c r="N30" s="98">
        <v>0.9</v>
      </c>
      <c r="O30" s="98">
        <v>1</v>
      </c>
      <c r="P30" s="98">
        <v>0.41</v>
      </c>
      <c r="Q30" s="98">
        <v>0.7</v>
      </c>
      <c r="R30" s="98">
        <v>0.74</v>
      </c>
      <c r="S30" s="98">
        <v>0.94</v>
      </c>
      <c r="T30" s="98">
        <f t="shared" si="0"/>
        <v>7.999999999999996E-2</v>
      </c>
      <c r="U30" s="98">
        <f t="shared" si="1"/>
        <v>2.0000000000000018E-2</v>
      </c>
      <c r="V30" s="98">
        <f t="shared" si="2"/>
        <v>0.15000000000000008</v>
      </c>
      <c r="W30" s="98">
        <f t="shared" si="3"/>
        <v>0.1399999999999999</v>
      </c>
      <c r="X30" s="98">
        <f t="shared" si="4"/>
        <v>0.12</v>
      </c>
      <c r="Y30" s="98">
        <f t="shared" si="5"/>
        <v>7.999999999999996E-2</v>
      </c>
      <c r="Z30" s="30">
        <f>IF('Angioplasty Summary'!$R$55=3, RANK(F30,F$2:F$92,1)+COUNTIF($F$2:F30,F30)-1, IF('Angioplasty Summary'!$R$55=2, RANK(E30,E$2:E$92,1)+COUNTIF($E$2:E30,E30)-1, IF('Angioplasty Summary'!$R$55=1, RANK(D30,D$2:D$92,1)+COUNTIF($D$2:D30,D30)-1)))</f>
        <v>26</v>
      </c>
      <c r="AA30" s="98">
        <f>IF('Angioplasty Summary'!$R$55=3, F30, IF('Angioplasty Summary'!$R$55=2, E30, IF('Angioplasty Summary'!$R$55=1, D30)))</f>
        <v>0.98</v>
      </c>
      <c r="AB30" s="98">
        <f>IF('Angioplasty Summary'!$R$55=3, X30, IF('Angioplasty Summary'!$R$55=2, V30, IF('Angioplasty Summary'!$R$55=1, T30)))</f>
        <v>7.999999999999996E-2</v>
      </c>
      <c r="AC30" s="98">
        <f>IF('Angioplasty Summary'!$R$55=3, Y30, IF('Angioplasty Summary'!$R$55=2, W30, IF('Angioplasty Summary'!$R$55=1, U30)))</f>
        <v>2.0000000000000018E-2</v>
      </c>
    </row>
    <row r="31" spans="1:29" x14ac:dyDescent="0.25">
      <c r="A31" s="96" t="s">
        <v>352</v>
      </c>
      <c r="B31" s="29" t="s">
        <v>751</v>
      </c>
      <c r="C31" s="97">
        <v>4</v>
      </c>
      <c r="D31" s="98" t="s">
        <v>772</v>
      </c>
      <c r="E31" s="98" t="s">
        <v>772</v>
      </c>
      <c r="F31" s="98" t="s">
        <v>772</v>
      </c>
      <c r="G31" s="99" t="s">
        <v>772</v>
      </c>
      <c r="H31" s="100" t="e">
        <v>#N/A</v>
      </c>
      <c r="I31" s="101">
        <v>4</v>
      </c>
      <c r="J31" s="100" t="s">
        <v>772</v>
      </c>
      <c r="K31" s="30">
        <v>0</v>
      </c>
      <c r="L31" s="30" t="s">
        <v>772</v>
      </c>
      <c r="M31" s="96" t="s">
        <v>352</v>
      </c>
      <c r="N31" s="98">
        <v>0.4</v>
      </c>
      <c r="O31" s="98">
        <v>1</v>
      </c>
      <c r="P31" s="98">
        <v>0.19</v>
      </c>
      <c r="Q31" s="98">
        <v>0.99</v>
      </c>
      <c r="R31" s="98">
        <v>0.19</v>
      </c>
      <c r="S31" s="98">
        <v>0.99</v>
      </c>
      <c r="T31" s="98" t="e">
        <f t="shared" si="0"/>
        <v>#VALUE!</v>
      </c>
      <c r="U31" s="98" t="e">
        <f t="shared" si="1"/>
        <v>#VALUE!</v>
      </c>
      <c r="V31" s="98" t="e">
        <f t="shared" si="2"/>
        <v>#VALUE!</v>
      </c>
      <c r="W31" s="98" t="e">
        <f t="shared" si="3"/>
        <v>#VALUE!</v>
      </c>
      <c r="X31" s="98" t="e">
        <f t="shared" si="4"/>
        <v>#VALUE!</v>
      </c>
      <c r="Y31" s="98" t="e">
        <f t="shared" si="5"/>
        <v>#VALUE!</v>
      </c>
      <c r="Z31" s="30" t="e">
        <f>IF('Angioplasty Summary'!$R$55=3, RANK(F31,F$2:F$92,1)+COUNTIF($F$2:F31,F31)-1, IF('Angioplasty Summary'!$R$55=2, RANK(E31,E$2:E$92,1)+COUNTIF($E$2:E31,E31)-1, IF('Angioplasty Summary'!$R$55=1, RANK(D31,D$2:D$92,1)+COUNTIF($D$2:D31,D31)-1)))</f>
        <v>#VALUE!</v>
      </c>
      <c r="AA31" s="98" t="str">
        <f>IF('Angioplasty Summary'!$R$55=3, F31, IF('Angioplasty Summary'!$R$55=2, E31, IF('Angioplasty Summary'!$R$55=1, D31)))</f>
        <v>xx</v>
      </c>
      <c r="AB31" s="98" t="e">
        <f>IF('Angioplasty Summary'!$R$55=3, X31, IF('Angioplasty Summary'!$R$55=2, V31, IF('Angioplasty Summary'!$R$55=1, T31)))</f>
        <v>#VALUE!</v>
      </c>
      <c r="AC31" s="98" t="e">
        <f>IF('Angioplasty Summary'!$R$55=3, Y31, IF('Angioplasty Summary'!$R$55=2, W31, IF('Angioplasty Summary'!$R$55=1, U31)))</f>
        <v>#VALUE!</v>
      </c>
    </row>
    <row r="32" spans="1:29" x14ac:dyDescent="0.25">
      <c r="A32" s="96" t="s">
        <v>66</v>
      </c>
      <c r="B32" s="29" t="s">
        <v>67</v>
      </c>
      <c r="C32" s="97">
        <v>478</v>
      </c>
      <c r="D32" s="98">
        <v>0.92</v>
      </c>
      <c r="E32" s="98">
        <v>0.36</v>
      </c>
      <c r="F32" s="98">
        <v>0.97</v>
      </c>
      <c r="G32" s="99" t="s">
        <v>376</v>
      </c>
      <c r="H32" s="100">
        <v>1.4999999999999999E-2</v>
      </c>
      <c r="I32" s="101">
        <v>214</v>
      </c>
      <c r="J32" s="100">
        <v>3.6999999999999998E-2</v>
      </c>
      <c r="K32" s="30">
        <v>80</v>
      </c>
      <c r="L32" s="30" t="s">
        <v>530</v>
      </c>
      <c r="M32" s="96" t="s">
        <v>66</v>
      </c>
      <c r="N32" s="98">
        <v>0.89</v>
      </c>
      <c r="O32" s="98">
        <v>0.94</v>
      </c>
      <c r="P32" s="98">
        <v>0.31</v>
      </c>
      <c r="Q32" s="98">
        <v>0.4</v>
      </c>
      <c r="R32" s="98">
        <v>0.95</v>
      </c>
      <c r="S32" s="98">
        <v>0.98</v>
      </c>
      <c r="T32" s="98">
        <f t="shared" si="0"/>
        <v>3.0000000000000027E-2</v>
      </c>
      <c r="U32" s="98">
        <f t="shared" si="1"/>
        <v>1.9999999999999907E-2</v>
      </c>
      <c r="V32" s="98">
        <f t="shared" si="2"/>
        <v>4.9999999999999989E-2</v>
      </c>
      <c r="W32" s="98">
        <f t="shared" si="3"/>
        <v>4.0000000000000036E-2</v>
      </c>
      <c r="X32" s="98">
        <f t="shared" si="4"/>
        <v>2.0000000000000018E-2</v>
      </c>
      <c r="Y32" s="98">
        <f t="shared" si="5"/>
        <v>1.0000000000000009E-2</v>
      </c>
      <c r="Z32" s="30">
        <f>IF('Angioplasty Summary'!$R$55=3, RANK(F32,F$2:F$92,1)+COUNTIF($F$2:F32,F32)-1, IF('Angioplasty Summary'!$R$55=2, RANK(E32,E$2:E$92,1)+COUNTIF($E$2:E32,E32)-1, IF('Angioplasty Summary'!$R$55=1, RANK(D32,D$2:D$92,1)+COUNTIF($D$2:D32,D32)-1)))</f>
        <v>6</v>
      </c>
      <c r="AA32" s="98">
        <f>IF('Angioplasty Summary'!$R$55=3, F32, IF('Angioplasty Summary'!$R$55=2, E32, IF('Angioplasty Summary'!$R$55=1, D32)))</f>
        <v>0.92</v>
      </c>
      <c r="AB32" s="98">
        <f>IF('Angioplasty Summary'!$R$55=3, X32, IF('Angioplasty Summary'!$R$55=2, V32, IF('Angioplasty Summary'!$R$55=1, T32)))</f>
        <v>3.0000000000000027E-2</v>
      </c>
      <c r="AC32" s="98">
        <f>IF('Angioplasty Summary'!$R$55=3, Y32, IF('Angioplasty Summary'!$R$55=2, W32, IF('Angioplasty Summary'!$R$55=1, U32)))</f>
        <v>1.9999999999999907E-2</v>
      </c>
    </row>
    <row r="33" spans="1:29" x14ac:dyDescent="0.25">
      <c r="A33" s="96" t="s">
        <v>353</v>
      </c>
      <c r="B33" s="29" t="s">
        <v>752</v>
      </c>
      <c r="C33" s="97">
        <v>81</v>
      </c>
      <c r="D33" s="98">
        <v>0.94</v>
      </c>
      <c r="E33" s="98">
        <v>0.79</v>
      </c>
      <c r="F33" s="98">
        <v>0.93</v>
      </c>
      <c r="G33" s="99" t="s">
        <v>298</v>
      </c>
      <c r="H33" s="100">
        <v>0</v>
      </c>
      <c r="I33" s="101">
        <v>79</v>
      </c>
      <c r="J33" s="100">
        <v>6.3E-2</v>
      </c>
      <c r="K33" s="30">
        <v>2</v>
      </c>
      <c r="L33" s="30" t="s">
        <v>772</v>
      </c>
      <c r="M33" s="96" t="s">
        <v>353</v>
      </c>
      <c r="N33" s="98">
        <v>0.86</v>
      </c>
      <c r="O33" s="98">
        <v>0.98</v>
      </c>
      <c r="P33" s="98">
        <v>0.69</v>
      </c>
      <c r="Q33" s="98">
        <v>0.87</v>
      </c>
      <c r="R33" s="98">
        <v>0.85</v>
      </c>
      <c r="S33" s="98">
        <v>0.97</v>
      </c>
      <c r="T33" s="98">
        <f t="shared" si="0"/>
        <v>7.999999999999996E-2</v>
      </c>
      <c r="U33" s="98">
        <f t="shared" si="1"/>
        <v>4.0000000000000036E-2</v>
      </c>
      <c r="V33" s="98">
        <f t="shared" si="2"/>
        <v>0.10000000000000009</v>
      </c>
      <c r="W33" s="98">
        <f t="shared" si="3"/>
        <v>7.999999999999996E-2</v>
      </c>
      <c r="X33" s="98">
        <f t="shared" si="4"/>
        <v>8.0000000000000071E-2</v>
      </c>
      <c r="Y33" s="98">
        <f t="shared" si="5"/>
        <v>3.9999999999999925E-2</v>
      </c>
      <c r="Z33" s="30">
        <f>IF('Angioplasty Summary'!$R$55=3, RANK(F33,F$2:F$92,1)+COUNTIF($F$2:F33,F33)-1, IF('Angioplasty Summary'!$R$55=2, RANK(E33,E$2:E$92,1)+COUNTIF($E$2:E33,E33)-1, IF('Angioplasty Summary'!$R$55=1, RANK(D33,D$2:D$92,1)+COUNTIF($D$2:D33,D33)-1)))</f>
        <v>9</v>
      </c>
      <c r="AA33" s="98">
        <f>IF('Angioplasty Summary'!$R$55=3, F33, IF('Angioplasty Summary'!$R$55=2, E33, IF('Angioplasty Summary'!$R$55=1, D33)))</f>
        <v>0.94</v>
      </c>
      <c r="AB33" s="98">
        <f>IF('Angioplasty Summary'!$R$55=3, X33, IF('Angioplasty Summary'!$R$55=2, V33, IF('Angioplasty Summary'!$R$55=1, T33)))</f>
        <v>7.999999999999996E-2</v>
      </c>
      <c r="AC33" s="98">
        <f>IF('Angioplasty Summary'!$R$55=3, Y33, IF('Angioplasty Summary'!$R$55=2, W33, IF('Angioplasty Summary'!$R$55=1, U33)))</f>
        <v>4.0000000000000036E-2</v>
      </c>
    </row>
    <row r="34" spans="1:29" x14ac:dyDescent="0.25">
      <c r="A34" s="96" t="s">
        <v>130</v>
      </c>
      <c r="B34" s="29" t="s">
        <v>131</v>
      </c>
      <c r="C34" s="97">
        <v>222</v>
      </c>
      <c r="D34" s="98">
        <v>0.98</v>
      </c>
      <c r="E34" s="98">
        <v>0.63</v>
      </c>
      <c r="F34" s="98">
        <v>0.94</v>
      </c>
      <c r="G34" s="99" t="s">
        <v>386</v>
      </c>
      <c r="H34" s="100">
        <v>8.9999999999999993E-3</v>
      </c>
      <c r="I34" s="101">
        <v>219</v>
      </c>
      <c r="J34" s="100">
        <v>4.5999999999999999E-2</v>
      </c>
      <c r="K34" s="30">
        <v>55</v>
      </c>
      <c r="L34" s="30" t="s">
        <v>574</v>
      </c>
      <c r="M34" s="96" t="s">
        <v>130</v>
      </c>
      <c r="N34" s="98">
        <v>0.95</v>
      </c>
      <c r="O34" s="98">
        <v>1</v>
      </c>
      <c r="P34" s="98">
        <v>0.56000000000000005</v>
      </c>
      <c r="Q34" s="98">
        <v>0.69</v>
      </c>
      <c r="R34" s="98">
        <v>0.9</v>
      </c>
      <c r="S34" s="98">
        <v>0.97</v>
      </c>
      <c r="T34" s="98">
        <f t="shared" ref="T34:T65" si="6">D34-N34</f>
        <v>3.0000000000000027E-2</v>
      </c>
      <c r="U34" s="98">
        <f t="shared" ref="U34:U65" si="7">O34-D34</f>
        <v>2.0000000000000018E-2</v>
      </c>
      <c r="V34" s="98">
        <f t="shared" ref="V34:V65" si="8">E34-P34</f>
        <v>6.9999999999999951E-2</v>
      </c>
      <c r="W34" s="98">
        <f t="shared" ref="W34:W65" si="9">Q34-E34</f>
        <v>5.9999999999999942E-2</v>
      </c>
      <c r="X34" s="98">
        <f t="shared" ref="X34:X65" si="10">F34-R34</f>
        <v>3.9999999999999925E-2</v>
      </c>
      <c r="Y34" s="98">
        <f t="shared" ref="Y34:Y65" si="11">S34-F34</f>
        <v>3.0000000000000027E-2</v>
      </c>
      <c r="Z34" s="30">
        <f>IF('Angioplasty Summary'!$R$55=3, RANK(F34,F$2:F$92,1)+COUNTIF($F$2:F34,F34)-1, IF('Angioplasty Summary'!$R$55=2, RANK(E34,E$2:E$92,1)+COUNTIF($E$2:E34,E34)-1, IF('Angioplasty Summary'!$R$55=1, RANK(D34,D$2:D$92,1)+COUNTIF($D$2:D34,D34)-1)))</f>
        <v>27</v>
      </c>
      <c r="AA34" s="98">
        <f>IF('Angioplasty Summary'!$R$55=3, F34, IF('Angioplasty Summary'!$R$55=2, E34, IF('Angioplasty Summary'!$R$55=1, D34)))</f>
        <v>0.98</v>
      </c>
      <c r="AB34" s="98">
        <f>IF('Angioplasty Summary'!$R$55=3, X34, IF('Angioplasty Summary'!$R$55=2, V34, IF('Angioplasty Summary'!$R$55=1, T34)))</f>
        <v>3.0000000000000027E-2</v>
      </c>
      <c r="AC34" s="98">
        <f>IF('Angioplasty Summary'!$R$55=3, Y34, IF('Angioplasty Summary'!$R$55=2, W34, IF('Angioplasty Summary'!$R$55=1, U34)))</f>
        <v>2.0000000000000018E-2</v>
      </c>
    </row>
    <row r="35" spans="1:29" x14ac:dyDescent="0.25">
      <c r="A35" s="96" t="s">
        <v>158</v>
      </c>
      <c r="B35" s="29" t="s">
        <v>159</v>
      </c>
      <c r="C35" s="97">
        <v>140</v>
      </c>
      <c r="D35" s="98">
        <v>0.97</v>
      </c>
      <c r="E35" s="98">
        <v>0.56000000000000005</v>
      </c>
      <c r="F35" s="98">
        <v>0.93</v>
      </c>
      <c r="G35" s="99" t="s">
        <v>393</v>
      </c>
      <c r="H35" s="100">
        <v>8.9999999999999993E-3</v>
      </c>
      <c r="I35" s="101">
        <v>137</v>
      </c>
      <c r="J35" s="100">
        <v>0.109</v>
      </c>
      <c r="K35" s="30">
        <v>30</v>
      </c>
      <c r="L35" s="30" t="s">
        <v>289</v>
      </c>
      <c r="M35" s="96" t="s">
        <v>158</v>
      </c>
      <c r="N35" s="98">
        <v>0.93</v>
      </c>
      <c r="O35" s="98">
        <v>0.99</v>
      </c>
      <c r="P35" s="98">
        <v>0.48</v>
      </c>
      <c r="Q35" s="98">
        <v>0.65</v>
      </c>
      <c r="R35" s="98">
        <v>0.87</v>
      </c>
      <c r="S35" s="98">
        <v>0.97</v>
      </c>
      <c r="T35" s="98">
        <f t="shared" si="6"/>
        <v>3.9999999999999925E-2</v>
      </c>
      <c r="U35" s="98">
        <f t="shared" si="7"/>
        <v>2.0000000000000018E-2</v>
      </c>
      <c r="V35" s="98">
        <f t="shared" si="8"/>
        <v>8.0000000000000071E-2</v>
      </c>
      <c r="W35" s="98">
        <f t="shared" si="9"/>
        <v>8.9999999999999969E-2</v>
      </c>
      <c r="X35" s="98">
        <f t="shared" si="10"/>
        <v>6.0000000000000053E-2</v>
      </c>
      <c r="Y35" s="98">
        <f t="shared" si="11"/>
        <v>3.9999999999999925E-2</v>
      </c>
      <c r="Z35" s="30">
        <f>IF('Angioplasty Summary'!$R$55=3, RANK(F35,F$2:F$92,1)+COUNTIF($F$2:F35,F35)-1, IF('Angioplasty Summary'!$R$55=2, RANK(E35,E$2:E$92,1)+COUNTIF($E$2:E35,E35)-1, IF('Angioplasty Summary'!$R$55=1, RANK(D35,D$2:D$92,1)+COUNTIF($D$2:D35,D35)-1)))</f>
        <v>22</v>
      </c>
      <c r="AA35" s="98">
        <f>IF('Angioplasty Summary'!$R$55=3, F35, IF('Angioplasty Summary'!$R$55=2, E35, IF('Angioplasty Summary'!$R$55=1, D35)))</f>
        <v>0.97</v>
      </c>
      <c r="AB35" s="98">
        <f>IF('Angioplasty Summary'!$R$55=3, X35, IF('Angioplasty Summary'!$R$55=2, V35, IF('Angioplasty Summary'!$R$55=1, T35)))</f>
        <v>3.9999999999999925E-2</v>
      </c>
      <c r="AC35" s="98">
        <f>IF('Angioplasty Summary'!$R$55=3, Y35, IF('Angioplasty Summary'!$R$55=2, W35, IF('Angioplasty Summary'!$R$55=1, U35)))</f>
        <v>2.0000000000000018E-2</v>
      </c>
    </row>
    <row r="36" spans="1:29" x14ac:dyDescent="0.25">
      <c r="A36" s="96" t="s">
        <v>74</v>
      </c>
      <c r="B36" s="29" t="s">
        <v>75</v>
      </c>
      <c r="C36" s="97">
        <v>35</v>
      </c>
      <c r="D36" s="98">
        <v>0.94</v>
      </c>
      <c r="E36" s="98">
        <v>0.77</v>
      </c>
      <c r="F36" s="98">
        <v>0.94</v>
      </c>
      <c r="G36" s="99" t="s">
        <v>366</v>
      </c>
      <c r="H36" s="100" t="e">
        <v>#N/A</v>
      </c>
      <c r="I36" s="101">
        <v>9</v>
      </c>
      <c r="J36" s="100">
        <v>0.111</v>
      </c>
      <c r="K36" s="30">
        <v>8</v>
      </c>
      <c r="L36" s="30" t="s">
        <v>772</v>
      </c>
      <c r="M36" s="96" t="s">
        <v>74</v>
      </c>
      <c r="N36" s="98">
        <v>0.81</v>
      </c>
      <c r="O36" s="98">
        <v>0.99</v>
      </c>
      <c r="P36" s="98">
        <v>0.6</v>
      </c>
      <c r="Q36" s="98">
        <v>0.9</v>
      </c>
      <c r="R36" s="98">
        <v>0.81</v>
      </c>
      <c r="S36" s="98">
        <v>0.99</v>
      </c>
      <c r="T36" s="98">
        <f t="shared" si="6"/>
        <v>0.12999999999999989</v>
      </c>
      <c r="U36" s="98">
        <f t="shared" si="7"/>
        <v>5.0000000000000044E-2</v>
      </c>
      <c r="V36" s="98">
        <f t="shared" si="8"/>
        <v>0.17000000000000004</v>
      </c>
      <c r="W36" s="98">
        <f t="shared" si="9"/>
        <v>0.13</v>
      </c>
      <c r="X36" s="98">
        <f t="shared" si="10"/>
        <v>0.12999999999999989</v>
      </c>
      <c r="Y36" s="98">
        <f t="shared" si="11"/>
        <v>5.0000000000000044E-2</v>
      </c>
      <c r="Z36" s="30">
        <f>IF('Angioplasty Summary'!$R$55=3, RANK(F36,F$2:F$92,1)+COUNTIF($F$2:F36,F36)-1, IF('Angioplasty Summary'!$R$55=2, RANK(E36,E$2:E$92,1)+COUNTIF($E$2:E36,E36)-1, IF('Angioplasty Summary'!$R$55=1, RANK(D36,D$2:D$92,1)+COUNTIF($D$2:D36,D36)-1)))</f>
        <v>10</v>
      </c>
      <c r="AA36" s="98">
        <f>IF('Angioplasty Summary'!$R$55=3, F36, IF('Angioplasty Summary'!$R$55=2, E36, IF('Angioplasty Summary'!$R$55=1, D36)))</f>
        <v>0.94</v>
      </c>
      <c r="AB36" s="98">
        <f>IF('Angioplasty Summary'!$R$55=3, X36, IF('Angioplasty Summary'!$R$55=2, V36, IF('Angioplasty Summary'!$R$55=1, T36)))</f>
        <v>0.12999999999999989</v>
      </c>
      <c r="AC36" s="98">
        <f>IF('Angioplasty Summary'!$R$55=3, Y36, IF('Angioplasty Summary'!$R$55=2, W36, IF('Angioplasty Summary'!$R$55=1, U36)))</f>
        <v>5.0000000000000044E-2</v>
      </c>
    </row>
    <row r="37" spans="1:29" x14ac:dyDescent="0.25">
      <c r="A37" s="96" t="s">
        <v>150</v>
      </c>
      <c r="B37" s="29" t="s">
        <v>151</v>
      </c>
      <c r="C37" s="97">
        <v>1023</v>
      </c>
      <c r="D37" s="98">
        <v>0.99</v>
      </c>
      <c r="E37" s="98">
        <v>0.51</v>
      </c>
      <c r="F37" s="98">
        <v>0.89</v>
      </c>
      <c r="G37" s="99" t="s">
        <v>392</v>
      </c>
      <c r="H37" s="100">
        <v>1.6E-2</v>
      </c>
      <c r="I37" s="101">
        <v>989</v>
      </c>
      <c r="J37" s="100">
        <v>6.5000000000000002E-2</v>
      </c>
      <c r="K37" s="30">
        <v>367</v>
      </c>
      <c r="L37" s="30" t="s">
        <v>284</v>
      </c>
      <c r="M37" s="96" t="s">
        <v>150</v>
      </c>
      <c r="N37" s="98">
        <v>0.99</v>
      </c>
      <c r="O37" s="98">
        <v>1</v>
      </c>
      <c r="P37" s="98">
        <v>0.48</v>
      </c>
      <c r="Q37" s="98">
        <v>0.54</v>
      </c>
      <c r="R37" s="98">
        <v>0.87</v>
      </c>
      <c r="S37" s="98">
        <v>0.91</v>
      </c>
      <c r="T37" s="98">
        <f t="shared" si="6"/>
        <v>0</v>
      </c>
      <c r="U37" s="98">
        <f t="shared" si="7"/>
        <v>1.0000000000000009E-2</v>
      </c>
      <c r="V37" s="98">
        <f t="shared" si="8"/>
        <v>3.0000000000000027E-2</v>
      </c>
      <c r="W37" s="98">
        <f t="shared" si="9"/>
        <v>3.0000000000000027E-2</v>
      </c>
      <c r="X37" s="98">
        <f t="shared" si="10"/>
        <v>2.0000000000000018E-2</v>
      </c>
      <c r="Y37" s="98">
        <f t="shared" si="11"/>
        <v>2.0000000000000018E-2</v>
      </c>
      <c r="Z37" s="30">
        <f>IF('Angioplasty Summary'!$R$55=3, RANK(F37,F$2:F$92,1)+COUNTIF($F$2:F37,F37)-1, IF('Angioplasty Summary'!$R$55=2, RANK(E37,E$2:E$92,1)+COUNTIF($E$2:E37,E37)-1, IF('Angioplasty Summary'!$R$55=1, RANK(D37,D$2:D$92,1)+COUNTIF($D$2:D37,D37)-1)))</f>
        <v>41</v>
      </c>
      <c r="AA37" s="98">
        <f>IF('Angioplasty Summary'!$R$55=3, F37, IF('Angioplasty Summary'!$R$55=2, E37, IF('Angioplasty Summary'!$R$55=1, D37)))</f>
        <v>0.99</v>
      </c>
      <c r="AB37" s="98">
        <f>IF('Angioplasty Summary'!$R$55=3, X37, IF('Angioplasty Summary'!$R$55=2, V37, IF('Angioplasty Summary'!$R$55=1, T37)))</f>
        <v>0</v>
      </c>
      <c r="AC37" s="98">
        <f>IF('Angioplasty Summary'!$R$55=3, Y37, IF('Angioplasty Summary'!$R$55=2, W37, IF('Angioplasty Summary'!$R$55=1, U37)))</f>
        <v>1.0000000000000009E-2</v>
      </c>
    </row>
    <row r="38" spans="1:29" s="30" customFormat="1" x14ac:dyDescent="0.25">
      <c r="A38" s="96" t="s">
        <v>105</v>
      </c>
      <c r="B38" s="29" t="s">
        <v>106</v>
      </c>
      <c r="C38" s="97">
        <v>184</v>
      </c>
      <c r="D38" s="98">
        <v>0.98</v>
      </c>
      <c r="E38" s="98">
        <v>0.43</v>
      </c>
      <c r="F38" s="98">
        <v>0.9</v>
      </c>
      <c r="G38" s="99" t="s">
        <v>363</v>
      </c>
      <c r="H38" s="100" t="e">
        <v>#N/A</v>
      </c>
      <c r="I38" s="101">
        <v>131</v>
      </c>
      <c r="J38" s="100">
        <v>0.13</v>
      </c>
      <c r="K38" s="30">
        <v>63</v>
      </c>
      <c r="L38" s="30" t="s">
        <v>516</v>
      </c>
      <c r="M38" s="96" t="s">
        <v>105</v>
      </c>
      <c r="N38" s="98">
        <v>0.95</v>
      </c>
      <c r="O38" s="98">
        <v>0.99</v>
      </c>
      <c r="P38" s="98">
        <v>0.36</v>
      </c>
      <c r="Q38" s="98">
        <v>0.51</v>
      </c>
      <c r="R38" s="98">
        <v>0.85</v>
      </c>
      <c r="S38" s="98">
        <v>0.94</v>
      </c>
      <c r="T38" s="98">
        <f t="shared" si="6"/>
        <v>3.0000000000000027E-2</v>
      </c>
      <c r="U38" s="98">
        <f t="shared" si="7"/>
        <v>1.0000000000000009E-2</v>
      </c>
      <c r="V38" s="98">
        <f t="shared" si="8"/>
        <v>7.0000000000000007E-2</v>
      </c>
      <c r="W38" s="98">
        <f t="shared" si="9"/>
        <v>8.0000000000000016E-2</v>
      </c>
      <c r="X38" s="98">
        <f t="shared" si="10"/>
        <v>5.0000000000000044E-2</v>
      </c>
      <c r="Y38" s="98">
        <f t="shared" si="11"/>
        <v>3.9999999999999925E-2</v>
      </c>
      <c r="Z38" s="30">
        <f>IF('Angioplasty Summary'!$R$55=3, RANK(F38,F$2:F$92,1)+COUNTIF($F$2:F38,F38)-1, IF('Angioplasty Summary'!$R$55=2, RANK(E38,E$2:E$92,1)+COUNTIF($E$2:E38,E38)-1, IF('Angioplasty Summary'!$R$55=1, RANK(D38,D$2:D$92,1)+COUNTIF($D$2:D38,D38)-1)))</f>
        <v>28</v>
      </c>
      <c r="AA38" s="98">
        <f>IF('Angioplasty Summary'!$R$55=3, F38, IF('Angioplasty Summary'!$R$55=2, E38, IF('Angioplasty Summary'!$R$55=1, D38)))</f>
        <v>0.98</v>
      </c>
      <c r="AB38" s="98">
        <f>IF('Angioplasty Summary'!$R$55=3, X38, IF('Angioplasty Summary'!$R$55=2, V38, IF('Angioplasty Summary'!$R$55=1, T38)))</f>
        <v>3.0000000000000027E-2</v>
      </c>
      <c r="AC38" s="98">
        <f>IF('Angioplasty Summary'!$R$55=3, Y38, IF('Angioplasty Summary'!$R$55=2, W38, IF('Angioplasty Summary'!$R$55=1, U38)))</f>
        <v>1.0000000000000009E-2</v>
      </c>
    </row>
    <row r="39" spans="1:29" x14ac:dyDescent="0.25">
      <c r="A39" s="96" t="s">
        <v>15</v>
      </c>
      <c r="B39" s="29" t="s">
        <v>16</v>
      </c>
      <c r="C39" s="97">
        <v>695</v>
      </c>
      <c r="D39" s="98">
        <v>0.95</v>
      </c>
      <c r="E39" s="98">
        <v>0.42</v>
      </c>
      <c r="F39" s="98">
        <v>0.86</v>
      </c>
      <c r="G39" s="99" t="s">
        <v>360</v>
      </c>
      <c r="H39" s="100">
        <v>2.4E-2</v>
      </c>
      <c r="I39" s="101">
        <v>615</v>
      </c>
      <c r="J39" s="100">
        <v>7.5999999999999998E-2</v>
      </c>
      <c r="K39" s="30">
        <v>204</v>
      </c>
      <c r="L39" s="30" t="s">
        <v>758</v>
      </c>
      <c r="M39" s="96" t="s">
        <v>15</v>
      </c>
      <c r="N39" s="98">
        <v>0.93</v>
      </c>
      <c r="O39" s="98">
        <v>0.96</v>
      </c>
      <c r="P39" s="98">
        <v>0.38</v>
      </c>
      <c r="Q39" s="98">
        <v>0.46</v>
      </c>
      <c r="R39" s="98">
        <v>0.83</v>
      </c>
      <c r="S39" s="98">
        <v>0.89</v>
      </c>
      <c r="T39" s="98">
        <f t="shared" si="6"/>
        <v>1.9999999999999907E-2</v>
      </c>
      <c r="U39" s="98">
        <f t="shared" si="7"/>
        <v>1.0000000000000009E-2</v>
      </c>
      <c r="V39" s="98">
        <f t="shared" si="8"/>
        <v>3.999999999999998E-2</v>
      </c>
      <c r="W39" s="98">
        <f t="shared" si="9"/>
        <v>4.0000000000000036E-2</v>
      </c>
      <c r="X39" s="98">
        <f t="shared" si="10"/>
        <v>3.0000000000000027E-2</v>
      </c>
      <c r="Y39" s="98">
        <f t="shared" si="11"/>
        <v>3.0000000000000027E-2</v>
      </c>
      <c r="Z39" s="30">
        <f>IF('Angioplasty Summary'!$R$55=3, RANK(F39,F$2:F$92,1)+COUNTIF($F$2:F39,F39)-1, IF('Angioplasty Summary'!$R$55=2, RANK(E39,E$2:E$92,1)+COUNTIF($E$2:E39,E39)-1, IF('Angioplasty Summary'!$R$55=1, RANK(D39,D$2:D$92,1)+COUNTIF($D$2:D39,D39)-1)))</f>
        <v>14</v>
      </c>
      <c r="AA39" s="98">
        <f>IF('Angioplasty Summary'!$R$55=3, F39, IF('Angioplasty Summary'!$R$55=2, E39, IF('Angioplasty Summary'!$R$55=1, D39)))</f>
        <v>0.95</v>
      </c>
      <c r="AB39" s="98">
        <f>IF('Angioplasty Summary'!$R$55=3, X39, IF('Angioplasty Summary'!$R$55=2, V39, IF('Angioplasty Summary'!$R$55=1, T39)))</f>
        <v>1.9999999999999907E-2</v>
      </c>
      <c r="AC39" s="98">
        <f>IF('Angioplasty Summary'!$R$55=3, Y39, IF('Angioplasty Summary'!$R$55=2, W39, IF('Angioplasty Summary'!$R$55=1, U39)))</f>
        <v>1.0000000000000009E-2</v>
      </c>
    </row>
    <row r="40" spans="1:29" x14ac:dyDescent="0.25">
      <c r="A40" s="96" t="s">
        <v>11</v>
      </c>
      <c r="B40" s="29" t="s">
        <v>12</v>
      </c>
      <c r="C40" s="97">
        <v>634</v>
      </c>
      <c r="D40" s="98">
        <v>0.97</v>
      </c>
      <c r="E40" s="98">
        <v>0.63</v>
      </c>
      <c r="F40" s="98">
        <v>0.93</v>
      </c>
      <c r="G40" s="99" t="s">
        <v>358</v>
      </c>
      <c r="H40" s="100">
        <v>1.4E-2</v>
      </c>
      <c r="I40" s="101">
        <v>518</v>
      </c>
      <c r="J40" s="100">
        <v>8.5000000000000006E-2</v>
      </c>
      <c r="K40" s="30">
        <v>155</v>
      </c>
      <c r="L40" s="30" t="s">
        <v>684</v>
      </c>
      <c r="M40" s="96" t="s">
        <v>11</v>
      </c>
      <c r="N40" s="98">
        <v>0.96</v>
      </c>
      <c r="O40" s="98">
        <v>0.99</v>
      </c>
      <c r="P40" s="98">
        <v>0.59</v>
      </c>
      <c r="Q40" s="98">
        <v>0.67</v>
      </c>
      <c r="R40" s="98">
        <v>0.9</v>
      </c>
      <c r="S40" s="98">
        <v>0.94</v>
      </c>
      <c r="T40" s="98">
        <f t="shared" si="6"/>
        <v>1.0000000000000009E-2</v>
      </c>
      <c r="U40" s="98">
        <f t="shared" si="7"/>
        <v>2.0000000000000018E-2</v>
      </c>
      <c r="V40" s="98">
        <f t="shared" si="8"/>
        <v>4.0000000000000036E-2</v>
      </c>
      <c r="W40" s="98">
        <f t="shared" si="9"/>
        <v>4.0000000000000036E-2</v>
      </c>
      <c r="X40" s="98">
        <f t="shared" si="10"/>
        <v>3.0000000000000027E-2</v>
      </c>
      <c r="Y40" s="98">
        <f t="shared" si="11"/>
        <v>9.9999999999998979E-3</v>
      </c>
      <c r="Z40" s="30">
        <f>IF('Angioplasty Summary'!$R$55=3, RANK(F40,F$2:F$92,1)+COUNTIF($F$2:F40,F40)-1, IF('Angioplasty Summary'!$R$55=2, RANK(E40,E$2:E$92,1)+COUNTIF($E$2:E40,E40)-1, IF('Angioplasty Summary'!$R$55=1, RANK(D40,D$2:D$92,1)+COUNTIF($D$2:D40,D40)-1)))</f>
        <v>23</v>
      </c>
      <c r="AA40" s="98">
        <f>IF('Angioplasty Summary'!$R$55=3, F40, IF('Angioplasty Summary'!$R$55=2, E40, IF('Angioplasty Summary'!$R$55=1, D40)))</f>
        <v>0.97</v>
      </c>
      <c r="AB40" s="98">
        <f>IF('Angioplasty Summary'!$R$55=3, X40, IF('Angioplasty Summary'!$R$55=2, V40, IF('Angioplasty Summary'!$R$55=1, T40)))</f>
        <v>1.0000000000000009E-2</v>
      </c>
      <c r="AC40" s="98">
        <f>IF('Angioplasty Summary'!$R$55=3, Y40, IF('Angioplasty Summary'!$R$55=2, W40, IF('Angioplasty Summary'!$R$55=1, U40)))</f>
        <v>2.0000000000000018E-2</v>
      </c>
    </row>
    <row r="41" spans="1:29" x14ac:dyDescent="0.25">
      <c r="A41" s="96" t="s">
        <v>95</v>
      </c>
      <c r="B41" s="29" t="s">
        <v>96</v>
      </c>
      <c r="C41" s="97">
        <v>101</v>
      </c>
      <c r="D41" s="98">
        <v>0.96</v>
      </c>
      <c r="E41" s="98">
        <v>0.56000000000000005</v>
      </c>
      <c r="F41" s="98">
        <v>0.9</v>
      </c>
      <c r="G41" s="99" t="s">
        <v>384</v>
      </c>
      <c r="H41" s="100">
        <v>1.9E-2</v>
      </c>
      <c r="I41" s="101">
        <v>90</v>
      </c>
      <c r="J41" s="100">
        <v>2.1999999999999999E-2</v>
      </c>
      <c r="K41" s="30">
        <v>29</v>
      </c>
      <c r="L41" s="30" t="s">
        <v>762</v>
      </c>
      <c r="M41" s="96" t="s">
        <v>95</v>
      </c>
      <c r="N41" s="98">
        <v>0.9</v>
      </c>
      <c r="O41" s="98">
        <v>0.99</v>
      </c>
      <c r="P41" s="98">
        <v>0.46</v>
      </c>
      <c r="Q41" s="98">
        <v>0.66</v>
      </c>
      <c r="R41" s="98">
        <v>0.83</v>
      </c>
      <c r="S41" s="98">
        <v>0.95</v>
      </c>
      <c r="T41" s="98">
        <f t="shared" si="6"/>
        <v>5.9999999999999942E-2</v>
      </c>
      <c r="U41" s="98">
        <f t="shared" si="7"/>
        <v>3.0000000000000027E-2</v>
      </c>
      <c r="V41" s="98">
        <f t="shared" si="8"/>
        <v>0.10000000000000003</v>
      </c>
      <c r="W41" s="98">
        <f t="shared" si="9"/>
        <v>9.9999999999999978E-2</v>
      </c>
      <c r="X41" s="98">
        <f t="shared" si="10"/>
        <v>7.0000000000000062E-2</v>
      </c>
      <c r="Y41" s="98">
        <f t="shared" si="11"/>
        <v>4.9999999999999933E-2</v>
      </c>
      <c r="Z41" s="30">
        <f>IF('Angioplasty Summary'!$R$55=3, RANK(F41,F$2:F$92,1)+COUNTIF($F$2:F41,F41)-1, IF('Angioplasty Summary'!$R$55=2, RANK(E41,E$2:E$92,1)+COUNTIF($E$2:E41,E41)-1, IF('Angioplasty Summary'!$R$55=1, RANK(D41,D$2:D$92,1)+COUNTIF($D$2:D41,D41)-1)))</f>
        <v>17</v>
      </c>
      <c r="AA41" s="98">
        <f>IF('Angioplasty Summary'!$R$55=3, F41, IF('Angioplasty Summary'!$R$55=2, E41, IF('Angioplasty Summary'!$R$55=1, D41)))</f>
        <v>0.96</v>
      </c>
      <c r="AB41" s="98">
        <f>IF('Angioplasty Summary'!$R$55=3, X41, IF('Angioplasty Summary'!$R$55=2, V41, IF('Angioplasty Summary'!$R$55=1, T41)))</f>
        <v>5.9999999999999942E-2</v>
      </c>
      <c r="AC41" s="98">
        <f>IF('Angioplasty Summary'!$R$55=3, Y41, IF('Angioplasty Summary'!$R$55=2, W41, IF('Angioplasty Summary'!$R$55=1, U41)))</f>
        <v>3.0000000000000027E-2</v>
      </c>
    </row>
    <row r="42" spans="1:29" x14ac:dyDescent="0.25">
      <c r="A42" s="96" t="s">
        <v>99</v>
      </c>
      <c r="B42" s="29" t="s">
        <v>100</v>
      </c>
      <c r="C42" s="97">
        <v>492</v>
      </c>
      <c r="D42" s="98">
        <v>1</v>
      </c>
      <c r="E42" s="98">
        <v>0.63</v>
      </c>
      <c r="F42" s="98">
        <v>0.94</v>
      </c>
      <c r="G42" s="99" t="s">
        <v>380</v>
      </c>
      <c r="H42" s="100">
        <v>8.9999999999999993E-3</v>
      </c>
      <c r="I42" s="101">
        <v>445</v>
      </c>
      <c r="J42" s="100">
        <v>0.10100000000000001</v>
      </c>
      <c r="K42" s="30">
        <v>74</v>
      </c>
      <c r="L42" s="30" t="s">
        <v>315</v>
      </c>
      <c r="M42" s="96" t="s">
        <v>99</v>
      </c>
      <c r="N42" s="98">
        <v>0.99</v>
      </c>
      <c r="O42" s="98">
        <v>1</v>
      </c>
      <c r="P42" s="98">
        <v>0.57999999999999996</v>
      </c>
      <c r="Q42" s="98">
        <v>0.67</v>
      </c>
      <c r="R42" s="98">
        <v>0.92</v>
      </c>
      <c r="S42" s="98">
        <v>0.96</v>
      </c>
      <c r="T42" s="98">
        <f t="shared" si="6"/>
        <v>1.0000000000000009E-2</v>
      </c>
      <c r="U42" s="98">
        <f t="shared" si="7"/>
        <v>0</v>
      </c>
      <c r="V42" s="98">
        <f t="shared" si="8"/>
        <v>5.0000000000000044E-2</v>
      </c>
      <c r="W42" s="98">
        <f t="shared" si="9"/>
        <v>4.0000000000000036E-2</v>
      </c>
      <c r="X42" s="98">
        <f t="shared" si="10"/>
        <v>1.9999999999999907E-2</v>
      </c>
      <c r="Y42" s="98">
        <f t="shared" si="11"/>
        <v>2.0000000000000018E-2</v>
      </c>
      <c r="Z42" s="30">
        <f>IF('Angioplasty Summary'!$R$55=3, RANK(F42,F$2:F$92,1)+COUNTIF($F$2:F42,F42)-1, IF('Angioplasty Summary'!$R$55=2, RANK(E42,E$2:E$92,1)+COUNTIF($E$2:E42,E42)-1, IF('Angioplasty Summary'!$R$55=1, RANK(D42,D$2:D$92,1)+COUNTIF($D$2:D42,D42)-1)))</f>
        <v>54</v>
      </c>
      <c r="AA42" s="98">
        <f>IF('Angioplasty Summary'!$R$55=3, F42, IF('Angioplasty Summary'!$R$55=2, E42, IF('Angioplasty Summary'!$R$55=1, D42)))</f>
        <v>1</v>
      </c>
      <c r="AB42" s="98">
        <f>IF('Angioplasty Summary'!$R$55=3, X42, IF('Angioplasty Summary'!$R$55=2, V42, IF('Angioplasty Summary'!$R$55=1, T42)))</f>
        <v>1.0000000000000009E-2</v>
      </c>
      <c r="AC42" s="98">
        <f>IF('Angioplasty Summary'!$R$55=3, Y42, IF('Angioplasty Summary'!$R$55=2, W42, IF('Angioplasty Summary'!$R$55=1, U42)))</f>
        <v>0</v>
      </c>
    </row>
    <row r="43" spans="1:29" x14ac:dyDescent="0.25">
      <c r="A43" s="96" t="s">
        <v>146</v>
      </c>
      <c r="B43" s="29" t="s">
        <v>147</v>
      </c>
      <c r="C43" s="97">
        <v>227</v>
      </c>
      <c r="D43" s="98">
        <v>0.98</v>
      </c>
      <c r="E43" s="98">
        <v>0.97</v>
      </c>
      <c r="F43" s="98">
        <v>0.93</v>
      </c>
      <c r="G43" s="99" t="s">
        <v>361</v>
      </c>
      <c r="H43" s="100">
        <v>0</v>
      </c>
      <c r="I43" s="101">
        <v>3</v>
      </c>
      <c r="J43" s="100" t="s">
        <v>772</v>
      </c>
      <c r="K43" s="30">
        <v>7</v>
      </c>
      <c r="L43" s="30" t="s">
        <v>772</v>
      </c>
      <c r="M43" s="96" t="s">
        <v>146</v>
      </c>
      <c r="N43" s="98">
        <v>0.95</v>
      </c>
      <c r="O43" s="98">
        <v>0.99</v>
      </c>
      <c r="P43" s="98">
        <v>0.94</v>
      </c>
      <c r="Q43" s="98">
        <v>0.99</v>
      </c>
      <c r="R43" s="98">
        <v>0.88</v>
      </c>
      <c r="S43" s="98">
        <v>0.96</v>
      </c>
      <c r="T43" s="98">
        <f t="shared" si="6"/>
        <v>3.0000000000000027E-2</v>
      </c>
      <c r="U43" s="98">
        <f t="shared" si="7"/>
        <v>1.0000000000000009E-2</v>
      </c>
      <c r="V43" s="98">
        <f t="shared" si="8"/>
        <v>3.0000000000000027E-2</v>
      </c>
      <c r="W43" s="98">
        <f t="shared" si="9"/>
        <v>2.0000000000000018E-2</v>
      </c>
      <c r="X43" s="98">
        <f t="shared" si="10"/>
        <v>5.0000000000000044E-2</v>
      </c>
      <c r="Y43" s="98">
        <f t="shared" si="11"/>
        <v>2.9999999999999916E-2</v>
      </c>
      <c r="Z43" s="30">
        <f>IF('Angioplasty Summary'!$R$55=3, RANK(F43,F$2:F$92,1)+COUNTIF($F$2:F43,F43)-1, IF('Angioplasty Summary'!$R$55=2, RANK(E43,E$2:E$92,1)+COUNTIF($E$2:E43,E43)-1, IF('Angioplasty Summary'!$R$55=1, RANK(D43,D$2:D$92,1)+COUNTIF($D$2:D43,D43)-1)))</f>
        <v>29</v>
      </c>
      <c r="AA43" s="98">
        <f>IF('Angioplasty Summary'!$R$55=3, F43, IF('Angioplasty Summary'!$R$55=2, E43, IF('Angioplasty Summary'!$R$55=1, D43)))</f>
        <v>0.98</v>
      </c>
      <c r="AB43" s="98">
        <f>IF('Angioplasty Summary'!$R$55=3, X43, IF('Angioplasty Summary'!$R$55=2, V43, IF('Angioplasty Summary'!$R$55=1, T43)))</f>
        <v>3.0000000000000027E-2</v>
      </c>
      <c r="AC43" s="98">
        <f>IF('Angioplasty Summary'!$R$55=3, Y43, IF('Angioplasty Summary'!$R$55=2, W43, IF('Angioplasty Summary'!$R$55=1, U43)))</f>
        <v>1.0000000000000009E-2</v>
      </c>
    </row>
    <row r="44" spans="1:29" x14ac:dyDescent="0.25">
      <c r="A44" s="96" t="s">
        <v>351</v>
      </c>
      <c r="B44" s="29" t="s">
        <v>750</v>
      </c>
      <c r="C44" s="97">
        <v>28</v>
      </c>
      <c r="D44" s="98">
        <v>1</v>
      </c>
      <c r="E44" s="98">
        <v>0.86</v>
      </c>
      <c r="F44" s="98">
        <v>0.86</v>
      </c>
      <c r="G44" s="99" t="s">
        <v>366</v>
      </c>
      <c r="H44" s="100" t="e">
        <v>#N/A</v>
      </c>
      <c r="I44" s="101">
        <v>27</v>
      </c>
      <c r="J44" s="100">
        <v>0</v>
      </c>
      <c r="K44" s="30">
        <v>1</v>
      </c>
      <c r="L44" s="30" t="s">
        <v>772</v>
      </c>
      <c r="M44" s="96" t="s">
        <v>351</v>
      </c>
      <c r="N44" s="98">
        <v>0.88</v>
      </c>
      <c r="O44" s="98">
        <v>1</v>
      </c>
      <c r="P44" s="98">
        <v>0.67</v>
      </c>
      <c r="Q44" s="98">
        <v>0.96</v>
      </c>
      <c r="R44" s="98">
        <v>0.67</v>
      </c>
      <c r="S44" s="98">
        <v>0.96</v>
      </c>
      <c r="T44" s="98">
        <f t="shared" si="6"/>
        <v>0.12</v>
      </c>
      <c r="U44" s="98">
        <f t="shared" si="7"/>
        <v>0</v>
      </c>
      <c r="V44" s="98">
        <f t="shared" si="8"/>
        <v>0.18999999999999995</v>
      </c>
      <c r="W44" s="98">
        <f t="shared" si="9"/>
        <v>9.9999999999999978E-2</v>
      </c>
      <c r="X44" s="98">
        <f t="shared" si="10"/>
        <v>0.18999999999999995</v>
      </c>
      <c r="Y44" s="98">
        <f t="shared" si="11"/>
        <v>9.9999999999999978E-2</v>
      </c>
      <c r="Z44" s="30">
        <f>IF('Angioplasty Summary'!$R$55=3, RANK(F44,F$2:F$92,1)+COUNTIF($F$2:F44,F44)-1, IF('Angioplasty Summary'!$R$55=2, RANK(E44,E$2:E$92,1)+COUNTIF($E$2:E44,E44)-1, IF('Angioplasty Summary'!$R$55=1, RANK(D44,D$2:D$92,1)+COUNTIF($D$2:D44,D44)-1)))</f>
        <v>55</v>
      </c>
      <c r="AA44" s="98">
        <f>IF('Angioplasty Summary'!$R$55=3, F44, IF('Angioplasty Summary'!$R$55=2, E44, IF('Angioplasty Summary'!$R$55=1, D44)))</f>
        <v>1</v>
      </c>
      <c r="AB44" s="98">
        <f>IF('Angioplasty Summary'!$R$55=3, X44, IF('Angioplasty Summary'!$R$55=2, V44, IF('Angioplasty Summary'!$R$55=1, T44)))</f>
        <v>0.12</v>
      </c>
      <c r="AC44" s="98">
        <f>IF('Angioplasty Summary'!$R$55=3, Y44, IF('Angioplasty Summary'!$R$55=2, W44, IF('Angioplasty Summary'!$R$55=1, U44)))</f>
        <v>0</v>
      </c>
    </row>
    <row r="45" spans="1:29" x14ac:dyDescent="0.25">
      <c r="A45" s="96" t="s">
        <v>113</v>
      </c>
      <c r="B45" s="29" t="s">
        <v>114</v>
      </c>
      <c r="C45" s="97">
        <v>364</v>
      </c>
      <c r="D45" s="98">
        <v>1</v>
      </c>
      <c r="E45" s="98">
        <v>0.68</v>
      </c>
      <c r="F45" s="98">
        <v>0.91</v>
      </c>
      <c r="G45" s="99" t="s">
        <v>381</v>
      </c>
      <c r="H45" s="100">
        <v>1.7999999999999999E-2</v>
      </c>
      <c r="I45" s="101">
        <v>12</v>
      </c>
      <c r="J45" s="100">
        <v>0.16700000000000001</v>
      </c>
      <c r="K45" s="30">
        <v>87</v>
      </c>
      <c r="L45" s="30" t="s">
        <v>325</v>
      </c>
      <c r="M45" s="96" t="s">
        <v>113</v>
      </c>
      <c r="N45" s="98">
        <v>0.98</v>
      </c>
      <c r="O45" s="98">
        <v>1</v>
      </c>
      <c r="P45" s="98">
        <v>0.63</v>
      </c>
      <c r="Q45" s="98">
        <v>0.73</v>
      </c>
      <c r="R45" s="98">
        <v>0.88</v>
      </c>
      <c r="S45" s="98">
        <v>0.94</v>
      </c>
      <c r="T45" s="98">
        <f t="shared" si="6"/>
        <v>2.0000000000000018E-2</v>
      </c>
      <c r="U45" s="98">
        <f t="shared" si="7"/>
        <v>0</v>
      </c>
      <c r="V45" s="98">
        <f t="shared" si="8"/>
        <v>5.0000000000000044E-2</v>
      </c>
      <c r="W45" s="98">
        <f t="shared" si="9"/>
        <v>4.9999999999999933E-2</v>
      </c>
      <c r="X45" s="98">
        <f t="shared" si="10"/>
        <v>3.0000000000000027E-2</v>
      </c>
      <c r="Y45" s="98">
        <f t="shared" si="11"/>
        <v>2.9999999999999916E-2</v>
      </c>
      <c r="Z45" s="30">
        <f>IF('Angioplasty Summary'!$R$55=3, RANK(F45,F$2:F$92,1)+COUNTIF($F$2:F45,F45)-1, IF('Angioplasty Summary'!$R$55=2, RANK(E45,E$2:E$92,1)+COUNTIF($E$2:E45,E45)-1, IF('Angioplasty Summary'!$R$55=1, RANK(D45,D$2:D$92,1)+COUNTIF($D$2:D45,D45)-1)))</f>
        <v>56</v>
      </c>
      <c r="AA45" s="98">
        <f>IF('Angioplasty Summary'!$R$55=3, F45, IF('Angioplasty Summary'!$R$55=2, E45, IF('Angioplasty Summary'!$R$55=1, D45)))</f>
        <v>1</v>
      </c>
      <c r="AB45" s="98">
        <f>IF('Angioplasty Summary'!$R$55=3, X45, IF('Angioplasty Summary'!$R$55=2, V45, IF('Angioplasty Summary'!$R$55=1, T45)))</f>
        <v>2.0000000000000018E-2</v>
      </c>
      <c r="AC45" s="98">
        <f>IF('Angioplasty Summary'!$R$55=3, Y45, IF('Angioplasty Summary'!$R$55=2, W45, IF('Angioplasty Summary'!$R$55=1, U45)))</f>
        <v>0</v>
      </c>
    </row>
    <row r="46" spans="1:29" x14ac:dyDescent="0.25">
      <c r="A46" s="96" t="s">
        <v>160</v>
      </c>
      <c r="B46" s="29" t="s">
        <v>161</v>
      </c>
      <c r="C46" s="97">
        <v>20</v>
      </c>
      <c r="D46" s="98">
        <v>1</v>
      </c>
      <c r="E46" s="98">
        <v>0.4</v>
      </c>
      <c r="F46" s="98">
        <v>0.9</v>
      </c>
      <c r="G46" s="99" t="s">
        <v>387</v>
      </c>
      <c r="H46" s="100" t="e">
        <v>#N/A</v>
      </c>
      <c r="I46" s="101">
        <v>20</v>
      </c>
      <c r="J46" s="100">
        <v>0</v>
      </c>
      <c r="K46" s="30">
        <v>5</v>
      </c>
      <c r="L46" s="30" t="s">
        <v>772</v>
      </c>
      <c r="M46" s="96" t="s">
        <v>160</v>
      </c>
      <c r="N46" s="98">
        <v>0.83</v>
      </c>
      <c r="O46" s="98">
        <v>1</v>
      </c>
      <c r="P46" s="98">
        <v>0.19</v>
      </c>
      <c r="Q46" s="98">
        <v>0.64</v>
      </c>
      <c r="R46" s="98">
        <v>0.68</v>
      </c>
      <c r="S46" s="98">
        <v>0.99</v>
      </c>
      <c r="T46" s="98">
        <f t="shared" si="6"/>
        <v>0.17000000000000004</v>
      </c>
      <c r="U46" s="98">
        <f t="shared" si="7"/>
        <v>0</v>
      </c>
      <c r="V46" s="98">
        <f t="shared" si="8"/>
        <v>0.21000000000000002</v>
      </c>
      <c r="W46" s="98">
        <f t="shared" si="9"/>
        <v>0.24</v>
      </c>
      <c r="X46" s="98">
        <f t="shared" si="10"/>
        <v>0.21999999999999997</v>
      </c>
      <c r="Y46" s="98">
        <f t="shared" si="11"/>
        <v>8.9999999999999969E-2</v>
      </c>
      <c r="Z46" s="30">
        <f>IF('Angioplasty Summary'!$R$55=3, RANK(F46,F$2:F$92,1)+COUNTIF($F$2:F46,F46)-1, IF('Angioplasty Summary'!$R$55=2, RANK(E46,E$2:E$92,1)+COUNTIF($E$2:E46,E46)-1, IF('Angioplasty Summary'!$R$55=1, RANK(D46,D$2:D$92,1)+COUNTIF($D$2:D46,D46)-1)))</f>
        <v>57</v>
      </c>
      <c r="AA46" s="98">
        <f>IF('Angioplasty Summary'!$R$55=3, F46, IF('Angioplasty Summary'!$R$55=2, E46, IF('Angioplasty Summary'!$R$55=1, D46)))</f>
        <v>1</v>
      </c>
      <c r="AB46" s="98">
        <f>IF('Angioplasty Summary'!$R$55=3, X46, IF('Angioplasty Summary'!$R$55=2, V46, IF('Angioplasty Summary'!$R$55=1, T46)))</f>
        <v>0.17000000000000004</v>
      </c>
      <c r="AC46" s="98">
        <f>IF('Angioplasty Summary'!$R$55=3, Y46, IF('Angioplasty Summary'!$R$55=2, W46, IF('Angioplasty Summary'!$R$55=1, U46)))</f>
        <v>0</v>
      </c>
    </row>
    <row r="47" spans="1:29" x14ac:dyDescent="0.25">
      <c r="A47" s="96" t="s">
        <v>178</v>
      </c>
      <c r="B47" s="29" t="s">
        <v>179</v>
      </c>
      <c r="C47" s="97">
        <v>251</v>
      </c>
      <c r="D47" s="98">
        <v>0.98</v>
      </c>
      <c r="E47" s="98">
        <v>0.43</v>
      </c>
      <c r="F47" s="98">
        <v>0.7</v>
      </c>
      <c r="G47" s="99" t="s">
        <v>396</v>
      </c>
      <c r="H47" s="100">
        <v>0.04</v>
      </c>
      <c r="I47" s="101">
        <v>233</v>
      </c>
      <c r="J47" s="100">
        <v>0.22700000000000001</v>
      </c>
      <c r="K47" s="30">
        <v>60</v>
      </c>
      <c r="L47" s="30" t="s">
        <v>347</v>
      </c>
      <c r="M47" s="96" t="s">
        <v>178</v>
      </c>
      <c r="N47" s="98">
        <v>0.95</v>
      </c>
      <c r="O47" s="98">
        <v>0.99</v>
      </c>
      <c r="P47" s="98">
        <v>0.36</v>
      </c>
      <c r="Q47" s="98">
        <v>0.49</v>
      </c>
      <c r="R47" s="98">
        <v>0.64</v>
      </c>
      <c r="S47" s="98">
        <v>0.75</v>
      </c>
      <c r="T47" s="98">
        <f t="shared" si="6"/>
        <v>3.0000000000000027E-2</v>
      </c>
      <c r="U47" s="98">
        <f t="shared" si="7"/>
        <v>1.0000000000000009E-2</v>
      </c>
      <c r="V47" s="98">
        <f t="shared" si="8"/>
        <v>7.0000000000000007E-2</v>
      </c>
      <c r="W47" s="98">
        <f t="shared" si="9"/>
        <v>0.06</v>
      </c>
      <c r="X47" s="98">
        <f t="shared" si="10"/>
        <v>5.9999999999999942E-2</v>
      </c>
      <c r="Y47" s="98">
        <f t="shared" si="11"/>
        <v>5.0000000000000044E-2</v>
      </c>
      <c r="Z47" s="30">
        <f>IF('Angioplasty Summary'!$R$55=3, RANK(F47,F$2:F$92,1)+COUNTIF($F$2:F47,F47)-1, IF('Angioplasty Summary'!$R$55=2, RANK(E47,E$2:E$92,1)+COUNTIF($E$2:E47,E47)-1, IF('Angioplasty Summary'!$R$55=1, RANK(D47,D$2:D$92,1)+COUNTIF($D$2:D47,D47)-1)))</f>
        <v>30</v>
      </c>
      <c r="AA47" s="98">
        <f>IF('Angioplasty Summary'!$R$55=3, F47, IF('Angioplasty Summary'!$R$55=2, E47, IF('Angioplasty Summary'!$R$55=1, D47)))</f>
        <v>0.98</v>
      </c>
      <c r="AB47" s="98">
        <f>IF('Angioplasty Summary'!$R$55=3, X47, IF('Angioplasty Summary'!$R$55=2, V47, IF('Angioplasty Summary'!$R$55=1, T47)))</f>
        <v>3.0000000000000027E-2</v>
      </c>
      <c r="AC47" s="98">
        <f>IF('Angioplasty Summary'!$R$55=3, Y47, IF('Angioplasty Summary'!$R$55=2, W47, IF('Angioplasty Summary'!$R$55=1, U47)))</f>
        <v>1.0000000000000009E-2</v>
      </c>
    </row>
    <row r="48" spans="1:29" x14ac:dyDescent="0.25">
      <c r="A48" s="1" t="s">
        <v>162</v>
      </c>
      <c r="B48" s="29" t="s">
        <v>163</v>
      </c>
      <c r="C48" s="5">
        <v>0</v>
      </c>
      <c r="D48" s="5" t="s">
        <v>772</v>
      </c>
      <c r="E48" t="s">
        <v>772</v>
      </c>
      <c r="F48" t="s">
        <v>772</v>
      </c>
      <c r="G48" s="13" t="s">
        <v>772</v>
      </c>
      <c r="H48" t="e">
        <v>#N/A</v>
      </c>
      <c r="I48" s="101">
        <v>0</v>
      </c>
      <c r="J48" s="101" t="s">
        <v>772</v>
      </c>
      <c r="K48" s="30">
        <v>0</v>
      </c>
      <c r="L48" s="30" t="s">
        <v>772</v>
      </c>
      <c r="M48" t="s">
        <v>162</v>
      </c>
      <c r="N48" t="s">
        <v>772</v>
      </c>
      <c r="O48" t="s">
        <v>772</v>
      </c>
      <c r="P48" t="s">
        <v>772</v>
      </c>
      <c r="Q48" t="s">
        <v>772</v>
      </c>
      <c r="R48" t="s">
        <v>772</v>
      </c>
      <c r="S48" t="s">
        <v>772</v>
      </c>
      <c r="T48" s="98" t="e">
        <f t="shared" si="6"/>
        <v>#VALUE!</v>
      </c>
      <c r="U48" s="98" t="e">
        <f t="shared" si="7"/>
        <v>#VALUE!</v>
      </c>
      <c r="V48" s="98" t="e">
        <f t="shared" si="8"/>
        <v>#VALUE!</v>
      </c>
      <c r="W48" s="98" t="e">
        <f t="shared" si="9"/>
        <v>#VALUE!</v>
      </c>
      <c r="X48" s="98" t="e">
        <f t="shared" si="10"/>
        <v>#VALUE!</v>
      </c>
      <c r="Y48" s="98" t="e">
        <f t="shared" si="11"/>
        <v>#VALUE!</v>
      </c>
      <c r="Z48" s="30" t="e">
        <f>IF('Angioplasty Summary'!$R$55=3, RANK(F48,F$2:F$92,1)+COUNTIF($F$2:F48,F48)-1, IF('Angioplasty Summary'!$R$55=2, RANK(E48,E$2:E$92,1)+COUNTIF($E$2:E48,E48)-1, IF('Angioplasty Summary'!$R$55=1, RANK(D48,D$2:D$92,1)+COUNTIF($D$2:D48,D48)-1)))</f>
        <v>#VALUE!</v>
      </c>
      <c r="AA48" s="98" t="str">
        <f>IF('Angioplasty Summary'!$R$55=3, F48, IF('Angioplasty Summary'!$R$55=2, E48, IF('Angioplasty Summary'!$R$55=1, D48)))</f>
        <v>xx</v>
      </c>
      <c r="AB48" s="98" t="e">
        <f>IF('Angioplasty Summary'!$R$55=3, X48, IF('Angioplasty Summary'!$R$55=2, V48, IF('Angioplasty Summary'!$R$55=1, T48)))</f>
        <v>#VALUE!</v>
      </c>
      <c r="AC48" s="98" t="e">
        <f>IF('Angioplasty Summary'!$R$55=3, Y48, IF('Angioplasty Summary'!$R$55=2, W48, IF('Angioplasty Summary'!$R$55=1, U48)))</f>
        <v>#VALUE!</v>
      </c>
    </row>
    <row r="49" spans="1:29" x14ac:dyDescent="0.25">
      <c r="A49" s="96" t="s">
        <v>176</v>
      </c>
      <c r="B49" s="29" t="s">
        <v>177</v>
      </c>
      <c r="C49" s="97">
        <v>101</v>
      </c>
      <c r="D49" s="98">
        <v>1</v>
      </c>
      <c r="E49" s="98">
        <v>0.76</v>
      </c>
      <c r="F49" s="98">
        <v>0.91</v>
      </c>
      <c r="G49" s="99" t="s">
        <v>366</v>
      </c>
      <c r="H49" s="100">
        <v>0.03</v>
      </c>
      <c r="I49" s="101">
        <v>89</v>
      </c>
      <c r="J49" s="100">
        <v>6.7000000000000004E-2</v>
      </c>
      <c r="K49" s="30">
        <v>20</v>
      </c>
      <c r="L49" s="30" t="s">
        <v>275</v>
      </c>
      <c r="M49" s="96" t="s">
        <v>176</v>
      </c>
      <c r="N49" s="98">
        <v>0.96</v>
      </c>
      <c r="O49" s="98">
        <v>1</v>
      </c>
      <c r="P49" s="98">
        <v>0.67</v>
      </c>
      <c r="Q49" s="98">
        <v>0.84</v>
      </c>
      <c r="R49" s="98">
        <v>0.83</v>
      </c>
      <c r="S49" s="98">
        <v>0.96</v>
      </c>
      <c r="T49" s="98">
        <f t="shared" si="6"/>
        <v>4.0000000000000036E-2</v>
      </c>
      <c r="U49" s="98">
        <f t="shared" si="7"/>
        <v>0</v>
      </c>
      <c r="V49" s="98">
        <f t="shared" si="8"/>
        <v>8.9999999999999969E-2</v>
      </c>
      <c r="W49" s="98">
        <f t="shared" si="9"/>
        <v>7.999999999999996E-2</v>
      </c>
      <c r="X49" s="98">
        <f t="shared" si="10"/>
        <v>8.0000000000000071E-2</v>
      </c>
      <c r="Y49" s="98">
        <f t="shared" si="11"/>
        <v>4.9999999999999933E-2</v>
      </c>
      <c r="Z49" s="30">
        <f>IF('Angioplasty Summary'!$R$55=3, RANK(F49,F$2:F$92,1)+COUNTIF($F$2:F49,F49)-1, IF('Angioplasty Summary'!$R$55=2, RANK(E49,E$2:E$92,1)+COUNTIF($E$2:E49,E49)-1, IF('Angioplasty Summary'!$R$55=1, RANK(D49,D$2:D$92,1)+COUNTIF($D$2:D49,D49)-1)))</f>
        <v>58</v>
      </c>
      <c r="AA49" s="98">
        <f>IF('Angioplasty Summary'!$R$55=3, F49, IF('Angioplasty Summary'!$R$55=2, E49, IF('Angioplasty Summary'!$R$55=1, D49)))</f>
        <v>1</v>
      </c>
      <c r="AB49" s="98">
        <f>IF('Angioplasty Summary'!$R$55=3, X49, IF('Angioplasty Summary'!$R$55=2, V49, IF('Angioplasty Summary'!$R$55=1, T49)))</f>
        <v>4.0000000000000036E-2</v>
      </c>
      <c r="AC49" s="98">
        <f>IF('Angioplasty Summary'!$R$55=3, Y49, IF('Angioplasty Summary'!$R$55=2, W49, IF('Angioplasty Summary'!$R$55=1, U49)))</f>
        <v>0</v>
      </c>
    </row>
    <row r="50" spans="1:29" x14ac:dyDescent="0.25">
      <c r="A50" s="96" t="s">
        <v>170</v>
      </c>
      <c r="B50" s="29" t="s">
        <v>171</v>
      </c>
      <c r="C50" s="97">
        <v>78</v>
      </c>
      <c r="D50" s="98">
        <v>0.99</v>
      </c>
      <c r="E50" s="98">
        <v>0.69</v>
      </c>
      <c r="F50" s="98">
        <v>0.94</v>
      </c>
      <c r="G50" s="99" t="s">
        <v>371</v>
      </c>
      <c r="H50" s="100">
        <v>5.1999999999999998E-2</v>
      </c>
      <c r="I50" s="101">
        <v>66</v>
      </c>
      <c r="J50" s="100">
        <v>1.4999999999999999E-2</v>
      </c>
      <c r="K50" s="30">
        <v>15</v>
      </c>
      <c r="L50" s="30" t="s">
        <v>379</v>
      </c>
      <c r="M50" s="96" t="s">
        <v>170</v>
      </c>
      <c r="N50" s="98">
        <v>0.93</v>
      </c>
      <c r="O50" s="98">
        <v>1</v>
      </c>
      <c r="P50" s="98">
        <v>0.57999999999999996</v>
      </c>
      <c r="Q50" s="98">
        <v>0.79</v>
      </c>
      <c r="R50" s="98">
        <v>0.86</v>
      </c>
      <c r="S50" s="98">
        <v>0.98</v>
      </c>
      <c r="T50" s="98">
        <f t="shared" si="6"/>
        <v>5.9999999999999942E-2</v>
      </c>
      <c r="U50" s="98">
        <f t="shared" si="7"/>
        <v>1.0000000000000009E-2</v>
      </c>
      <c r="V50" s="98">
        <f t="shared" si="8"/>
        <v>0.10999999999999999</v>
      </c>
      <c r="W50" s="98">
        <f t="shared" si="9"/>
        <v>0.10000000000000009</v>
      </c>
      <c r="X50" s="98">
        <f t="shared" si="10"/>
        <v>7.999999999999996E-2</v>
      </c>
      <c r="Y50" s="98">
        <f t="shared" si="11"/>
        <v>4.0000000000000036E-2</v>
      </c>
      <c r="Z50" s="30">
        <f>IF('Angioplasty Summary'!$R$55=3, RANK(F50,F$2:F$92,1)+COUNTIF($F$2:F50,F50)-1, IF('Angioplasty Summary'!$R$55=2, RANK(E50,E$2:E$92,1)+COUNTIF($E$2:E50,E50)-1, IF('Angioplasty Summary'!$R$55=1, RANK(D50,D$2:D$92,1)+COUNTIF($D$2:D50,D50)-1)))</f>
        <v>42</v>
      </c>
      <c r="AA50" s="98">
        <f>IF('Angioplasty Summary'!$R$55=3, F50, IF('Angioplasty Summary'!$R$55=2, E50, IF('Angioplasty Summary'!$R$55=1, D50)))</f>
        <v>0.99</v>
      </c>
      <c r="AB50" s="98">
        <f>IF('Angioplasty Summary'!$R$55=3, X50, IF('Angioplasty Summary'!$R$55=2, V50, IF('Angioplasty Summary'!$R$55=1, T50)))</f>
        <v>5.9999999999999942E-2</v>
      </c>
      <c r="AC50" s="98">
        <f>IF('Angioplasty Summary'!$R$55=3, Y50, IF('Angioplasty Summary'!$R$55=2, W50, IF('Angioplasty Summary'!$R$55=1, U50)))</f>
        <v>1.0000000000000009E-2</v>
      </c>
    </row>
    <row r="51" spans="1:29" x14ac:dyDescent="0.25">
      <c r="A51" s="96" t="s">
        <v>164</v>
      </c>
      <c r="B51" s="29" t="s">
        <v>165</v>
      </c>
      <c r="C51" s="97">
        <v>226</v>
      </c>
      <c r="D51" s="98">
        <v>1</v>
      </c>
      <c r="E51" s="98">
        <v>0.32</v>
      </c>
      <c r="F51" s="98">
        <v>0.93</v>
      </c>
      <c r="G51" s="99" t="s">
        <v>394</v>
      </c>
      <c r="H51" s="100">
        <v>2.1999999999999999E-2</v>
      </c>
      <c r="I51" s="101">
        <v>218</v>
      </c>
      <c r="J51" s="100">
        <v>0.17</v>
      </c>
      <c r="K51" s="30">
        <v>97</v>
      </c>
      <c r="L51" s="30" t="s">
        <v>285</v>
      </c>
      <c r="M51" s="96" t="s">
        <v>164</v>
      </c>
      <c r="N51" s="98">
        <v>0.98</v>
      </c>
      <c r="O51" s="98">
        <v>1</v>
      </c>
      <c r="P51" s="98">
        <v>0.26</v>
      </c>
      <c r="Q51" s="98">
        <v>0.38</v>
      </c>
      <c r="R51" s="98">
        <v>0.89</v>
      </c>
      <c r="S51" s="98">
        <v>0.96</v>
      </c>
      <c r="T51" s="98">
        <f t="shared" si="6"/>
        <v>2.0000000000000018E-2</v>
      </c>
      <c r="U51" s="98">
        <f t="shared" si="7"/>
        <v>0</v>
      </c>
      <c r="V51" s="98">
        <f t="shared" si="8"/>
        <v>0.06</v>
      </c>
      <c r="W51" s="98">
        <f t="shared" si="9"/>
        <v>0.06</v>
      </c>
      <c r="X51" s="98">
        <f t="shared" si="10"/>
        <v>4.0000000000000036E-2</v>
      </c>
      <c r="Y51" s="98">
        <f t="shared" si="11"/>
        <v>2.9999999999999916E-2</v>
      </c>
      <c r="Z51" s="30">
        <f>IF('Angioplasty Summary'!$R$55=3, RANK(F51,F$2:F$92,1)+COUNTIF($F$2:F51,F51)-1, IF('Angioplasty Summary'!$R$55=2, RANK(E51,E$2:E$92,1)+COUNTIF($E$2:E51,E51)-1, IF('Angioplasty Summary'!$R$55=1, RANK(D51,D$2:D$92,1)+COUNTIF($D$2:D51,D51)-1)))</f>
        <v>59</v>
      </c>
      <c r="AA51" s="98">
        <f>IF('Angioplasty Summary'!$R$55=3, F51, IF('Angioplasty Summary'!$R$55=2, E51, IF('Angioplasty Summary'!$R$55=1, D51)))</f>
        <v>1</v>
      </c>
      <c r="AB51" s="98">
        <f>IF('Angioplasty Summary'!$R$55=3, X51, IF('Angioplasty Summary'!$R$55=2, V51, IF('Angioplasty Summary'!$R$55=1, T51)))</f>
        <v>2.0000000000000018E-2</v>
      </c>
      <c r="AC51" s="98">
        <f>IF('Angioplasty Summary'!$R$55=3, Y51, IF('Angioplasty Summary'!$R$55=2, W51, IF('Angioplasty Summary'!$R$55=1, U51)))</f>
        <v>0</v>
      </c>
    </row>
    <row r="52" spans="1:29" x14ac:dyDescent="0.25">
      <c r="A52" s="96" t="s">
        <v>166</v>
      </c>
      <c r="B52" s="29" t="s">
        <v>167</v>
      </c>
      <c r="C52" s="97">
        <v>284</v>
      </c>
      <c r="D52" s="98">
        <v>0.94</v>
      </c>
      <c r="E52" s="98">
        <v>0.51</v>
      </c>
      <c r="F52" s="98">
        <v>0.85</v>
      </c>
      <c r="G52" s="99" t="s">
        <v>374</v>
      </c>
      <c r="H52" s="100">
        <v>1.2999999999999999E-2</v>
      </c>
      <c r="I52" s="101">
        <v>279</v>
      </c>
      <c r="J52" s="100">
        <v>5.3999999999999999E-2</v>
      </c>
      <c r="K52" s="30">
        <v>121</v>
      </c>
      <c r="L52" s="30" t="s">
        <v>768</v>
      </c>
      <c r="M52" s="96" t="s">
        <v>166</v>
      </c>
      <c r="N52" s="98">
        <v>0.9</v>
      </c>
      <c r="O52" s="98">
        <v>0.96</v>
      </c>
      <c r="P52" s="98">
        <v>0.45</v>
      </c>
      <c r="Q52" s="98">
        <v>0.56999999999999995</v>
      </c>
      <c r="R52" s="98">
        <v>0.8</v>
      </c>
      <c r="S52" s="98">
        <v>0.89</v>
      </c>
      <c r="T52" s="98">
        <f t="shared" si="6"/>
        <v>3.9999999999999925E-2</v>
      </c>
      <c r="U52" s="98">
        <f t="shared" si="7"/>
        <v>2.0000000000000018E-2</v>
      </c>
      <c r="V52" s="98">
        <f t="shared" si="8"/>
        <v>0.06</v>
      </c>
      <c r="W52" s="98">
        <f t="shared" si="9"/>
        <v>5.9999999999999942E-2</v>
      </c>
      <c r="X52" s="98">
        <f t="shared" si="10"/>
        <v>4.9999999999999933E-2</v>
      </c>
      <c r="Y52" s="98">
        <f t="shared" si="11"/>
        <v>4.0000000000000036E-2</v>
      </c>
      <c r="Z52" s="30">
        <f>IF('Angioplasty Summary'!$R$55=3, RANK(F52,F$2:F$92,1)+COUNTIF($F$2:F52,F52)-1, IF('Angioplasty Summary'!$R$55=2, RANK(E52,E$2:E$92,1)+COUNTIF($E$2:E52,E52)-1, IF('Angioplasty Summary'!$R$55=1, RANK(D52,D$2:D$92,1)+COUNTIF($D$2:D52,D52)-1)))</f>
        <v>11</v>
      </c>
      <c r="AA52" s="98">
        <f>IF('Angioplasty Summary'!$R$55=3, F52, IF('Angioplasty Summary'!$R$55=2, E52, IF('Angioplasty Summary'!$R$55=1, D52)))</f>
        <v>0.94</v>
      </c>
      <c r="AB52" s="98">
        <f>IF('Angioplasty Summary'!$R$55=3, X52, IF('Angioplasty Summary'!$R$55=2, V52, IF('Angioplasty Summary'!$R$55=1, T52)))</f>
        <v>3.9999999999999925E-2</v>
      </c>
      <c r="AC52" s="98">
        <f>IF('Angioplasty Summary'!$R$55=3, Y52, IF('Angioplasty Summary'!$R$55=2, W52, IF('Angioplasty Summary'!$R$55=1, U52)))</f>
        <v>2.0000000000000018E-2</v>
      </c>
    </row>
    <row r="53" spans="1:29" x14ac:dyDescent="0.25">
      <c r="A53" s="96" t="s">
        <v>168</v>
      </c>
      <c r="B53" s="29" t="s">
        <v>169</v>
      </c>
      <c r="C53" s="97">
        <v>1</v>
      </c>
      <c r="D53" s="98" t="s">
        <v>772</v>
      </c>
      <c r="E53" s="98" t="s">
        <v>772</v>
      </c>
      <c r="F53" s="98" t="s">
        <v>772</v>
      </c>
      <c r="G53" s="99" t="s">
        <v>772</v>
      </c>
      <c r="H53" s="100" t="e">
        <v>#N/A</v>
      </c>
      <c r="I53" s="101">
        <v>0</v>
      </c>
      <c r="J53" s="100" t="s">
        <v>772</v>
      </c>
      <c r="K53" s="30">
        <v>1</v>
      </c>
      <c r="L53" s="30" t="s">
        <v>772</v>
      </c>
      <c r="M53" s="96" t="s">
        <v>168</v>
      </c>
      <c r="N53" s="98" t="s">
        <v>772</v>
      </c>
      <c r="O53" s="98" t="s">
        <v>772</v>
      </c>
      <c r="P53" s="98" t="s">
        <v>772</v>
      </c>
      <c r="Q53" s="98" t="s">
        <v>772</v>
      </c>
      <c r="R53" s="98" t="s">
        <v>772</v>
      </c>
      <c r="S53" s="98" t="s">
        <v>772</v>
      </c>
      <c r="T53" s="98" t="e">
        <f t="shared" si="6"/>
        <v>#VALUE!</v>
      </c>
      <c r="U53" s="98" t="e">
        <f t="shared" si="7"/>
        <v>#VALUE!</v>
      </c>
      <c r="V53" s="98" t="e">
        <f t="shared" si="8"/>
        <v>#VALUE!</v>
      </c>
      <c r="W53" s="98" t="e">
        <f t="shared" si="9"/>
        <v>#VALUE!</v>
      </c>
      <c r="X53" s="98" t="e">
        <f t="shared" si="10"/>
        <v>#VALUE!</v>
      </c>
      <c r="Y53" s="98" t="e">
        <f t="shared" si="11"/>
        <v>#VALUE!</v>
      </c>
      <c r="Z53" s="30" t="e">
        <f>IF('Angioplasty Summary'!$R$55=3, RANK(F53,F$2:F$92,1)+COUNTIF($F$2:F53,F53)-1, IF('Angioplasty Summary'!$R$55=2, RANK(E53,E$2:E$92,1)+COUNTIF($E$2:E53,E53)-1, IF('Angioplasty Summary'!$R$55=1, RANK(D53,D$2:D$92,1)+COUNTIF($D$2:D53,D53)-1)))</f>
        <v>#VALUE!</v>
      </c>
      <c r="AA53" s="98" t="str">
        <f>IF('Angioplasty Summary'!$R$55=3, F53, IF('Angioplasty Summary'!$R$55=2, E53, IF('Angioplasty Summary'!$R$55=1, D53)))</f>
        <v>xx</v>
      </c>
      <c r="AB53" s="98" t="e">
        <f>IF('Angioplasty Summary'!$R$55=3, X53, IF('Angioplasty Summary'!$R$55=2, V53, IF('Angioplasty Summary'!$R$55=1, T53)))</f>
        <v>#VALUE!</v>
      </c>
      <c r="AC53" s="98" t="e">
        <f>IF('Angioplasty Summary'!$R$55=3, Y53, IF('Angioplasty Summary'!$R$55=2, W53, IF('Angioplasty Summary'!$R$55=1, U53)))</f>
        <v>#VALUE!</v>
      </c>
    </row>
    <row r="54" spans="1:29" x14ac:dyDescent="0.25">
      <c r="A54" s="96" t="s">
        <v>172</v>
      </c>
      <c r="B54" s="29" t="s">
        <v>173</v>
      </c>
      <c r="C54" s="97">
        <v>1</v>
      </c>
      <c r="D54" s="98" t="s">
        <v>772</v>
      </c>
      <c r="E54" s="98" t="s">
        <v>772</v>
      </c>
      <c r="F54" s="98" t="s">
        <v>772</v>
      </c>
      <c r="G54" s="99" t="s">
        <v>772</v>
      </c>
      <c r="H54" s="100" t="e">
        <v>#N/A</v>
      </c>
      <c r="I54" s="101">
        <v>0</v>
      </c>
      <c r="J54" s="100" t="s">
        <v>772</v>
      </c>
      <c r="K54" s="30">
        <v>0</v>
      </c>
      <c r="L54" s="30" t="s">
        <v>772</v>
      </c>
      <c r="M54" s="96" t="s">
        <v>172</v>
      </c>
      <c r="N54" s="98" t="s">
        <v>772</v>
      </c>
      <c r="O54" s="98" t="s">
        <v>772</v>
      </c>
      <c r="P54" s="98" t="s">
        <v>772</v>
      </c>
      <c r="Q54" s="98" t="s">
        <v>772</v>
      </c>
      <c r="R54" s="98" t="s">
        <v>772</v>
      </c>
      <c r="S54" s="98" t="s">
        <v>772</v>
      </c>
      <c r="T54" s="98" t="e">
        <f t="shared" si="6"/>
        <v>#VALUE!</v>
      </c>
      <c r="U54" s="98" t="e">
        <f t="shared" si="7"/>
        <v>#VALUE!</v>
      </c>
      <c r="V54" s="98" t="e">
        <f t="shared" si="8"/>
        <v>#VALUE!</v>
      </c>
      <c r="W54" s="98" t="e">
        <f t="shared" si="9"/>
        <v>#VALUE!</v>
      </c>
      <c r="X54" s="98" t="e">
        <f t="shared" si="10"/>
        <v>#VALUE!</v>
      </c>
      <c r="Y54" s="98" t="e">
        <f t="shared" si="11"/>
        <v>#VALUE!</v>
      </c>
      <c r="Z54" s="30" t="e">
        <f>IF('Angioplasty Summary'!$R$55=3, RANK(F54,F$2:F$92,1)+COUNTIF($F$2:F54,F54)-1, IF('Angioplasty Summary'!$R$55=2, RANK(E54,E$2:E$92,1)+COUNTIF($E$2:E54,E54)-1, IF('Angioplasty Summary'!$R$55=1, RANK(D54,D$2:D$92,1)+COUNTIF($D$2:D54,D54)-1)))</f>
        <v>#VALUE!</v>
      </c>
      <c r="AA54" s="98" t="str">
        <f>IF('Angioplasty Summary'!$R$55=3, F54, IF('Angioplasty Summary'!$R$55=2, E54, IF('Angioplasty Summary'!$R$55=1, D54)))</f>
        <v>xx</v>
      </c>
      <c r="AB54" s="98" t="e">
        <f>IF('Angioplasty Summary'!$R$55=3, X54, IF('Angioplasty Summary'!$R$55=2, V54, IF('Angioplasty Summary'!$R$55=1, T54)))</f>
        <v>#VALUE!</v>
      </c>
      <c r="AC54" s="98" t="e">
        <f>IF('Angioplasty Summary'!$R$55=3, Y54, IF('Angioplasty Summary'!$R$55=2, W54, IF('Angioplasty Summary'!$R$55=1, U54)))</f>
        <v>#VALUE!</v>
      </c>
    </row>
    <row r="55" spans="1:29" x14ac:dyDescent="0.25">
      <c r="A55" s="96" t="s">
        <v>174</v>
      </c>
      <c r="B55" s="29" t="s">
        <v>175</v>
      </c>
      <c r="C55" s="97">
        <v>39</v>
      </c>
      <c r="D55" s="98">
        <v>0.95</v>
      </c>
      <c r="E55" s="98">
        <v>0.31</v>
      </c>
      <c r="F55" s="98">
        <v>0.92</v>
      </c>
      <c r="G55" s="99" t="s">
        <v>395</v>
      </c>
      <c r="H55" s="100">
        <v>1.2E-2</v>
      </c>
      <c r="I55" s="101">
        <v>21</v>
      </c>
      <c r="J55" s="100">
        <v>4.8000000000000001E-2</v>
      </c>
      <c r="K55" s="30">
        <v>22</v>
      </c>
      <c r="L55" s="30" t="s">
        <v>769</v>
      </c>
      <c r="M55" s="96" t="s">
        <v>174</v>
      </c>
      <c r="N55" s="98">
        <v>0.83</v>
      </c>
      <c r="O55" s="98">
        <v>0.99</v>
      </c>
      <c r="P55" s="98">
        <v>0.17</v>
      </c>
      <c r="Q55" s="98">
        <v>0.48</v>
      </c>
      <c r="R55" s="98">
        <v>0.78</v>
      </c>
      <c r="S55" s="98">
        <v>0.98</v>
      </c>
      <c r="T55" s="98">
        <f t="shared" si="6"/>
        <v>0.12</v>
      </c>
      <c r="U55" s="98">
        <f t="shared" si="7"/>
        <v>4.0000000000000036E-2</v>
      </c>
      <c r="V55" s="98">
        <f t="shared" si="8"/>
        <v>0.13999999999999999</v>
      </c>
      <c r="W55" s="98">
        <f t="shared" si="9"/>
        <v>0.16999999999999998</v>
      </c>
      <c r="X55" s="98">
        <f t="shared" si="10"/>
        <v>0.14000000000000001</v>
      </c>
      <c r="Y55" s="98">
        <f t="shared" si="11"/>
        <v>5.9999999999999942E-2</v>
      </c>
      <c r="Z55" s="30">
        <f>IF('Angioplasty Summary'!$R$55=3, RANK(F55,F$2:F$92,1)+COUNTIF($F$2:F55,F55)-1, IF('Angioplasty Summary'!$R$55=2, RANK(E55,E$2:E$92,1)+COUNTIF($E$2:E55,E55)-1, IF('Angioplasty Summary'!$R$55=1, RANK(D55,D$2:D$92,1)+COUNTIF($D$2:D55,D55)-1)))</f>
        <v>15</v>
      </c>
      <c r="AA55" s="98">
        <f>IF('Angioplasty Summary'!$R$55=3, F55, IF('Angioplasty Summary'!$R$55=2, E55, IF('Angioplasty Summary'!$R$55=1, D55)))</f>
        <v>0.95</v>
      </c>
      <c r="AB55" s="98">
        <f>IF('Angioplasty Summary'!$R$55=3, X55, IF('Angioplasty Summary'!$R$55=2, V55, IF('Angioplasty Summary'!$R$55=1, T55)))</f>
        <v>0.12</v>
      </c>
      <c r="AC55" s="98">
        <f>IF('Angioplasty Summary'!$R$55=3, Y55, IF('Angioplasty Summary'!$R$55=2, W55, IF('Angioplasty Summary'!$R$55=1, U55)))</f>
        <v>4.0000000000000036E-2</v>
      </c>
    </row>
    <row r="56" spans="1:29" x14ac:dyDescent="0.25">
      <c r="A56" s="96" t="s">
        <v>83</v>
      </c>
      <c r="B56" s="29" t="s">
        <v>84</v>
      </c>
      <c r="C56" s="97">
        <v>14</v>
      </c>
      <c r="D56" s="98">
        <v>1</v>
      </c>
      <c r="E56" s="98">
        <v>0.28999999999999998</v>
      </c>
      <c r="F56" s="98">
        <v>1</v>
      </c>
      <c r="G56" s="99" t="s">
        <v>379</v>
      </c>
      <c r="H56" s="100" t="e">
        <v>#N/A</v>
      </c>
      <c r="I56" s="101">
        <v>13</v>
      </c>
      <c r="J56" s="100">
        <v>7.6999999999999999E-2</v>
      </c>
      <c r="K56" s="30">
        <v>5</v>
      </c>
      <c r="L56" s="30" t="s">
        <v>772</v>
      </c>
      <c r="M56" s="96" t="s">
        <v>83</v>
      </c>
      <c r="N56" s="98">
        <v>0.77</v>
      </c>
      <c r="O56" s="98">
        <v>1</v>
      </c>
      <c r="P56" s="98">
        <v>0.08</v>
      </c>
      <c r="Q56" s="98">
        <v>0.57999999999999996</v>
      </c>
      <c r="R56" s="98">
        <v>0.77</v>
      </c>
      <c r="S56" s="98">
        <v>1</v>
      </c>
      <c r="T56" s="98">
        <f t="shared" si="6"/>
        <v>0.22999999999999998</v>
      </c>
      <c r="U56" s="98">
        <f t="shared" si="7"/>
        <v>0</v>
      </c>
      <c r="V56" s="98">
        <f t="shared" si="8"/>
        <v>0.20999999999999996</v>
      </c>
      <c r="W56" s="98">
        <f t="shared" si="9"/>
        <v>0.28999999999999998</v>
      </c>
      <c r="X56" s="98">
        <f t="shared" si="10"/>
        <v>0.22999999999999998</v>
      </c>
      <c r="Y56" s="98">
        <f t="shared" si="11"/>
        <v>0</v>
      </c>
      <c r="Z56" s="30">
        <f>IF('Angioplasty Summary'!$R$55=3, RANK(F56,F$2:F$92,1)+COUNTIF($F$2:F56,F56)-1, IF('Angioplasty Summary'!$R$55=2, RANK(E56,E$2:E$92,1)+COUNTIF($E$2:E56,E56)-1, IF('Angioplasty Summary'!$R$55=1, RANK(D56,D$2:D$92,1)+COUNTIF($D$2:D56,D56)-1)))</f>
        <v>60</v>
      </c>
      <c r="AA56" s="98">
        <f>IF('Angioplasty Summary'!$R$55=3, F56, IF('Angioplasty Summary'!$R$55=2, E56, IF('Angioplasty Summary'!$R$55=1, D56)))</f>
        <v>1</v>
      </c>
      <c r="AB56" s="98">
        <f>IF('Angioplasty Summary'!$R$55=3, X56, IF('Angioplasty Summary'!$R$55=2, V56, IF('Angioplasty Summary'!$R$55=1, T56)))</f>
        <v>0.22999999999999998</v>
      </c>
      <c r="AC56" s="98">
        <f>IF('Angioplasty Summary'!$R$55=3, Y56, IF('Angioplasty Summary'!$R$55=2, W56, IF('Angioplasty Summary'!$R$55=1, U56)))</f>
        <v>0</v>
      </c>
    </row>
    <row r="57" spans="1:29" x14ac:dyDescent="0.25">
      <c r="A57" s="96" t="s">
        <v>124</v>
      </c>
      <c r="B57" s="29" t="s">
        <v>125</v>
      </c>
      <c r="C57" s="97">
        <v>186</v>
      </c>
      <c r="D57" s="98">
        <v>0.94</v>
      </c>
      <c r="E57" s="98">
        <v>0.59</v>
      </c>
      <c r="F57" s="98">
        <v>0.94</v>
      </c>
      <c r="G57" s="99" t="s">
        <v>358</v>
      </c>
      <c r="H57" s="100" t="e">
        <v>#N/A</v>
      </c>
      <c r="I57" s="101">
        <v>125</v>
      </c>
      <c r="J57" s="100">
        <v>9.6000000000000002E-2</v>
      </c>
      <c r="K57" s="30">
        <v>59</v>
      </c>
      <c r="L57" s="30" t="s">
        <v>552</v>
      </c>
      <c r="M57" s="96" t="s">
        <v>124</v>
      </c>
      <c r="N57" s="98">
        <v>0.89</v>
      </c>
      <c r="O57" s="98">
        <v>0.97</v>
      </c>
      <c r="P57" s="98">
        <v>0.51</v>
      </c>
      <c r="Q57" s="98">
        <v>0.66</v>
      </c>
      <c r="R57" s="98">
        <v>0.9</v>
      </c>
      <c r="S57" s="98">
        <v>0.97</v>
      </c>
      <c r="T57" s="98">
        <f t="shared" si="6"/>
        <v>4.9999999999999933E-2</v>
      </c>
      <c r="U57" s="98">
        <f t="shared" si="7"/>
        <v>3.0000000000000027E-2</v>
      </c>
      <c r="V57" s="98">
        <f t="shared" si="8"/>
        <v>7.999999999999996E-2</v>
      </c>
      <c r="W57" s="98">
        <f t="shared" si="9"/>
        <v>7.0000000000000062E-2</v>
      </c>
      <c r="X57" s="98">
        <f t="shared" si="10"/>
        <v>3.9999999999999925E-2</v>
      </c>
      <c r="Y57" s="98">
        <f t="shared" si="11"/>
        <v>3.0000000000000027E-2</v>
      </c>
      <c r="Z57" s="30">
        <f>IF('Angioplasty Summary'!$R$55=3, RANK(F57,F$2:F$92,1)+COUNTIF($F$2:F57,F57)-1, IF('Angioplasty Summary'!$R$55=2, RANK(E57,E$2:E$92,1)+COUNTIF($E$2:E57,E57)-1, IF('Angioplasty Summary'!$R$55=1, RANK(D57,D$2:D$92,1)+COUNTIF($D$2:D57,D57)-1)))</f>
        <v>12</v>
      </c>
      <c r="AA57" s="98">
        <f>IF('Angioplasty Summary'!$R$55=3, F57, IF('Angioplasty Summary'!$R$55=2, E57, IF('Angioplasty Summary'!$R$55=1, D57)))</f>
        <v>0.94</v>
      </c>
      <c r="AB57" s="98">
        <f>IF('Angioplasty Summary'!$R$55=3, X57, IF('Angioplasty Summary'!$R$55=2, V57, IF('Angioplasty Summary'!$R$55=1, T57)))</f>
        <v>4.9999999999999933E-2</v>
      </c>
      <c r="AC57" s="98">
        <f>IF('Angioplasty Summary'!$R$55=3, Y57, IF('Angioplasty Summary'!$R$55=2, W57, IF('Angioplasty Summary'!$R$55=1, U57)))</f>
        <v>3.0000000000000027E-2</v>
      </c>
    </row>
    <row r="58" spans="1:29" x14ac:dyDescent="0.25">
      <c r="A58" s="96" t="s">
        <v>89</v>
      </c>
      <c r="B58" s="29" t="s">
        <v>90</v>
      </c>
      <c r="C58" s="97">
        <v>568</v>
      </c>
      <c r="D58" s="98">
        <v>0.97</v>
      </c>
      <c r="E58" s="98">
        <v>0.61</v>
      </c>
      <c r="F58" s="98">
        <v>0.87</v>
      </c>
      <c r="G58" s="99" t="s">
        <v>381</v>
      </c>
      <c r="H58" s="100">
        <v>1.6E-2</v>
      </c>
      <c r="I58" s="101">
        <v>475</v>
      </c>
      <c r="J58" s="100">
        <v>0.152</v>
      </c>
      <c r="K58" s="30">
        <v>116</v>
      </c>
      <c r="L58" s="30" t="s">
        <v>513</v>
      </c>
      <c r="M58" s="96" t="s">
        <v>89</v>
      </c>
      <c r="N58" s="98">
        <v>0.95</v>
      </c>
      <c r="O58" s="98">
        <v>0.98</v>
      </c>
      <c r="P58" s="98">
        <v>0.56000000000000005</v>
      </c>
      <c r="Q58" s="98">
        <v>0.65</v>
      </c>
      <c r="R58" s="98">
        <v>0.84</v>
      </c>
      <c r="S58" s="98">
        <v>0.9</v>
      </c>
      <c r="T58" s="98">
        <f t="shared" si="6"/>
        <v>2.0000000000000018E-2</v>
      </c>
      <c r="U58" s="98">
        <f t="shared" si="7"/>
        <v>1.0000000000000009E-2</v>
      </c>
      <c r="V58" s="98">
        <f t="shared" si="8"/>
        <v>4.9999999999999933E-2</v>
      </c>
      <c r="W58" s="98">
        <f t="shared" si="9"/>
        <v>4.0000000000000036E-2</v>
      </c>
      <c r="X58" s="98">
        <f t="shared" si="10"/>
        <v>3.0000000000000027E-2</v>
      </c>
      <c r="Y58" s="98">
        <f t="shared" si="11"/>
        <v>3.0000000000000027E-2</v>
      </c>
      <c r="Z58" s="30">
        <f>IF('Angioplasty Summary'!$R$55=3, RANK(F58,F$2:F$92,1)+COUNTIF($F$2:F58,F58)-1, IF('Angioplasty Summary'!$R$55=2, RANK(E58,E$2:E$92,1)+COUNTIF($E$2:E58,E58)-1, IF('Angioplasty Summary'!$R$55=1, RANK(D58,D$2:D$92,1)+COUNTIF($D$2:D58,D58)-1)))</f>
        <v>24</v>
      </c>
      <c r="AA58" s="98">
        <f>IF('Angioplasty Summary'!$R$55=3, F58, IF('Angioplasty Summary'!$R$55=2, E58, IF('Angioplasty Summary'!$R$55=1, D58)))</f>
        <v>0.97</v>
      </c>
      <c r="AB58" s="98">
        <f>IF('Angioplasty Summary'!$R$55=3, X58, IF('Angioplasty Summary'!$R$55=2, V58, IF('Angioplasty Summary'!$R$55=1, T58)))</f>
        <v>2.0000000000000018E-2</v>
      </c>
      <c r="AC58" s="98">
        <f>IF('Angioplasty Summary'!$R$55=3, Y58, IF('Angioplasty Summary'!$R$55=2, W58, IF('Angioplasty Summary'!$R$55=1, U58)))</f>
        <v>1.0000000000000009E-2</v>
      </c>
    </row>
    <row r="59" spans="1:29" x14ac:dyDescent="0.25">
      <c r="A59" s="96" t="s">
        <v>50</v>
      </c>
      <c r="B59" s="29" t="s">
        <v>51</v>
      </c>
      <c r="C59" s="97">
        <v>9</v>
      </c>
      <c r="D59" s="98" t="s">
        <v>772</v>
      </c>
      <c r="E59" s="98" t="s">
        <v>772</v>
      </c>
      <c r="F59" s="98" t="s">
        <v>772</v>
      </c>
      <c r="G59" s="99" t="s">
        <v>366</v>
      </c>
      <c r="H59" s="100" t="e">
        <v>#N/A</v>
      </c>
      <c r="I59" s="101">
        <v>9</v>
      </c>
      <c r="J59" s="98" t="s">
        <v>772</v>
      </c>
      <c r="K59" s="30">
        <v>1</v>
      </c>
      <c r="L59" s="30" t="s">
        <v>772</v>
      </c>
      <c r="M59" s="96" t="s">
        <v>50</v>
      </c>
      <c r="N59" s="98">
        <v>0.66</v>
      </c>
      <c r="O59" s="98">
        <v>1</v>
      </c>
      <c r="P59" s="98">
        <v>0.52</v>
      </c>
      <c r="Q59" s="98">
        <v>1</v>
      </c>
      <c r="R59" s="98">
        <v>0.52</v>
      </c>
      <c r="S59" s="98">
        <v>1</v>
      </c>
      <c r="T59" s="98" t="e">
        <f t="shared" si="6"/>
        <v>#VALUE!</v>
      </c>
      <c r="U59" s="98" t="e">
        <f t="shared" si="7"/>
        <v>#VALUE!</v>
      </c>
      <c r="V59" s="98" t="e">
        <f t="shared" si="8"/>
        <v>#VALUE!</v>
      </c>
      <c r="W59" s="98" t="e">
        <f t="shared" si="9"/>
        <v>#VALUE!</v>
      </c>
      <c r="X59" s="98" t="e">
        <f t="shared" si="10"/>
        <v>#VALUE!</v>
      </c>
      <c r="Y59" s="98" t="e">
        <f t="shared" si="11"/>
        <v>#VALUE!</v>
      </c>
      <c r="Z59" s="30" t="e">
        <f>IF('Angioplasty Summary'!$R$55=3, RANK(F59,F$2:F$92,1)+COUNTIF($F$2:F59,F59)-1, IF('Angioplasty Summary'!$R$55=2, RANK(E59,E$2:E$92,1)+COUNTIF($E$2:E59,E59)-1, IF('Angioplasty Summary'!$R$55=1, RANK(D59,D$2:D$92,1)+COUNTIF($D$2:D59,D59)-1)))</f>
        <v>#VALUE!</v>
      </c>
      <c r="AA59" s="98" t="str">
        <f>IF('Angioplasty Summary'!$R$55=3, F59, IF('Angioplasty Summary'!$R$55=2, E59, IF('Angioplasty Summary'!$R$55=1, D59)))</f>
        <v>xx</v>
      </c>
      <c r="AB59" s="98" t="e">
        <f>IF('Angioplasty Summary'!$R$55=3, X59, IF('Angioplasty Summary'!$R$55=2, V59, IF('Angioplasty Summary'!$R$55=1, T59)))</f>
        <v>#VALUE!</v>
      </c>
      <c r="AC59" s="98" t="e">
        <f>IF('Angioplasty Summary'!$R$55=3, Y59, IF('Angioplasty Summary'!$R$55=2, W59, IF('Angioplasty Summary'!$R$55=1, U59)))</f>
        <v>#VALUE!</v>
      </c>
    </row>
    <row r="60" spans="1:29" x14ac:dyDescent="0.25">
      <c r="A60" s="96" t="s">
        <v>91</v>
      </c>
      <c r="B60" s="29" t="s">
        <v>92</v>
      </c>
      <c r="C60" s="97">
        <v>9</v>
      </c>
      <c r="D60" s="98" t="s">
        <v>772</v>
      </c>
      <c r="E60" s="98" t="s">
        <v>772</v>
      </c>
      <c r="F60" s="98" t="s">
        <v>772</v>
      </c>
      <c r="G60" s="99" t="s">
        <v>382</v>
      </c>
      <c r="H60" s="97" t="e">
        <v>#N/A</v>
      </c>
      <c r="I60" s="101">
        <v>3</v>
      </c>
      <c r="J60" s="98" t="s">
        <v>772</v>
      </c>
      <c r="K60" s="30">
        <v>2</v>
      </c>
      <c r="L60" s="30" t="s">
        <v>772</v>
      </c>
      <c r="M60" s="96" t="s">
        <v>91</v>
      </c>
      <c r="N60" s="98">
        <v>0.66</v>
      </c>
      <c r="O60" s="98">
        <v>1</v>
      </c>
      <c r="P60" s="98">
        <v>0.03</v>
      </c>
      <c r="Q60" s="98">
        <v>0.6</v>
      </c>
      <c r="R60" s="98">
        <v>0.66</v>
      </c>
      <c r="S60" s="98">
        <v>1</v>
      </c>
      <c r="T60" s="98" t="e">
        <f t="shared" si="6"/>
        <v>#VALUE!</v>
      </c>
      <c r="U60" s="98" t="e">
        <f t="shared" si="7"/>
        <v>#VALUE!</v>
      </c>
      <c r="V60" s="98" t="e">
        <f t="shared" si="8"/>
        <v>#VALUE!</v>
      </c>
      <c r="W60" s="98" t="e">
        <f t="shared" si="9"/>
        <v>#VALUE!</v>
      </c>
      <c r="X60" s="98" t="e">
        <f t="shared" si="10"/>
        <v>#VALUE!</v>
      </c>
      <c r="Y60" s="98" t="e">
        <f t="shared" si="11"/>
        <v>#VALUE!</v>
      </c>
      <c r="Z60" s="30" t="e">
        <f>IF('Angioplasty Summary'!$R$55=3, RANK(F60,F$2:F$92,1)+COUNTIF($F$2:F60,F60)-1, IF('Angioplasty Summary'!$R$55=2, RANK(E60,E$2:E$92,1)+COUNTIF($E$2:E60,E60)-1, IF('Angioplasty Summary'!$R$55=1, RANK(D60,D$2:D$92,1)+COUNTIF($D$2:D60,D60)-1)))</f>
        <v>#VALUE!</v>
      </c>
      <c r="AA60" s="98" t="str">
        <f>IF('Angioplasty Summary'!$R$55=3, F60, IF('Angioplasty Summary'!$R$55=2, E60, IF('Angioplasty Summary'!$R$55=1, D60)))</f>
        <v>xx</v>
      </c>
      <c r="AB60" s="98" t="e">
        <f>IF('Angioplasty Summary'!$R$55=3, X60, IF('Angioplasty Summary'!$R$55=2, V60, IF('Angioplasty Summary'!$R$55=1, T60)))</f>
        <v>#VALUE!</v>
      </c>
      <c r="AC60" s="98" t="e">
        <f>IF('Angioplasty Summary'!$R$55=3, Y60, IF('Angioplasty Summary'!$R$55=2, W60, IF('Angioplasty Summary'!$R$55=1, U60)))</f>
        <v>#VALUE!</v>
      </c>
    </row>
    <row r="61" spans="1:29" x14ac:dyDescent="0.25">
      <c r="A61" s="96" t="s">
        <v>31</v>
      </c>
      <c r="B61" s="29" t="s">
        <v>32</v>
      </c>
      <c r="C61" s="97">
        <v>11</v>
      </c>
      <c r="D61" s="98">
        <v>1</v>
      </c>
      <c r="E61" s="98">
        <v>0.82</v>
      </c>
      <c r="F61" s="98">
        <v>0.91</v>
      </c>
      <c r="G61" s="99" t="s">
        <v>366</v>
      </c>
      <c r="H61" s="100" t="e">
        <v>#N/A</v>
      </c>
      <c r="I61" s="101">
        <v>6</v>
      </c>
      <c r="J61" s="100">
        <v>0</v>
      </c>
      <c r="K61" s="30">
        <v>1</v>
      </c>
      <c r="L61" s="30" t="s">
        <v>772</v>
      </c>
      <c r="M61" s="96" t="s">
        <v>31</v>
      </c>
      <c r="N61" s="98">
        <v>0.72</v>
      </c>
      <c r="O61" s="98">
        <v>1</v>
      </c>
      <c r="P61" s="98">
        <v>0.48</v>
      </c>
      <c r="Q61" s="98">
        <v>0.98</v>
      </c>
      <c r="R61" s="98">
        <v>0.59</v>
      </c>
      <c r="S61" s="98">
        <v>1</v>
      </c>
      <c r="T61" s="98">
        <f t="shared" si="6"/>
        <v>0.28000000000000003</v>
      </c>
      <c r="U61" s="98">
        <f t="shared" si="7"/>
        <v>0</v>
      </c>
      <c r="V61" s="98">
        <f t="shared" si="8"/>
        <v>0.33999999999999997</v>
      </c>
      <c r="W61" s="98">
        <f t="shared" si="9"/>
        <v>0.16000000000000003</v>
      </c>
      <c r="X61" s="98">
        <f t="shared" si="10"/>
        <v>0.32000000000000006</v>
      </c>
      <c r="Y61" s="98">
        <f t="shared" si="11"/>
        <v>8.9999999999999969E-2</v>
      </c>
      <c r="Z61" s="30">
        <f>IF('Angioplasty Summary'!$R$55=3, RANK(F61,F$2:F$92,1)+COUNTIF($F$2:F61,F61)-1, IF('Angioplasty Summary'!$R$55=2, RANK(E61,E$2:E$92,1)+COUNTIF($E$2:E61,E61)-1, IF('Angioplasty Summary'!$R$55=1, RANK(D61,D$2:D$92,1)+COUNTIF($D$2:D61,D61)-1)))</f>
        <v>61</v>
      </c>
      <c r="AA61" s="98">
        <f>IF('Angioplasty Summary'!$R$55=3, F61, IF('Angioplasty Summary'!$R$55=2, E61, IF('Angioplasty Summary'!$R$55=1, D61)))</f>
        <v>1</v>
      </c>
      <c r="AB61" s="98">
        <f>IF('Angioplasty Summary'!$R$55=3, X61, IF('Angioplasty Summary'!$R$55=2, V61, IF('Angioplasty Summary'!$R$55=1, T61)))</f>
        <v>0.28000000000000003</v>
      </c>
      <c r="AC61" s="98">
        <f>IF('Angioplasty Summary'!$R$55=3, Y61, IF('Angioplasty Summary'!$R$55=2, W61, IF('Angioplasty Summary'!$R$55=1, U61)))</f>
        <v>0</v>
      </c>
    </row>
    <row r="62" spans="1:29" x14ac:dyDescent="0.25">
      <c r="A62" s="96" t="s">
        <v>144</v>
      </c>
      <c r="B62" s="29" t="s">
        <v>145</v>
      </c>
      <c r="C62" s="97">
        <v>26</v>
      </c>
      <c r="D62" s="98">
        <v>1</v>
      </c>
      <c r="E62" s="98">
        <v>0.88</v>
      </c>
      <c r="F62" s="98">
        <v>0.92</v>
      </c>
      <c r="G62" s="99" t="s">
        <v>366</v>
      </c>
      <c r="H62" s="100" t="e">
        <v>#N/A</v>
      </c>
      <c r="I62" s="101">
        <v>23</v>
      </c>
      <c r="J62" s="100">
        <v>0.13</v>
      </c>
      <c r="K62" s="30">
        <v>4</v>
      </c>
      <c r="L62" s="30" t="s">
        <v>772</v>
      </c>
      <c r="M62" s="96" t="s">
        <v>144</v>
      </c>
      <c r="N62" s="98">
        <v>0.87</v>
      </c>
      <c r="O62" s="98">
        <v>1</v>
      </c>
      <c r="P62" s="98">
        <v>0.7</v>
      </c>
      <c r="Q62" s="98">
        <v>0.98</v>
      </c>
      <c r="R62" s="98">
        <v>0.75</v>
      </c>
      <c r="S62" s="98">
        <v>0.99</v>
      </c>
      <c r="T62" s="98">
        <f t="shared" si="6"/>
        <v>0.13</v>
      </c>
      <c r="U62" s="98">
        <f t="shared" si="7"/>
        <v>0</v>
      </c>
      <c r="V62" s="98">
        <f t="shared" si="8"/>
        <v>0.18000000000000005</v>
      </c>
      <c r="W62" s="98">
        <f t="shared" si="9"/>
        <v>9.9999999999999978E-2</v>
      </c>
      <c r="X62" s="98">
        <f t="shared" si="10"/>
        <v>0.17000000000000004</v>
      </c>
      <c r="Y62" s="98">
        <f t="shared" si="11"/>
        <v>6.9999999999999951E-2</v>
      </c>
      <c r="Z62" s="30">
        <f>IF('Angioplasty Summary'!$R$55=3, RANK(F62,F$2:F$92,1)+COUNTIF($F$2:F62,F62)-1, IF('Angioplasty Summary'!$R$55=2, RANK(E62,E$2:E$92,1)+COUNTIF($E$2:E62,E62)-1, IF('Angioplasty Summary'!$R$55=1, RANK(D62,D$2:D$92,1)+COUNTIF($D$2:D62,D62)-1)))</f>
        <v>62</v>
      </c>
      <c r="AA62" s="98">
        <f>IF('Angioplasty Summary'!$R$55=3, F62, IF('Angioplasty Summary'!$R$55=2, E62, IF('Angioplasty Summary'!$R$55=1, D62)))</f>
        <v>1</v>
      </c>
      <c r="AB62" s="98">
        <f>IF('Angioplasty Summary'!$R$55=3, X62, IF('Angioplasty Summary'!$R$55=2, V62, IF('Angioplasty Summary'!$R$55=1, T62)))</f>
        <v>0.13</v>
      </c>
      <c r="AC62" s="98">
        <f>IF('Angioplasty Summary'!$R$55=3, Y62, IF('Angioplasty Summary'!$R$55=2, W62, IF('Angioplasty Summary'!$R$55=1, U62)))</f>
        <v>0</v>
      </c>
    </row>
    <row r="63" spans="1:29" x14ac:dyDescent="0.25">
      <c r="A63" s="96" t="s">
        <v>118</v>
      </c>
      <c r="B63" s="29" t="s">
        <v>119</v>
      </c>
      <c r="C63" s="97">
        <v>175</v>
      </c>
      <c r="D63" s="98">
        <v>0.99</v>
      </c>
      <c r="E63" s="98">
        <v>0.74</v>
      </c>
      <c r="F63" s="98">
        <v>0.98</v>
      </c>
      <c r="G63" s="99" t="s">
        <v>365</v>
      </c>
      <c r="H63" s="100" t="e">
        <v>#N/A</v>
      </c>
      <c r="I63" s="101">
        <v>156</v>
      </c>
      <c r="J63" s="100">
        <v>5.8000000000000003E-2</v>
      </c>
      <c r="K63" s="30">
        <v>25</v>
      </c>
      <c r="L63" s="30" t="s">
        <v>376</v>
      </c>
      <c r="M63" s="96" t="s">
        <v>118</v>
      </c>
      <c r="N63" s="98">
        <v>0.97</v>
      </c>
      <c r="O63" s="98">
        <v>1</v>
      </c>
      <c r="P63" s="98">
        <v>0.67</v>
      </c>
      <c r="Q63" s="98">
        <v>0.81</v>
      </c>
      <c r="R63" s="98">
        <v>0.94</v>
      </c>
      <c r="S63" s="98">
        <v>0.99</v>
      </c>
      <c r="T63" s="98">
        <f t="shared" si="6"/>
        <v>2.0000000000000018E-2</v>
      </c>
      <c r="U63" s="98">
        <f t="shared" si="7"/>
        <v>1.0000000000000009E-2</v>
      </c>
      <c r="V63" s="98">
        <f t="shared" si="8"/>
        <v>6.9999999999999951E-2</v>
      </c>
      <c r="W63" s="98">
        <f t="shared" si="9"/>
        <v>7.0000000000000062E-2</v>
      </c>
      <c r="X63" s="98">
        <f t="shared" si="10"/>
        <v>4.0000000000000036E-2</v>
      </c>
      <c r="Y63" s="98">
        <f t="shared" si="11"/>
        <v>1.0000000000000009E-2</v>
      </c>
      <c r="Z63" s="30">
        <f>IF('Angioplasty Summary'!$R$55=3, RANK(F63,F$2:F$92,1)+COUNTIF($F$2:F63,F63)-1, IF('Angioplasty Summary'!$R$55=2, RANK(E63,E$2:E$92,1)+COUNTIF($E$2:E63,E63)-1, IF('Angioplasty Summary'!$R$55=1, RANK(D63,D$2:D$92,1)+COUNTIF($D$2:D63,D63)-1)))</f>
        <v>43</v>
      </c>
      <c r="AA63" s="98">
        <f>IF('Angioplasty Summary'!$R$55=3, F63, IF('Angioplasty Summary'!$R$55=2, E63, IF('Angioplasty Summary'!$R$55=1, D63)))</f>
        <v>0.99</v>
      </c>
      <c r="AB63" s="98">
        <f>IF('Angioplasty Summary'!$R$55=3, X63, IF('Angioplasty Summary'!$R$55=2, V63, IF('Angioplasty Summary'!$R$55=1, T63)))</f>
        <v>2.0000000000000018E-2</v>
      </c>
      <c r="AC63" s="98">
        <f>IF('Angioplasty Summary'!$R$55=3, Y63, IF('Angioplasty Summary'!$R$55=2, W63, IF('Angioplasty Summary'!$R$55=1, U63)))</f>
        <v>1.0000000000000009E-2</v>
      </c>
    </row>
    <row r="64" spans="1:29" x14ac:dyDescent="0.25">
      <c r="A64" s="96" t="s">
        <v>128</v>
      </c>
      <c r="B64" s="29" t="s">
        <v>129</v>
      </c>
      <c r="C64" s="97">
        <v>246</v>
      </c>
      <c r="D64" s="98">
        <v>1</v>
      </c>
      <c r="E64" s="98">
        <v>0.71</v>
      </c>
      <c r="F64" s="98">
        <v>0.9</v>
      </c>
      <c r="G64" s="99" t="s">
        <v>371</v>
      </c>
      <c r="H64" s="100">
        <v>0</v>
      </c>
      <c r="I64" s="101">
        <v>245</v>
      </c>
      <c r="J64" s="100">
        <v>4.9000000000000002E-2</v>
      </c>
      <c r="K64" s="30">
        <v>30</v>
      </c>
      <c r="L64" s="30" t="s">
        <v>266</v>
      </c>
      <c r="M64" s="96" t="s">
        <v>128</v>
      </c>
      <c r="N64" s="98">
        <v>0.99</v>
      </c>
      <c r="O64" s="98">
        <v>1</v>
      </c>
      <c r="P64" s="98">
        <v>0.65</v>
      </c>
      <c r="Q64" s="98">
        <v>0.76</v>
      </c>
      <c r="R64" s="98">
        <v>0.86</v>
      </c>
      <c r="S64" s="98">
        <v>0.94</v>
      </c>
      <c r="T64" s="98">
        <f t="shared" si="6"/>
        <v>1.0000000000000009E-2</v>
      </c>
      <c r="U64" s="98">
        <f t="shared" si="7"/>
        <v>0</v>
      </c>
      <c r="V64" s="98">
        <f t="shared" si="8"/>
        <v>5.9999999999999942E-2</v>
      </c>
      <c r="W64" s="98">
        <f t="shared" si="9"/>
        <v>5.0000000000000044E-2</v>
      </c>
      <c r="X64" s="98">
        <f t="shared" si="10"/>
        <v>4.0000000000000036E-2</v>
      </c>
      <c r="Y64" s="98">
        <f t="shared" si="11"/>
        <v>3.9999999999999925E-2</v>
      </c>
      <c r="Z64" s="30">
        <f>IF('Angioplasty Summary'!$R$55=3, RANK(F64,F$2:F$92,1)+COUNTIF($F$2:F64,F64)-1, IF('Angioplasty Summary'!$R$55=2, RANK(E64,E$2:E$92,1)+COUNTIF($E$2:E64,E64)-1, IF('Angioplasty Summary'!$R$55=1, RANK(D64,D$2:D$92,1)+COUNTIF($D$2:D64,D64)-1)))</f>
        <v>63</v>
      </c>
      <c r="AA64" s="98">
        <f>IF('Angioplasty Summary'!$R$55=3, F64, IF('Angioplasty Summary'!$R$55=2, E64, IF('Angioplasty Summary'!$R$55=1, D64)))</f>
        <v>1</v>
      </c>
      <c r="AB64" s="98">
        <f>IF('Angioplasty Summary'!$R$55=3, X64, IF('Angioplasty Summary'!$R$55=2, V64, IF('Angioplasty Summary'!$R$55=1, T64)))</f>
        <v>1.0000000000000009E-2</v>
      </c>
      <c r="AC64" s="98">
        <f>IF('Angioplasty Summary'!$R$55=3, Y64, IF('Angioplasty Summary'!$R$55=2, W64, IF('Angioplasty Summary'!$R$55=1, U64)))</f>
        <v>0</v>
      </c>
    </row>
    <row r="65" spans="1:29" x14ac:dyDescent="0.25">
      <c r="A65" s="96" t="s">
        <v>62</v>
      </c>
      <c r="B65" s="29" t="s">
        <v>63</v>
      </c>
      <c r="C65" s="97">
        <v>1</v>
      </c>
      <c r="D65" s="98" t="s">
        <v>772</v>
      </c>
      <c r="E65" s="98" t="s">
        <v>772</v>
      </c>
      <c r="F65" s="98" t="s">
        <v>772</v>
      </c>
      <c r="G65" s="99" t="s">
        <v>772</v>
      </c>
      <c r="H65" s="100" t="e">
        <v>#N/A</v>
      </c>
      <c r="I65" s="101">
        <v>1</v>
      </c>
      <c r="J65" s="100" t="s">
        <v>772</v>
      </c>
      <c r="K65" s="30">
        <v>0</v>
      </c>
      <c r="L65" s="30" t="s">
        <v>772</v>
      </c>
      <c r="M65" s="96" t="s">
        <v>62</v>
      </c>
      <c r="N65" s="98" t="s">
        <v>772</v>
      </c>
      <c r="O65" s="98" t="s">
        <v>772</v>
      </c>
      <c r="P65" s="98" t="s">
        <v>772</v>
      </c>
      <c r="Q65" s="98" t="s">
        <v>772</v>
      </c>
      <c r="R65" s="98" t="s">
        <v>772</v>
      </c>
      <c r="S65" s="98" t="s">
        <v>772</v>
      </c>
      <c r="T65" s="98" t="e">
        <f t="shared" si="6"/>
        <v>#VALUE!</v>
      </c>
      <c r="U65" s="98" t="e">
        <f t="shared" si="7"/>
        <v>#VALUE!</v>
      </c>
      <c r="V65" s="98" t="e">
        <f t="shared" si="8"/>
        <v>#VALUE!</v>
      </c>
      <c r="W65" s="98" t="e">
        <f t="shared" si="9"/>
        <v>#VALUE!</v>
      </c>
      <c r="X65" s="98" t="e">
        <f t="shared" si="10"/>
        <v>#VALUE!</v>
      </c>
      <c r="Y65" s="98" t="e">
        <f t="shared" si="11"/>
        <v>#VALUE!</v>
      </c>
      <c r="Z65" s="30" t="e">
        <f>IF('Angioplasty Summary'!$R$55=3, RANK(F65,F$2:F$92,1)+COUNTIF($F$2:F65,F65)-1, IF('Angioplasty Summary'!$R$55=2, RANK(E65,E$2:E$92,1)+COUNTIF($E$2:E65,E65)-1, IF('Angioplasty Summary'!$R$55=1, RANK(D65,D$2:D$92,1)+COUNTIF($D$2:D65,D65)-1)))</f>
        <v>#VALUE!</v>
      </c>
      <c r="AA65" s="98" t="str">
        <f>IF('Angioplasty Summary'!$R$55=3, F65, IF('Angioplasty Summary'!$R$55=2, E65, IF('Angioplasty Summary'!$R$55=1, D65)))</f>
        <v>xx</v>
      </c>
      <c r="AB65" s="98" t="e">
        <f>IF('Angioplasty Summary'!$R$55=3, X65, IF('Angioplasty Summary'!$R$55=2, V65, IF('Angioplasty Summary'!$R$55=1, T65)))</f>
        <v>#VALUE!</v>
      </c>
      <c r="AC65" s="98" t="e">
        <f>IF('Angioplasty Summary'!$R$55=3, Y65, IF('Angioplasty Summary'!$R$55=2, W65, IF('Angioplasty Summary'!$R$55=1, U65)))</f>
        <v>#VALUE!</v>
      </c>
    </row>
    <row r="66" spans="1:29" x14ac:dyDescent="0.25">
      <c r="A66" s="96" t="s">
        <v>101</v>
      </c>
      <c r="B66" s="29" t="s">
        <v>102</v>
      </c>
      <c r="C66" s="97">
        <v>11</v>
      </c>
      <c r="D66" s="98">
        <v>0.91</v>
      </c>
      <c r="E66" s="98">
        <v>0.36</v>
      </c>
      <c r="F66" s="98">
        <v>0.64</v>
      </c>
      <c r="G66" s="99" t="s">
        <v>243</v>
      </c>
      <c r="H66" s="97" t="e">
        <v>#N/A</v>
      </c>
      <c r="I66" s="101">
        <v>9</v>
      </c>
      <c r="J66" s="100">
        <v>0.111</v>
      </c>
      <c r="K66" s="30">
        <v>2</v>
      </c>
      <c r="L66" s="30" t="s">
        <v>772</v>
      </c>
      <c r="M66" s="96" t="s">
        <v>101</v>
      </c>
      <c r="N66" s="98">
        <v>0.59</v>
      </c>
      <c r="O66" s="98">
        <v>1</v>
      </c>
      <c r="P66" s="98">
        <v>0.11</v>
      </c>
      <c r="Q66" s="98">
        <v>0.69</v>
      </c>
      <c r="R66" s="98">
        <v>0.31</v>
      </c>
      <c r="S66" s="98">
        <v>0.89</v>
      </c>
      <c r="T66" s="98">
        <f t="shared" ref="T66:T98" si="12">D66-N66</f>
        <v>0.32000000000000006</v>
      </c>
      <c r="U66" s="98">
        <f t="shared" ref="U66:U98" si="13">O66-D66</f>
        <v>8.9999999999999969E-2</v>
      </c>
      <c r="V66" s="98">
        <f t="shared" ref="V66:V98" si="14">E66-P66</f>
        <v>0.25</v>
      </c>
      <c r="W66" s="98">
        <f t="shared" ref="W66:W98" si="15">Q66-E66</f>
        <v>0.32999999999999996</v>
      </c>
      <c r="X66" s="98">
        <f t="shared" ref="X66:X98" si="16">F66-R66</f>
        <v>0.33</v>
      </c>
      <c r="Y66" s="98">
        <f t="shared" ref="Y66:Y98" si="17">S66-F66</f>
        <v>0.25</v>
      </c>
      <c r="Z66" s="30">
        <f>IF('Angioplasty Summary'!$R$55=3, RANK(F66,F$2:F$92,1)+COUNTIF($F$2:F66,F66)-1, IF('Angioplasty Summary'!$R$55=2, RANK(E66,E$2:E$92,1)+COUNTIF($E$2:E66,E66)-1, IF('Angioplasty Summary'!$R$55=1, RANK(D66,D$2:D$92,1)+COUNTIF($D$2:D66,D66)-1)))</f>
        <v>4</v>
      </c>
      <c r="AA66" s="98">
        <f>IF('Angioplasty Summary'!$R$55=3, F66, IF('Angioplasty Summary'!$R$55=2, E66, IF('Angioplasty Summary'!$R$55=1, D66)))</f>
        <v>0.91</v>
      </c>
      <c r="AB66" s="98">
        <f>IF('Angioplasty Summary'!$R$55=3, X66, IF('Angioplasty Summary'!$R$55=2, V66, IF('Angioplasty Summary'!$R$55=1, T66)))</f>
        <v>0.32000000000000006</v>
      </c>
      <c r="AC66" s="98">
        <f>IF('Angioplasty Summary'!$R$55=3, Y66, IF('Angioplasty Summary'!$R$55=2, W66, IF('Angioplasty Summary'!$R$55=1, U66)))</f>
        <v>8.9999999999999969E-2</v>
      </c>
    </row>
    <row r="67" spans="1:29" x14ac:dyDescent="0.25">
      <c r="A67" s="96" t="s">
        <v>64</v>
      </c>
      <c r="B67" s="29" t="s">
        <v>65</v>
      </c>
      <c r="C67" s="97">
        <v>405</v>
      </c>
      <c r="D67" s="98">
        <v>0.99</v>
      </c>
      <c r="E67" s="98">
        <v>0.89</v>
      </c>
      <c r="F67" s="98">
        <v>0.93</v>
      </c>
      <c r="G67" s="99" t="s">
        <v>361</v>
      </c>
      <c r="H67" s="100">
        <v>0</v>
      </c>
      <c r="I67" s="101">
        <v>395</v>
      </c>
      <c r="J67" s="100">
        <v>4.8000000000000001E-2</v>
      </c>
      <c r="K67" s="30">
        <v>5</v>
      </c>
      <c r="L67" s="30" t="s">
        <v>772</v>
      </c>
      <c r="M67" s="96" t="s">
        <v>64</v>
      </c>
      <c r="N67" s="98">
        <v>0.98</v>
      </c>
      <c r="O67" s="98">
        <v>1</v>
      </c>
      <c r="P67" s="98">
        <v>0.86</v>
      </c>
      <c r="Q67" s="98">
        <v>0.92</v>
      </c>
      <c r="R67" s="98">
        <v>0.9</v>
      </c>
      <c r="S67" s="98">
        <v>0.96</v>
      </c>
      <c r="T67" s="98">
        <f t="shared" si="12"/>
        <v>1.0000000000000009E-2</v>
      </c>
      <c r="U67" s="98">
        <f t="shared" si="13"/>
        <v>1.0000000000000009E-2</v>
      </c>
      <c r="V67" s="98">
        <f t="shared" si="14"/>
        <v>3.0000000000000027E-2</v>
      </c>
      <c r="W67" s="98">
        <f t="shared" si="15"/>
        <v>3.0000000000000027E-2</v>
      </c>
      <c r="X67" s="98">
        <f t="shared" si="16"/>
        <v>3.0000000000000027E-2</v>
      </c>
      <c r="Y67" s="98">
        <f t="shared" si="17"/>
        <v>2.9999999999999916E-2</v>
      </c>
      <c r="Z67" s="30">
        <f>IF('Angioplasty Summary'!$R$55=3, RANK(F67,F$2:F$92,1)+COUNTIF($F$2:F67,F67)-1, IF('Angioplasty Summary'!$R$55=2, RANK(E67,E$2:E$92,1)+COUNTIF($E$2:E67,E67)-1, IF('Angioplasty Summary'!$R$55=1, RANK(D67,D$2:D$92,1)+COUNTIF($D$2:D67,D67)-1)))</f>
        <v>44</v>
      </c>
      <c r="AA67" s="98">
        <f>IF('Angioplasty Summary'!$R$55=3, F67, IF('Angioplasty Summary'!$R$55=2, E67, IF('Angioplasty Summary'!$R$55=1, D67)))</f>
        <v>0.99</v>
      </c>
      <c r="AB67" s="98">
        <f>IF('Angioplasty Summary'!$R$55=3, X67, IF('Angioplasty Summary'!$R$55=2, V67, IF('Angioplasty Summary'!$R$55=1, T67)))</f>
        <v>1.0000000000000009E-2</v>
      </c>
      <c r="AC67" s="98">
        <f>IF('Angioplasty Summary'!$R$55=3, Y67, IF('Angioplasty Summary'!$R$55=2, W67, IF('Angioplasty Summary'!$R$55=1, U67)))</f>
        <v>1.0000000000000009E-2</v>
      </c>
    </row>
    <row r="68" spans="1:29" x14ac:dyDescent="0.25">
      <c r="A68" s="96" t="s">
        <v>42</v>
      </c>
      <c r="B68" s="29" t="s">
        <v>43</v>
      </c>
      <c r="C68" s="97">
        <v>2</v>
      </c>
      <c r="D68" s="98" t="s">
        <v>772</v>
      </c>
      <c r="E68" s="98" t="s">
        <v>772</v>
      </c>
      <c r="F68" s="98" t="s">
        <v>772</v>
      </c>
      <c r="G68" s="99" t="s">
        <v>772</v>
      </c>
      <c r="H68" s="100" t="e">
        <v>#N/A</v>
      </c>
      <c r="I68" s="101">
        <v>1</v>
      </c>
      <c r="J68" s="100" t="s">
        <v>772</v>
      </c>
      <c r="K68" s="30">
        <v>0</v>
      </c>
      <c r="L68" s="30" t="s">
        <v>772</v>
      </c>
      <c r="M68" s="96" t="s">
        <v>42</v>
      </c>
      <c r="N68" s="98" t="s">
        <v>772</v>
      </c>
      <c r="O68" s="98" t="s">
        <v>772</v>
      </c>
      <c r="P68" s="98" t="s">
        <v>772</v>
      </c>
      <c r="Q68" s="98" t="s">
        <v>772</v>
      </c>
      <c r="R68" s="98" t="s">
        <v>772</v>
      </c>
      <c r="S68" s="98" t="s">
        <v>772</v>
      </c>
      <c r="T68" s="98" t="e">
        <f t="shared" si="12"/>
        <v>#VALUE!</v>
      </c>
      <c r="U68" s="98" t="e">
        <f t="shared" si="13"/>
        <v>#VALUE!</v>
      </c>
      <c r="V68" s="98" t="e">
        <f t="shared" si="14"/>
        <v>#VALUE!</v>
      </c>
      <c r="W68" s="98" t="e">
        <f t="shared" si="15"/>
        <v>#VALUE!</v>
      </c>
      <c r="X68" s="98" t="e">
        <f t="shared" si="16"/>
        <v>#VALUE!</v>
      </c>
      <c r="Y68" s="98" t="e">
        <f t="shared" si="17"/>
        <v>#VALUE!</v>
      </c>
      <c r="Z68" s="30" t="e">
        <f>IF('Angioplasty Summary'!$R$55=3, RANK(F68,F$2:F$92,1)+COUNTIF($F$2:F68,F68)-1, IF('Angioplasty Summary'!$R$55=2, RANK(E68,E$2:E$92,1)+COUNTIF($E$2:E68,E68)-1, IF('Angioplasty Summary'!$R$55=1, RANK(D68,D$2:D$92,1)+COUNTIF($D$2:D68,D68)-1)))</f>
        <v>#VALUE!</v>
      </c>
      <c r="AA68" s="98" t="str">
        <f>IF('Angioplasty Summary'!$R$55=3, F68, IF('Angioplasty Summary'!$R$55=2, E68, IF('Angioplasty Summary'!$R$55=1, D68)))</f>
        <v>xx</v>
      </c>
      <c r="AB68" s="98" t="e">
        <f>IF('Angioplasty Summary'!$R$55=3, X68, IF('Angioplasty Summary'!$R$55=2, V68, IF('Angioplasty Summary'!$R$55=1, T68)))</f>
        <v>#VALUE!</v>
      </c>
      <c r="AC68" s="98" t="e">
        <f>IF('Angioplasty Summary'!$R$55=3, Y68, IF('Angioplasty Summary'!$R$55=2, W68, IF('Angioplasty Summary'!$R$55=1, U68)))</f>
        <v>#VALUE!</v>
      </c>
    </row>
    <row r="69" spans="1:29" x14ac:dyDescent="0.25">
      <c r="A69" s="96" t="s">
        <v>111</v>
      </c>
      <c r="B69" s="29" t="s">
        <v>112</v>
      </c>
      <c r="C69" s="97">
        <v>30</v>
      </c>
      <c r="D69" s="98">
        <v>0.97</v>
      </c>
      <c r="E69" s="98">
        <v>0.2</v>
      </c>
      <c r="F69" s="98">
        <v>0.93</v>
      </c>
      <c r="G69" s="99" t="s">
        <v>271</v>
      </c>
      <c r="H69" s="102">
        <v>0.02</v>
      </c>
      <c r="I69" s="101">
        <v>0</v>
      </c>
      <c r="J69" s="100">
        <v>0</v>
      </c>
      <c r="K69" s="30">
        <v>1</v>
      </c>
      <c r="L69" s="30" t="s">
        <v>772</v>
      </c>
      <c r="M69" s="96" t="s">
        <v>111</v>
      </c>
      <c r="N69" s="98">
        <v>0.83</v>
      </c>
      <c r="O69" s="98">
        <v>1</v>
      </c>
      <c r="P69" s="98">
        <v>0.08</v>
      </c>
      <c r="Q69" s="98">
        <v>0.39</v>
      </c>
      <c r="R69" s="98">
        <v>0.77</v>
      </c>
      <c r="S69" s="98">
        <v>0.99</v>
      </c>
      <c r="T69" s="98">
        <f t="shared" si="12"/>
        <v>0.14000000000000001</v>
      </c>
      <c r="U69" s="98">
        <f t="shared" si="13"/>
        <v>3.0000000000000027E-2</v>
      </c>
      <c r="V69" s="98">
        <f t="shared" si="14"/>
        <v>0.12000000000000001</v>
      </c>
      <c r="W69" s="98">
        <f t="shared" si="15"/>
        <v>0.19</v>
      </c>
      <c r="X69" s="98">
        <f t="shared" si="16"/>
        <v>0.16000000000000003</v>
      </c>
      <c r="Y69" s="98">
        <f t="shared" si="17"/>
        <v>5.9999999999999942E-2</v>
      </c>
      <c r="Z69" s="30">
        <f>IF('Angioplasty Summary'!$R$55=3, RANK(F69,F$2:F$92,1)+COUNTIF($F$2:F69,F69)-1, IF('Angioplasty Summary'!$R$55=2, RANK(E69,E$2:E$92,1)+COUNTIF($E$2:E69,E69)-1, IF('Angioplasty Summary'!$R$55=1, RANK(D69,D$2:D$92,1)+COUNTIF($D$2:D69,D69)-1)))</f>
        <v>25</v>
      </c>
      <c r="AA69" s="98">
        <f>IF('Angioplasty Summary'!$R$55=3, F69, IF('Angioplasty Summary'!$R$55=2, E69, IF('Angioplasty Summary'!$R$55=1, D69)))</f>
        <v>0.97</v>
      </c>
      <c r="AB69" s="98">
        <f>IF('Angioplasty Summary'!$R$55=3, X69, IF('Angioplasty Summary'!$R$55=2, V69, IF('Angioplasty Summary'!$R$55=1, T69)))</f>
        <v>0.14000000000000001</v>
      </c>
      <c r="AC69" s="98">
        <f>IF('Angioplasty Summary'!$R$55=3, Y69, IF('Angioplasty Summary'!$R$55=2, W69, IF('Angioplasty Summary'!$R$55=1, U69)))</f>
        <v>3.0000000000000027E-2</v>
      </c>
    </row>
    <row r="70" spans="1:29" x14ac:dyDescent="0.25">
      <c r="A70" s="96" t="s">
        <v>44</v>
      </c>
      <c r="B70" s="29" t="s">
        <v>45</v>
      </c>
      <c r="C70" s="97">
        <v>5</v>
      </c>
      <c r="D70" s="98" t="s">
        <v>772</v>
      </c>
      <c r="E70" s="98" t="s">
        <v>772</v>
      </c>
      <c r="F70" s="98" t="s">
        <v>772</v>
      </c>
      <c r="G70" s="99" t="s">
        <v>772</v>
      </c>
      <c r="H70" s="100" t="e">
        <v>#N/A</v>
      </c>
      <c r="I70" s="101">
        <v>4</v>
      </c>
      <c r="J70" s="100" t="s">
        <v>772</v>
      </c>
      <c r="K70" s="30">
        <v>3</v>
      </c>
      <c r="L70" s="30" t="s">
        <v>772</v>
      </c>
      <c r="M70" s="96" t="s">
        <v>44</v>
      </c>
      <c r="N70" s="98" t="s">
        <v>772</v>
      </c>
      <c r="O70" s="98" t="s">
        <v>772</v>
      </c>
      <c r="P70" s="98" t="s">
        <v>772</v>
      </c>
      <c r="Q70" s="98" t="s">
        <v>772</v>
      </c>
      <c r="R70" s="98" t="s">
        <v>772</v>
      </c>
      <c r="S70" s="98" t="s">
        <v>772</v>
      </c>
      <c r="T70" s="98" t="e">
        <f t="shared" si="12"/>
        <v>#VALUE!</v>
      </c>
      <c r="U70" s="98" t="e">
        <f t="shared" si="13"/>
        <v>#VALUE!</v>
      </c>
      <c r="V70" s="98" t="e">
        <f t="shared" si="14"/>
        <v>#VALUE!</v>
      </c>
      <c r="W70" s="98" t="e">
        <f t="shared" si="15"/>
        <v>#VALUE!</v>
      </c>
      <c r="X70" s="98" t="e">
        <f t="shared" si="16"/>
        <v>#VALUE!</v>
      </c>
      <c r="Y70" s="98" t="e">
        <f t="shared" si="17"/>
        <v>#VALUE!</v>
      </c>
      <c r="Z70" s="30" t="e">
        <f>IF('Angioplasty Summary'!$R$55=3, RANK(F70,F$2:F$92,1)+COUNTIF($F$2:F70,F70)-1, IF('Angioplasty Summary'!$R$55=2, RANK(E70,E$2:E$92,1)+COUNTIF($E$2:E70,E70)-1, IF('Angioplasty Summary'!$R$55=1, RANK(D70,D$2:D$92,1)+COUNTIF($D$2:D70,D70)-1)))</f>
        <v>#VALUE!</v>
      </c>
      <c r="AA70" s="98" t="str">
        <f>IF('Angioplasty Summary'!$R$55=3, F70, IF('Angioplasty Summary'!$R$55=2, E70, IF('Angioplasty Summary'!$R$55=1, D70)))</f>
        <v>xx</v>
      </c>
      <c r="AB70" s="98" t="e">
        <f>IF('Angioplasty Summary'!$R$55=3, X70, IF('Angioplasty Summary'!$R$55=2, V70, IF('Angioplasty Summary'!$R$55=1, T70)))</f>
        <v>#VALUE!</v>
      </c>
      <c r="AC70" s="98" t="e">
        <f>IF('Angioplasty Summary'!$R$55=3, Y70, IF('Angioplasty Summary'!$R$55=2, W70, IF('Angioplasty Summary'!$R$55=1, U70)))</f>
        <v>#VALUE!</v>
      </c>
    </row>
    <row r="71" spans="1:29" x14ac:dyDescent="0.25">
      <c r="A71" s="96" t="s">
        <v>56</v>
      </c>
      <c r="B71" s="29" t="s">
        <v>57</v>
      </c>
      <c r="C71" s="97">
        <v>266</v>
      </c>
      <c r="D71" s="98">
        <v>1</v>
      </c>
      <c r="E71" s="98">
        <v>0.6</v>
      </c>
      <c r="F71" s="98">
        <v>0.95</v>
      </c>
      <c r="G71" s="99" t="s">
        <v>374</v>
      </c>
      <c r="H71" s="100">
        <v>2.8000000000000001E-2</v>
      </c>
      <c r="I71" s="101">
        <v>257</v>
      </c>
      <c r="J71" s="100">
        <v>9.2999999999999999E-2</v>
      </c>
      <c r="K71" s="30">
        <v>54</v>
      </c>
      <c r="L71" s="30" t="s">
        <v>287</v>
      </c>
      <c r="M71" s="96" t="s">
        <v>56</v>
      </c>
      <c r="N71" s="98">
        <v>0.98</v>
      </c>
      <c r="O71" s="98">
        <v>1</v>
      </c>
      <c r="P71" s="98">
        <v>0.54</v>
      </c>
      <c r="Q71" s="98">
        <v>0.66</v>
      </c>
      <c r="R71" s="98">
        <v>0.92</v>
      </c>
      <c r="S71" s="98">
        <v>0.98</v>
      </c>
      <c r="T71" s="98">
        <f t="shared" si="12"/>
        <v>2.0000000000000018E-2</v>
      </c>
      <c r="U71" s="98">
        <f t="shared" si="13"/>
        <v>0</v>
      </c>
      <c r="V71" s="98">
        <f t="shared" si="14"/>
        <v>5.9999999999999942E-2</v>
      </c>
      <c r="W71" s="98">
        <f t="shared" si="15"/>
        <v>6.0000000000000053E-2</v>
      </c>
      <c r="X71" s="98">
        <f t="shared" si="16"/>
        <v>2.9999999999999916E-2</v>
      </c>
      <c r="Y71" s="98">
        <f t="shared" si="17"/>
        <v>3.0000000000000027E-2</v>
      </c>
      <c r="Z71" s="30">
        <f>IF('Angioplasty Summary'!$R$55=3, RANK(F71,F$2:F$92,1)+COUNTIF($F$2:F71,F71)-1, IF('Angioplasty Summary'!$R$55=2, RANK(E71,E$2:E$92,1)+COUNTIF($E$2:E71,E71)-1, IF('Angioplasty Summary'!$R$55=1, RANK(D71,D$2:D$92,1)+COUNTIF($D$2:D71,D71)-1)))</f>
        <v>64</v>
      </c>
      <c r="AA71" s="98">
        <f>IF('Angioplasty Summary'!$R$55=3, F71, IF('Angioplasty Summary'!$R$55=2, E71, IF('Angioplasty Summary'!$R$55=1, D71)))</f>
        <v>1</v>
      </c>
      <c r="AB71" s="98">
        <f>IF('Angioplasty Summary'!$R$55=3, X71, IF('Angioplasty Summary'!$R$55=2, V71, IF('Angioplasty Summary'!$R$55=1, T71)))</f>
        <v>2.0000000000000018E-2</v>
      </c>
      <c r="AC71" s="98">
        <f>IF('Angioplasty Summary'!$R$55=3, Y71, IF('Angioplasty Summary'!$R$55=2, W71, IF('Angioplasty Summary'!$R$55=1, U71)))</f>
        <v>0</v>
      </c>
    </row>
    <row r="72" spans="1:29" x14ac:dyDescent="0.25">
      <c r="A72" s="96" t="s">
        <v>23</v>
      </c>
      <c r="B72" s="29" t="s">
        <v>24</v>
      </c>
      <c r="C72" s="97">
        <v>374</v>
      </c>
      <c r="D72" s="98">
        <v>0.98</v>
      </c>
      <c r="E72" s="98">
        <v>0.36</v>
      </c>
      <c r="F72" s="98">
        <v>0.85</v>
      </c>
      <c r="G72" s="99" t="s">
        <v>364</v>
      </c>
      <c r="H72" s="100">
        <v>1.4999999999999999E-2</v>
      </c>
      <c r="I72" s="101">
        <v>221</v>
      </c>
      <c r="J72" s="100">
        <v>0.1</v>
      </c>
      <c r="K72" s="30">
        <v>101</v>
      </c>
      <c r="L72" s="30" t="s">
        <v>694</v>
      </c>
      <c r="M72" s="96" t="s">
        <v>23</v>
      </c>
      <c r="N72" s="98">
        <v>0.95</v>
      </c>
      <c r="O72" s="98">
        <v>0.99</v>
      </c>
      <c r="P72" s="98">
        <v>0.31</v>
      </c>
      <c r="Q72" s="98">
        <v>0.41</v>
      </c>
      <c r="R72" s="98">
        <v>0.81</v>
      </c>
      <c r="S72" s="98">
        <v>0.88</v>
      </c>
      <c r="T72" s="98">
        <f t="shared" si="12"/>
        <v>3.0000000000000027E-2</v>
      </c>
      <c r="U72" s="98">
        <f t="shared" si="13"/>
        <v>1.0000000000000009E-2</v>
      </c>
      <c r="V72" s="98">
        <f t="shared" si="14"/>
        <v>4.9999999999999989E-2</v>
      </c>
      <c r="W72" s="98">
        <f t="shared" si="15"/>
        <v>4.9999999999999989E-2</v>
      </c>
      <c r="X72" s="98">
        <f t="shared" si="16"/>
        <v>3.9999999999999925E-2</v>
      </c>
      <c r="Y72" s="98">
        <f t="shared" si="17"/>
        <v>3.0000000000000027E-2</v>
      </c>
      <c r="Z72" s="30">
        <f>IF('Angioplasty Summary'!$R$55=3, RANK(F72,F$2:F$92,1)+COUNTIF($F$2:F72,F72)-1, IF('Angioplasty Summary'!$R$55=2, RANK(E72,E$2:E$92,1)+COUNTIF($E$2:E72,E72)-1, IF('Angioplasty Summary'!$R$55=1, RANK(D72,D$2:D$92,1)+COUNTIF($D$2:D72,D72)-1)))</f>
        <v>31</v>
      </c>
      <c r="AA72" s="98">
        <f>IF('Angioplasty Summary'!$R$55=3, F72, IF('Angioplasty Summary'!$R$55=2, E72, IF('Angioplasty Summary'!$R$55=1, D72)))</f>
        <v>0.98</v>
      </c>
      <c r="AB72" s="98">
        <f>IF('Angioplasty Summary'!$R$55=3, X72, IF('Angioplasty Summary'!$R$55=2, V72, IF('Angioplasty Summary'!$R$55=1, T72)))</f>
        <v>3.0000000000000027E-2</v>
      </c>
      <c r="AC72" s="98">
        <f>IF('Angioplasty Summary'!$R$55=3, Y72, IF('Angioplasty Summary'!$R$55=2, W72, IF('Angioplasty Summary'!$R$55=1, U72)))</f>
        <v>1.0000000000000009E-2</v>
      </c>
    </row>
    <row r="73" spans="1:29" x14ac:dyDescent="0.25">
      <c r="A73" s="96" t="s">
        <v>97</v>
      </c>
      <c r="B73" s="29" t="s">
        <v>98</v>
      </c>
      <c r="C73" s="97">
        <v>42</v>
      </c>
      <c r="D73" s="98">
        <v>0.98</v>
      </c>
      <c r="E73" s="98">
        <v>0.21</v>
      </c>
      <c r="F73" s="98">
        <v>0.98</v>
      </c>
      <c r="G73" s="99" t="s">
        <v>385</v>
      </c>
      <c r="H73" s="100" t="e">
        <v>#N/A</v>
      </c>
      <c r="I73" s="101">
        <v>34</v>
      </c>
      <c r="J73" s="100">
        <v>8.7999999999999995E-2</v>
      </c>
      <c r="K73" s="30">
        <v>6</v>
      </c>
      <c r="L73" s="30" t="s">
        <v>772</v>
      </c>
      <c r="M73" s="96" t="s">
        <v>97</v>
      </c>
      <c r="N73" s="98">
        <v>0.87</v>
      </c>
      <c r="O73" s="98">
        <v>1</v>
      </c>
      <c r="P73" s="98">
        <v>0.1</v>
      </c>
      <c r="Q73" s="98">
        <v>0.37</v>
      </c>
      <c r="R73" s="98">
        <v>0.87</v>
      </c>
      <c r="S73" s="98">
        <v>1</v>
      </c>
      <c r="T73" s="98">
        <f t="shared" si="12"/>
        <v>0.10999999999999999</v>
      </c>
      <c r="U73" s="98">
        <f t="shared" si="13"/>
        <v>2.0000000000000018E-2</v>
      </c>
      <c r="V73" s="98">
        <f t="shared" si="14"/>
        <v>0.10999999999999999</v>
      </c>
      <c r="W73" s="98">
        <f t="shared" si="15"/>
        <v>0.16</v>
      </c>
      <c r="X73" s="98">
        <f t="shared" si="16"/>
        <v>0.10999999999999999</v>
      </c>
      <c r="Y73" s="98">
        <f t="shared" si="17"/>
        <v>2.0000000000000018E-2</v>
      </c>
      <c r="Z73" s="30">
        <f>IF('Angioplasty Summary'!$R$55=3, RANK(F73,F$2:F$92,1)+COUNTIF($F$2:F73,F73)-1, IF('Angioplasty Summary'!$R$55=2, RANK(E73,E$2:E$92,1)+COUNTIF($E$2:E73,E73)-1, IF('Angioplasty Summary'!$R$55=1, RANK(D73,D$2:D$92,1)+COUNTIF($D$2:D73,D73)-1)))</f>
        <v>32</v>
      </c>
      <c r="AA73" s="98">
        <f>IF('Angioplasty Summary'!$R$55=3, F73, IF('Angioplasty Summary'!$R$55=2, E73, IF('Angioplasty Summary'!$R$55=1, D73)))</f>
        <v>0.98</v>
      </c>
      <c r="AB73" s="98">
        <f>IF('Angioplasty Summary'!$R$55=3, X73, IF('Angioplasty Summary'!$R$55=2, V73, IF('Angioplasty Summary'!$R$55=1, T73)))</f>
        <v>0.10999999999999999</v>
      </c>
      <c r="AC73" s="98">
        <f>IF('Angioplasty Summary'!$R$55=3, Y73, IF('Angioplasty Summary'!$R$55=2, W73, IF('Angioplasty Summary'!$R$55=1, U73)))</f>
        <v>2.0000000000000018E-2</v>
      </c>
    </row>
    <row r="74" spans="1:29" x14ac:dyDescent="0.25">
      <c r="A74" s="96" t="s">
        <v>79</v>
      </c>
      <c r="B74" s="29" t="s">
        <v>80</v>
      </c>
      <c r="C74" s="97">
        <v>215</v>
      </c>
      <c r="D74" s="98">
        <v>1</v>
      </c>
      <c r="E74" s="98">
        <v>0.87</v>
      </c>
      <c r="F74" s="98">
        <v>0.94</v>
      </c>
      <c r="G74" s="99" t="s">
        <v>361</v>
      </c>
      <c r="H74" s="100">
        <v>7.0000000000000001E-3</v>
      </c>
      <c r="I74" s="101">
        <v>122</v>
      </c>
      <c r="J74" s="100">
        <v>2.5000000000000001E-2</v>
      </c>
      <c r="K74" s="30">
        <v>29</v>
      </c>
      <c r="L74" s="30" t="s">
        <v>761</v>
      </c>
      <c r="M74" s="96" t="s">
        <v>79</v>
      </c>
      <c r="N74" s="98">
        <v>0.98</v>
      </c>
      <c r="O74" s="98">
        <v>1</v>
      </c>
      <c r="P74" s="98">
        <v>0.82</v>
      </c>
      <c r="Q74" s="98">
        <v>0.92</v>
      </c>
      <c r="R74" s="98">
        <v>0.9</v>
      </c>
      <c r="S74" s="98">
        <v>0.97</v>
      </c>
      <c r="T74" s="98">
        <f t="shared" si="12"/>
        <v>2.0000000000000018E-2</v>
      </c>
      <c r="U74" s="98">
        <f t="shared" si="13"/>
        <v>0</v>
      </c>
      <c r="V74" s="98">
        <f t="shared" si="14"/>
        <v>5.0000000000000044E-2</v>
      </c>
      <c r="W74" s="98">
        <f t="shared" si="15"/>
        <v>5.0000000000000044E-2</v>
      </c>
      <c r="X74" s="98">
        <f t="shared" si="16"/>
        <v>3.9999999999999925E-2</v>
      </c>
      <c r="Y74" s="98">
        <f t="shared" si="17"/>
        <v>3.0000000000000027E-2</v>
      </c>
      <c r="Z74" s="30">
        <f>IF('Angioplasty Summary'!$R$55=3, RANK(F74,F$2:F$92,1)+COUNTIF($F$2:F74,F74)-1, IF('Angioplasty Summary'!$R$55=2, RANK(E74,E$2:E$92,1)+COUNTIF($E$2:E74,E74)-1, IF('Angioplasty Summary'!$R$55=1, RANK(D74,D$2:D$92,1)+COUNTIF($D$2:D74,D74)-1)))</f>
        <v>65</v>
      </c>
      <c r="AA74" s="98">
        <f>IF('Angioplasty Summary'!$R$55=3, F74, IF('Angioplasty Summary'!$R$55=2, E74, IF('Angioplasty Summary'!$R$55=1, D74)))</f>
        <v>1</v>
      </c>
      <c r="AB74" s="98">
        <f>IF('Angioplasty Summary'!$R$55=3, X74, IF('Angioplasty Summary'!$R$55=2, V74, IF('Angioplasty Summary'!$R$55=1, T74)))</f>
        <v>2.0000000000000018E-2</v>
      </c>
      <c r="AC74" s="98">
        <f>IF('Angioplasty Summary'!$R$55=3, Y74, IF('Angioplasty Summary'!$R$55=2, W74, IF('Angioplasty Summary'!$R$55=1, U74)))</f>
        <v>0</v>
      </c>
    </row>
    <row r="75" spans="1:29" x14ac:dyDescent="0.25">
      <c r="A75" s="96" t="s">
        <v>60</v>
      </c>
      <c r="B75" s="29" t="s">
        <v>61</v>
      </c>
      <c r="C75" s="97">
        <v>122</v>
      </c>
      <c r="D75" s="98">
        <v>0.98</v>
      </c>
      <c r="E75" s="98">
        <v>0.67</v>
      </c>
      <c r="F75" s="98">
        <v>0.98</v>
      </c>
      <c r="G75" s="99" t="s">
        <v>375</v>
      </c>
      <c r="H75" s="100">
        <v>0</v>
      </c>
      <c r="I75" s="101">
        <v>58</v>
      </c>
      <c r="J75" s="100">
        <v>3.4000000000000002E-2</v>
      </c>
      <c r="K75" s="30">
        <v>27</v>
      </c>
      <c r="L75" s="30" t="s">
        <v>680</v>
      </c>
      <c r="M75" s="96" t="s">
        <v>60</v>
      </c>
      <c r="N75" s="98">
        <v>0.94</v>
      </c>
      <c r="O75" s="98">
        <v>1</v>
      </c>
      <c r="P75" s="98">
        <v>0.57999999999999996</v>
      </c>
      <c r="Q75" s="98">
        <v>0.75</v>
      </c>
      <c r="R75" s="98">
        <v>0.94</v>
      </c>
      <c r="S75" s="98">
        <v>1</v>
      </c>
      <c r="T75" s="98">
        <f t="shared" si="12"/>
        <v>4.0000000000000036E-2</v>
      </c>
      <c r="U75" s="98">
        <f t="shared" si="13"/>
        <v>2.0000000000000018E-2</v>
      </c>
      <c r="V75" s="98">
        <f t="shared" si="14"/>
        <v>9.000000000000008E-2</v>
      </c>
      <c r="W75" s="98">
        <f t="shared" si="15"/>
        <v>7.999999999999996E-2</v>
      </c>
      <c r="X75" s="98">
        <f t="shared" si="16"/>
        <v>4.0000000000000036E-2</v>
      </c>
      <c r="Y75" s="98">
        <f t="shared" si="17"/>
        <v>2.0000000000000018E-2</v>
      </c>
      <c r="Z75" s="30">
        <f>IF('Angioplasty Summary'!$R$55=3, RANK(F75,F$2:F$92,1)+COUNTIF($F$2:F75,F75)-1, IF('Angioplasty Summary'!$R$55=2, RANK(E75,E$2:E$92,1)+COUNTIF($E$2:E75,E75)-1, IF('Angioplasty Summary'!$R$55=1, RANK(D75,D$2:D$92,1)+COUNTIF($D$2:D75,D75)-1)))</f>
        <v>33</v>
      </c>
      <c r="AA75" s="98">
        <f>IF('Angioplasty Summary'!$R$55=3, F75, IF('Angioplasty Summary'!$R$55=2, E75, IF('Angioplasty Summary'!$R$55=1, D75)))</f>
        <v>0.98</v>
      </c>
      <c r="AB75" s="98">
        <f>IF('Angioplasty Summary'!$R$55=3, X75, IF('Angioplasty Summary'!$R$55=2, V75, IF('Angioplasty Summary'!$R$55=1, T75)))</f>
        <v>4.0000000000000036E-2</v>
      </c>
      <c r="AC75" s="98">
        <f>IF('Angioplasty Summary'!$R$55=3, Y75, IF('Angioplasty Summary'!$R$55=2, W75, IF('Angioplasty Summary'!$R$55=1, U75)))</f>
        <v>2.0000000000000018E-2</v>
      </c>
    </row>
    <row r="76" spans="1:29" x14ac:dyDescent="0.25">
      <c r="A76" s="96" t="s">
        <v>156</v>
      </c>
      <c r="B76" s="29" t="s">
        <v>157</v>
      </c>
      <c r="C76" s="97">
        <v>319</v>
      </c>
      <c r="D76" s="98">
        <v>1</v>
      </c>
      <c r="E76" s="98">
        <v>0.81</v>
      </c>
      <c r="F76" s="98">
        <v>0.85</v>
      </c>
      <c r="G76" s="99" t="s">
        <v>366</v>
      </c>
      <c r="H76" s="100">
        <v>1.7999999999999999E-2</v>
      </c>
      <c r="I76" s="101">
        <v>75</v>
      </c>
      <c r="J76" s="100">
        <v>0.2</v>
      </c>
      <c r="K76" s="30">
        <v>51</v>
      </c>
      <c r="L76" s="30" t="s">
        <v>767</v>
      </c>
      <c r="M76" s="96" t="s">
        <v>156</v>
      </c>
      <c r="N76" s="98">
        <v>0.98</v>
      </c>
      <c r="O76" s="98">
        <v>1</v>
      </c>
      <c r="P76" s="98">
        <v>0.76</v>
      </c>
      <c r="Q76" s="98">
        <v>0.85</v>
      </c>
      <c r="R76" s="98">
        <v>0.81</v>
      </c>
      <c r="S76" s="98">
        <v>0.89</v>
      </c>
      <c r="T76" s="98">
        <f t="shared" si="12"/>
        <v>2.0000000000000018E-2</v>
      </c>
      <c r="U76" s="98">
        <f t="shared" si="13"/>
        <v>0</v>
      </c>
      <c r="V76" s="98">
        <f t="shared" si="14"/>
        <v>5.0000000000000044E-2</v>
      </c>
      <c r="W76" s="98">
        <f t="shared" si="15"/>
        <v>3.9999999999999925E-2</v>
      </c>
      <c r="X76" s="98">
        <f t="shared" si="16"/>
        <v>3.9999999999999925E-2</v>
      </c>
      <c r="Y76" s="98">
        <f t="shared" si="17"/>
        <v>4.0000000000000036E-2</v>
      </c>
      <c r="Z76" s="30">
        <f>IF('Angioplasty Summary'!$R$55=3, RANK(F76,F$2:F$92,1)+COUNTIF($F$2:F76,F76)-1, IF('Angioplasty Summary'!$R$55=2, RANK(E76,E$2:E$92,1)+COUNTIF($E$2:E76,E76)-1, IF('Angioplasty Summary'!$R$55=1, RANK(D76,D$2:D$92,1)+COUNTIF($D$2:D76,D76)-1)))</f>
        <v>66</v>
      </c>
      <c r="AA76" s="98">
        <f>IF('Angioplasty Summary'!$R$55=3, F76, IF('Angioplasty Summary'!$R$55=2, E76, IF('Angioplasty Summary'!$R$55=1, D76)))</f>
        <v>1</v>
      </c>
      <c r="AB76" s="98">
        <f>IF('Angioplasty Summary'!$R$55=3, X76, IF('Angioplasty Summary'!$R$55=2, V76, IF('Angioplasty Summary'!$R$55=1, T76)))</f>
        <v>2.0000000000000018E-2</v>
      </c>
      <c r="AC76" s="98">
        <f>IF('Angioplasty Summary'!$R$55=3, Y76, IF('Angioplasty Summary'!$R$55=2, W76, IF('Angioplasty Summary'!$R$55=1, U76)))</f>
        <v>0</v>
      </c>
    </row>
    <row r="77" spans="1:29" x14ac:dyDescent="0.25">
      <c r="A77" s="96" t="s">
        <v>122</v>
      </c>
      <c r="B77" s="29" t="s">
        <v>123</v>
      </c>
      <c r="C77" s="97">
        <v>2</v>
      </c>
      <c r="D77" s="98" t="s">
        <v>772</v>
      </c>
      <c r="E77" s="98" t="s">
        <v>772</v>
      </c>
      <c r="F77" s="98" t="s">
        <v>772</v>
      </c>
      <c r="G77" s="99" t="s">
        <v>772</v>
      </c>
      <c r="H77" s="100" t="e">
        <v>#N/A</v>
      </c>
      <c r="I77" s="101">
        <v>1</v>
      </c>
      <c r="J77" s="100" t="s">
        <v>772</v>
      </c>
      <c r="K77" s="30">
        <v>0</v>
      </c>
      <c r="L77" s="30" t="s">
        <v>772</v>
      </c>
      <c r="M77" s="96" t="s">
        <v>122</v>
      </c>
      <c r="N77" s="98" t="s">
        <v>772</v>
      </c>
      <c r="O77" s="98" t="s">
        <v>772</v>
      </c>
      <c r="P77" s="98" t="s">
        <v>772</v>
      </c>
      <c r="Q77" s="98" t="s">
        <v>772</v>
      </c>
      <c r="R77" s="98" t="s">
        <v>772</v>
      </c>
      <c r="S77" s="98" t="s">
        <v>772</v>
      </c>
      <c r="T77" s="98" t="e">
        <f t="shared" si="12"/>
        <v>#VALUE!</v>
      </c>
      <c r="U77" s="98" t="e">
        <f t="shared" si="13"/>
        <v>#VALUE!</v>
      </c>
      <c r="V77" s="98" t="e">
        <f t="shared" si="14"/>
        <v>#VALUE!</v>
      </c>
      <c r="W77" s="98" t="e">
        <f t="shared" si="15"/>
        <v>#VALUE!</v>
      </c>
      <c r="X77" s="98" t="e">
        <f t="shared" si="16"/>
        <v>#VALUE!</v>
      </c>
      <c r="Y77" s="98" t="e">
        <f t="shared" si="17"/>
        <v>#VALUE!</v>
      </c>
      <c r="Z77" s="30" t="e">
        <f>IF('Angioplasty Summary'!$R$55=3, RANK(F77,F$2:F$92,1)+COUNTIF($F$2:F77,F77)-1, IF('Angioplasty Summary'!$R$55=2, RANK(E77,E$2:E$92,1)+COUNTIF($E$2:E77,E77)-1, IF('Angioplasty Summary'!$R$55=1, RANK(D77,D$2:D$92,1)+COUNTIF($D$2:D77,D77)-1)))</f>
        <v>#VALUE!</v>
      </c>
      <c r="AA77" s="98" t="str">
        <f>IF('Angioplasty Summary'!$R$55=3, F77, IF('Angioplasty Summary'!$R$55=2, E77, IF('Angioplasty Summary'!$R$55=1, D77)))</f>
        <v>xx</v>
      </c>
      <c r="AB77" s="98" t="e">
        <f>IF('Angioplasty Summary'!$R$55=3, X77, IF('Angioplasty Summary'!$R$55=2, V77, IF('Angioplasty Summary'!$R$55=1, T77)))</f>
        <v>#VALUE!</v>
      </c>
      <c r="AC77" s="98" t="e">
        <f>IF('Angioplasty Summary'!$R$55=3, Y77, IF('Angioplasty Summary'!$R$55=2, W77, IF('Angioplasty Summary'!$R$55=1, U77)))</f>
        <v>#VALUE!</v>
      </c>
    </row>
    <row r="78" spans="1:29" x14ac:dyDescent="0.25">
      <c r="A78" s="96" t="s">
        <v>21</v>
      </c>
      <c r="B78" s="29" t="s">
        <v>22</v>
      </c>
      <c r="C78" s="97">
        <v>87</v>
      </c>
      <c r="D78" s="98">
        <v>1</v>
      </c>
      <c r="E78" s="98">
        <v>0.46</v>
      </c>
      <c r="F78" s="98">
        <v>0.94</v>
      </c>
      <c r="G78" s="99" t="s">
        <v>363</v>
      </c>
      <c r="H78" s="100">
        <v>0</v>
      </c>
      <c r="I78" s="101">
        <v>85</v>
      </c>
      <c r="J78" s="100">
        <v>7.0999999999999994E-2</v>
      </c>
      <c r="K78" s="30">
        <v>31</v>
      </c>
      <c r="L78" s="30" t="s">
        <v>759</v>
      </c>
      <c r="M78" s="96" t="s">
        <v>21</v>
      </c>
      <c r="N78" s="98">
        <v>0.96</v>
      </c>
      <c r="O78" s="98">
        <v>1</v>
      </c>
      <c r="P78" s="98">
        <v>0.35</v>
      </c>
      <c r="Q78" s="98">
        <v>0.56999999999999995</v>
      </c>
      <c r="R78" s="98">
        <v>0.87</v>
      </c>
      <c r="S78" s="98">
        <v>0.98</v>
      </c>
      <c r="T78" s="98">
        <f t="shared" si="12"/>
        <v>4.0000000000000036E-2</v>
      </c>
      <c r="U78" s="98">
        <f t="shared" si="13"/>
        <v>0</v>
      </c>
      <c r="V78" s="98">
        <f t="shared" si="14"/>
        <v>0.11000000000000004</v>
      </c>
      <c r="W78" s="98">
        <f t="shared" si="15"/>
        <v>0.10999999999999993</v>
      </c>
      <c r="X78" s="98">
        <f t="shared" si="16"/>
        <v>6.9999999999999951E-2</v>
      </c>
      <c r="Y78" s="98">
        <f t="shared" si="17"/>
        <v>4.0000000000000036E-2</v>
      </c>
      <c r="Z78" s="30">
        <f>IF('Angioplasty Summary'!$R$55=3, RANK(F78,F$2:F$92,1)+COUNTIF($F$2:F78,F78)-1, IF('Angioplasty Summary'!$R$55=2, RANK(E78,E$2:E$92,1)+COUNTIF($E$2:E78,E78)-1, IF('Angioplasty Summary'!$R$55=1, RANK(D78,D$2:D$92,1)+COUNTIF($D$2:D78,D78)-1)))</f>
        <v>67</v>
      </c>
      <c r="AA78" s="98">
        <f>IF('Angioplasty Summary'!$R$55=3, F78, IF('Angioplasty Summary'!$R$55=2, E78, IF('Angioplasty Summary'!$R$55=1, D78)))</f>
        <v>1</v>
      </c>
      <c r="AB78" s="98">
        <f>IF('Angioplasty Summary'!$R$55=3, X78, IF('Angioplasty Summary'!$R$55=2, V78, IF('Angioplasty Summary'!$R$55=1, T78)))</f>
        <v>4.0000000000000036E-2</v>
      </c>
      <c r="AC78" s="98">
        <f>IF('Angioplasty Summary'!$R$55=3, Y78, IF('Angioplasty Summary'!$R$55=2, W78, IF('Angioplasty Summary'!$R$55=1, U78)))</f>
        <v>0</v>
      </c>
    </row>
    <row r="79" spans="1:29" x14ac:dyDescent="0.25">
      <c r="A79" s="96" t="s">
        <v>68</v>
      </c>
      <c r="B79" s="29" t="s">
        <v>69</v>
      </c>
      <c r="C79" s="97">
        <v>639</v>
      </c>
      <c r="D79" s="98">
        <v>0.9</v>
      </c>
      <c r="E79" s="98">
        <v>0.3</v>
      </c>
      <c r="F79" s="98">
        <v>0.89</v>
      </c>
      <c r="G79" s="99" t="s">
        <v>274</v>
      </c>
      <c r="H79" s="100">
        <v>1.4E-2</v>
      </c>
      <c r="I79" s="101">
        <v>588</v>
      </c>
      <c r="J79" s="100">
        <v>8.6999999999999994E-2</v>
      </c>
      <c r="K79" s="30">
        <v>166</v>
      </c>
      <c r="L79" s="30" t="s">
        <v>379</v>
      </c>
      <c r="M79" s="96" t="s">
        <v>68</v>
      </c>
      <c r="N79" s="98">
        <v>0.87</v>
      </c>
      <c r="O79" s="98">
        <v>0.92</v>
      </c>
      <c r="P79" s="98">
        <v>0.26</v>
      </c>
      <c r="Q79" s="98">
        <v>0.33</v>
      </c>
      <c r="R79" s="98">
        <v>0.87</v>
      </c>
      <c r="S79" s="98">
        <v>0.92</v>
      </c>
      <c r="T79" s="98">
        <f t="shared" si="12"/>
        <v>3.0000000000000027E-2</v>
      </c>
      <c r="U79" s="98">
        <f t="shared" si="13"/>
        <v>2.0000000000000018E-2</v>
      </c>
      <c r="V79" s="98">
        <f t="shared" si="14"/>
        <v>3.999999999999998E-2</v>
      </c>
      <c r="W79" s="98">
        <f t="shared" si="15"/>
        <v>3.0000000000000027E-2</v>
      </c>
      <c r="X79" s="98">
        <f t="shared" si="16"/>
        <v>2.0000000000000018E-2</v>
      </c>
      <c r="Y79" s="98">
        <f t="shared" si="17"/>
        <v>3.0000000000000027E-2</v>
      </c>
      <c r="Z79" s="30">
        <f>IF('Angioplasty Summary'!$R$55=3, RANK(F79,F$2:F$92,1)+COUNTIF($F$2:F79,F79)-1, IF('Angioplasty Summary'!$R$55=2, RANK(E79,E$2:E$92,1)+COUNTIF($E$2:E79,E79)-1, IF('Angioplasty Summary'!$R$55=1, RANK(D79,D$2:D$92,1)+COUNTIF($D$2:D79,D79)-1)))</f>
        <v>2</v>
      </c>
      <c r="AA79" s="98">
        <f>IF('Angioplasty Summary'!$R$55=3, F79, IF('Angioplasty Summary'!$R$55=2, E79, IF('Angioplasty Summary'!$R$55=1, D79)))</f>
        <v>0.9</v>
      </c>
      <c r="AB79" s="98">
        <f>IF('Angioplasty Summary'!$R$55=3, X79, IF('Angioplasty Summary'!$R$55=2, V79, IF('Angioplasty Summary'!$R$55=1, T79)))</f>
        <v>3.0000000000000027E-2</v>
      </c>
      <c r="AC79" s="98">
        <f>IF('Angioplasty Summary'!$R$55=3, Y79, IF('Angioplasty Summary'!$R$55=2, W79, IF('Angioplasty Summary'!$R$55=1, U79)))</f>
        <v>2.0000000000000018E-2</v>
      </c>
    </row>
    <row r="80" spans="1:29" x14ac:dyDescent="0.25">
      <c r="A80" s="96" t="s">
        <v>29</v>
      </c>
      <c r="B80" s="29" t="s">
        <v>30</v>
      </c>
      <c r="C80" s="97">
        <v>23</v>
      </c>
      <c r="D80" s="98">
        <v>1</v>
      </c>
      <c r="E80" s="98">
        <v>1</v>
      </c>
      <c r="F80" s="98">
        <v>1</v>
      </c>
      <c r="G80" s="99" t="s">
        <v>361</v>
      </c>
      <c r="H80" s="100" t="e">
        <v>#N/A</v>
      </c>
      <c r="I80" s="101">
        <v>3</v>
      </c>
      <c r="J80" s="100" t="s">
        <v>772</v>
      </c>
      <c r="K80" s="30">
        <v>0</v>
      </c>
      <c r="L80" s="30" t="s">
        <v>772</v>
      </c>
      <c r="M80" s="96" t="s">
        <v>29</v>
      </c>
      <c r="N80" s="98">
        <v>0.85</v>
      </c>
      <c r="O80" s="98">
        <v>1</v>
      </c>
      <c r="P80" s="98">
        <v>0.85</v>
      </c>
      <c r="Q80" s="98">
        <v>1</v>
      </c>
      <c r="R80" s="98">
        <v>0.85</v>
      </c>
      <c r="S80" s="98">
        <v>1</v>
      </c>
      <c r="T80" s="98">
        <f t="shared" si="12"/>
        <v>0.15000000000000002</v>
      </c>
      <c r="U80" s="98">
        <f t="shared" si="13"/>
        <v>0</v>
      </c>
      <c r="V80" s="98">
        <f t="shared" si="14"/>
        <v>0.15000000000000002</v>
      </c>
      <c r="W80" s="98">
        <f t="shared" si="15"/>
        <v>0</v>
      </c>
      <c r="X80" s="98">
        <f t="shared" si="16"/>
        <v>0.15000000000000002</v>
      </c>
      <c r="Y80" s="98">
        <f t="shared" si="17"/>
        <v>0</v>
      </c>
      <c r="Z80" s="30">
        <f>IF('Angioplasty Summary'!$R$55=3, RANK(F80,F$2:F$92,1)+COUNTIF($F$2:F80,F80)-1, IF('Angioplasty Summary'!$R$55=2, RANK(E80,E$2:E$92,1)+COUNTIF($E$2:E80,E80)-1, IF('Angioplasty Summary'!$R$55=1, RANK(D80,D$2:D$92,1)+COUNTIF($D$2:D80,D80)-1)))</f>
        <v>68</v>
      </c>
      <c r="AA80" s="98">
        <f>IF('Angioplasty Summary'!$R$55=3, F80, IF('Angioplasty Summary'!$R$55=2, E80, IF('Angioplasty Summary'!$R$55=1, D80)))</f>
        <v>1</v>
      </c>
      <c r="AB80" s="98">
        <f>IF('Angioplasty Summary'!$R$55=3, X80, IF('Angioplasty Summary'!$R$55=2, V80, IF('Angioplasty Summary'!$R$55=1, T80)))</f>
        <v>0.15000000000000002</v>
      </c>
      <c r="AC80" s="98">
        <f>IF('Angioplasty Summary'!$R$55=3, Y80, IF('Angioplasty Summary'!$R$55=2, W80, IF('Angioplasty Summary'!$R$55=1, U80)))</f>
        <v>0</v>
      </c>
    </row>
    <row r="81" spans="1:29" x14ac:dyDescent="0.25">
      <c r="A81" s="96" t="s">
        <v>4</v>
      </c>
      <c r="B81" s="29" t="s">
        <v>214</v>
      </c>
      <c r="C81" s="97">
        <v>524</v>
      </c>
      <c r="D81" s="98">
        <v>1</v>
      </c>
      <c r="E81" s="98">
        <v>0.28000000000000003</v>
      </c>
      <c r="F81" s="98">
        <v>0.92</v>
      </c>
      <c r="G81" s="99" t="s">
        <v>354</v>
      </c>
      <c r="H81" s="100">
        <v>1.4E-2</v>
      </c>
      <c r="I81" s="101">
        <v>508</v>
      </c>
      <c r="J81" s="100">
        <v>0.14199999999999999</v>
      </c>
      <c r="K81" s="30">
        <v>219</v>
      </c>
      <c r="L81" s="30" t="s">
        <v>754</v>
      </c>
      <c r="M81" s="96" t="s">
        <v>4</v>
      </c>
      <c r="N81" s="98">
        <v>0.99</v>
      </c>
      <c r="O81" s="98">
        <v>1</v>
      </c>
      <c r="P81" s="98">
        <v>0.25</v>
      </c>
      <c r="Q81" s="98">
        <v>0.33</v>
      </c>
      <c r="R81" s="98">
        <v>0.9</v>
      </c>
      <c r="S81" s="98">
        <v>0.94</v>
      </c>
      <c r="T81" s="98">
        <f t="shared" si="12"/>
        <v>1.0000000000000009E-2</v>
      </c>
      <c r="U81" s="98">
        <f t="shared" si="13"/>
        <v>0</v>
      </c>
      <c r="V81" s="98">
        <f t="shared" si="14"/>
        <v>3.0000000000000027E-2</v>
      </c>
      <c r="W81" s="98">
        <f t="shared" si="15"/>
        <v>4.9999999999999989E-2</v>
      </c>
      <c r="X81" s="98">
        <f t="shared" si="16"/>
        <v>2.0000000000000018E-2</v>
      </c>
      <c r="Y81" s="98">
        <f t="shared" si="17"/>
        <v>1.9999999999999907E-2</v>
      </c>
      <c r="Z81" s="30">
        <f>IF('Angioplasty Summary'!$R$55=3, RANK(F81,F$2:F$92,1)+COUNTIF($F$2:F81,F81)-1, IF('Angioplasty Summary'!$R$55=2, RANK(E81,E$2:E$92,1)+COUNTIF($E$2:E81,E81)-1, IF('Angioplasty Summary'!$R$55=1, RANK(D81,D$2:D$92,1)+COUNTIF($D$2:D81,D81)-1)))</f>
        <v>69</v>
      </c>
      <c r="AA81" s="98">
        <f>IF('Angioplasty Summary'!$R$55=3, F81, IF('Angioplasty Summary'!$R$55=2, E81, IF('Angioplasty Summary'!$R$55=1, D81)))</f>
        <v>1</v>
      </c>
      <c r="AB81" s="98">
        <f>IF('Angioplasty Summary'!$R$55=3, X81, IF('Angioplasty Summary'!$R$55=2, V81, IF('Angioplasty Summary'!$R$55=1, T81)))</f>
        <v>1.0000000000000009E-2</v>
      </c>
      <c r="AC81" s="98">
        <f>IF('Angioplasty Summary'!$R$55=3, Y81, IF('Angioplasty Summary'!$R$55=2, W81, IF('Angioplasty Summary'!$R$55=1, U81)))</f>
        <v>0</v>
      </c>
    </row>
    <row r="82" spans="1:29" x14ac:dyDescent="0.25">
      <c r="A82" s="96" t="s">
        <v>25</v>
      </c>
      <c r="B82" s="29" t="s">
        <v>26</v>
      </c>
      <c r="C82" s="97">
        <v>807</v>
      </c>
      <c r="D82" s="98">
        <v>1</v>
      </c>
      <c r="E82" s="98">
        <v>0.74</v>
      </c>
      <c r="F82" s="98">
        <v>0.83</v>
      </c>
      <c r="G82" s="99" t="s">
        <v>365</v>
      </c>
      <c r="H82" s="100">
        <v>1.6E-2</v>
      </c>
      <c r="I82" s="101">
        <v>777</v>
      </c>
      <c r="J82" s="100">
        <v>8.5999999999999993E-2</v>
      </c>
      <c r="K82" s="30">
        <v>67</v>
      </c>
      <c r="L82" s="30" t="s">
        <v>760</v>
      </c>
      <c r="M82" s="96" t="s">
        <v>25</v>
      </c>
      <c r="N82" s="98">
        <v>0.99</v>
      </c>
      <c r="O82" s="98">
        <v>1</v>
      </c>
      <c r="P82" s="98">
        <v>0.71</v>
      </c>
      <c r="Q82" s="98">
        <v>0.77</v>
      </c>
      <c r="R82" s="98">
        <v>0.8</v>
      </c>
      <c r="S82" s="98">
        <v>0.85</v>
      </c>
      <c r="T82" s="98">
        <f t="shared" si="12"/>
        <v>1.0000000000000009E-2</v>
      </c>
      <c r="U82" s="98">
        <f t="shared" si="13"/>
        <v>0</v>
      </c>
      <c r="V82" s="98">
        <f t="shared" si="14"/>
        <v>3.0000000000000027E-2</v>
      </c>
      <c r="W82" s="98">
        <f t="shared" si="15"/>
        <v>3.0000000000000027E-2</v>
      </c>
      <c r="X82" s="98">
        <f t="shared" si="16"/>
        <v>2.9999999999999916E-2</v>
      </c>
      <c r="Y82" s="98">
        <f t="shared" si="17"/>
        <v>2.0000000000000018E-2</v>
      </c>
      <c r="Z82" s="30">
        <f>IF('Angioplasty Summary'!$R$55=3, RANK(F82,F$2:F$92,1)+COUNTIF($F$2:F82,F82)-1, IF('Angioplasty Summary'!$R$55=2, RANK(E82,E$2:E$92,1)+COUNTIF($E$2:E82,E82)-1, IF('Angioplasty Summary'!$R$55=1, RANK(D82,D$2:D$92,1)+COUNTIF($D$2:D82,D82)-1)))</f>
        <v>70</v>
      </c>
      <c r="AA82" s="98">
        <f>IF('Angioplasty Summary'!$R$55=3, F82, IF('Angioplasty Summary'!$R$55=2, E82, IF('Angioplasty Summary'!$R$55=1, D82)))</f>
        <v>1</v>
      </c>
      <c r="AB82" s="98">
        <f>IF('Angioplasty Summary'!$R$55=3, X82, IF('Angioplasty Summary'!$R$55=2, V82, IF('Angioplasty Summary'!$R$55=1, T82)))</f>
        <v>1.0000000000000009E-2</v>
      </c>
      <c r="AC82" s="98">
        <f>IF('Angioplasty Summary'!$R$55=3, Y82, IF('Angioplasty Summary'!$R$55=2, W82, IF('Angioplasty Summary'!$R$55=1, U82)))</f>
        <v>0</v>
      </c>
    </row>
    <row r="83" spans="1:29" x14ac:dyDescent="0.25">
      <c r="A83" s="96" t="s">
        <v>87</v>
      </c>
      <c r="B83" s="29" t="s">
        <v>88</v>
      </c>
      <c r="C83" s="97">
        <v>885</v>
      </c>
      <c r="D83" s="98">
        <v>0.98</v>
      </c>
      <c r="E83" s="98">
        <v>0.52</v>
      </c>
      <c r="F83" s="98">
        <v>0.9</v>
      </c>
      <c r="G83" s="99" t="s">
        <v>374</v>
      </c>
      <c r="H83" s="100">
        <v>1.9E-2</v>
      </c>
      <c r="I83" s="101">
        <v>691</v>
      </c>
      <c r="J83" s="100">
        <v>8.6999999999999994E-2</v>
      </c>
      <c r="K83" s="30">
        <v>385</v>
      </c>
      <c r="L83" s="30" t="s">
        <v>287</v>
      </c>
      <c r="M83" s="96" t="s">
        <v>87</v>
      </c>
      <c r="N83" s="98">
        <v>0.97</v>
      </c>
      <c r="O83" s="98">
        <v>0.99</v>
      </c>
      <c r="P83" s="98">
        <v>0.48</v>
      </c>
      <c r="Q83" s="98">
        <v>0.55000000000000004</v>
      </c>
      <c r="R83" s="98">
        <v>0.88</v>
      </c>
      <c r="S83" s="98">
        <v>0.92</v>
      </c>
      <c r="T83" s="98">
        <f t="shared" si="12"/>
        <v>1.0000000000000009E-2</v>
      </c>
      <c r="U83" s="98">
        <f t="shared" si="13"/>
        <v>1.0000000000000009E-2</v>
      </c>
      <c r="V83" s="98">
        <f t="shared" si="14"/>
        <v>4.0000000000000036E-2</v>
      </c>
      <c r="W83" s="98">
        <f t="shared" si="15"/>
        <v>3.0000000000000027E-2</v>
      </c>
      <c r="X83" s="98">
        <f t="shared" si="16"/>
        <v>2.0000000000000018E-2</v>
      </c>
      <c r="Y83" s="98">
        <f t="shared" si="17"/>
        <v>2.0000000000000018E-2</v>
      </c>
      <c r="Z83" s="30">
        <f>IF('Angioplasty Summary'!$R$55=3, RANK(F83,F$2:F$92,1)+COUNTIF($F$2:F83,F83)-1, IF('Angioplasty Summary'!$R$55=2, RANK(E83,E$2:E$92,1)+COUNTIF($E$2:E83,E83)-1, IF('Angioplasty Summary'!$R$55=1, RANK(D83,D$2:D$92,1)+COUNTIF($D$2:D83,D83)-1)))</f>
        <v>34</v>
      </c>
      <c r="AA83" s="98">
        <f>IF('Angioplasty Summary'!$R$55=3, F83, IF('Angioplasty Summary'!$R$55=2, E83, IF('Angioplasty Summary'!$R$55=1, D83)))</f>
        <v>0.98</v>
      </c>
      <c r="AB83" s="98">
        <f>IF('Angioplasty Summary'!$R$55=3, X83, IF('Angioplasty Summary'!$R$55=2, V83, IF('Angioplasty Summary'!$R$55=1, T83)))</f>
        <v>1.0000000000000009E-2</v>
      </c>
      <c r="AC83" s="98">
        <f>IF('Angioplasty Summary'!$R$55=3, Y83, IF('Angioplasty Summary'!$R$55=2, W83, IF('Angioplasty Summary'!$R$55=1, U83)))</f>
        <v>1.0000000000000009E-2</v>
      </c>
    </row>
    <row r="84" spans="1:29" x14ac:dyDescent="0.25">
      <c r="A84" s="96" t="s">
        <v>17</v>
      </c>
      <c r="B84" s="29" t="s">
        <v>18</v>
      </c>
      <c r="C84" s="97">
        <v>3</v>
      </c>
      <c r="D84" s="98" t="s">
        <v>772</v>
      </c>
      <c r="E84" s="98" t="s">
        <v>772</v>
      </c>
      <c r="F84" s="98" t="s">
        <v>772</v>
      </c>
      <c r="G84" s="99" t="s">
        <v>772</v>
      </c>
      <c r="H84" s="100" t="e">
        <v>#N/A</v>
      </c>
      <c r="I84" s="101">
        <v>3</v>
      </c>
      <c r="J84" s="100" t="s">
        <v>772</v>
      </c>
      <c r="K84" s="30">
        <v>0</v>
      </c>
      <c r="L84" s="30" t="s">
        <v>772</v>
      </c>
      <c r="M84" s="96" t="s">
        <v>17</v>
      </c>
      <c r="N84" s="98" t="s">
        <v>772</v>
      </c>
      <c r="O84" s="98" t="s">
        <v>772</v>
      </c>
      <c r="P84" s="98" t="s">
        <v>772</v>
      </c>
      <c r="Q84" s="98" t="s">
        <v>772</v>
      </c>
      <c r="R84" s="98" t="s">
        <v>772</v>
      </c>
      <c r="S84" s="98" t="s">
        <v>772</v>
      </c>
      <c r="T84" s="98" t="e">
        <f t="shared" si="12"/>
        <v>#VALUE!</v>
      </c>
      <c r="U84" s="98" t="e">
        <f t="shared" si="13"/>
        <v>#VALUE!</v>
      </c>
      <c r="V84" s="98" t="e">
        <f t="shared" si="14"/>
        <v>#VALUE!</v>
      </c>
      <c r="W84" s="98" t="e">
        <f t="shared" si="15"/>
        <v>#VALUE!</v>
      </c>
      <c r="X84" s="98" t="e">
        <f t="shared" si="16"/>
        <v>#VALUE!</v>
      </c>
      <c r="Y84" s="98" t="e">
        <f t="shared" si="17"/>
        <v>#VALUE!</v>
      </c>
      <c r="Z84" s="30" t="e">
        <f>IF('Angioplasty Summary'!$R$55=3, RANK(F84,F$2:F$92,1)+COUNTIF($F$2:F84,F84)-1, IF('Angioplasty Summary'!$R$55=2, RANK(E84,E$2:E$92,1)+COUNTIF($E$2:E84,E84)-1, IF('Angioplasty Summary'!$R$55=1, RANK(D84,D$2:D$92,1)+COUNTIF($D$2:D84,D84)-1)))</f>
        <v>#VALUE!</v>
      </c>
      <c r="AA84" s="98" t="str">
        <f>IF('Angioplasty Summary'!$R$55=3, F84, IF('Angioplasty Summary'!$R$55=2, E84, IF('Angioplasty Summary'!$R$55=1, D84)))</f>
        <v>xx</v>
      </c>
      <c r="AB84" s="98" t="e">
        <f>IF('Angioplasty Summary'!$R$55=3, X84, IF('Angioplasty Summary'!$R$55=2, V84, IF('Angioplasty Summary'!$R$55=1, T84)))</f>
        <v>#VALUE!</v>
      </c>
      <c r="AC84" s="98" t="e">
        <f>IF('Angioplasty Summary'!$R$55=3, Y84, IF('Angioplasty Summary'!$R$55=2, W84, IF('Angioplasty Summary'!$R$55=1, U84)))</f>
        <v>#VALUE!</v>
      </c>
    </row>
    <row r="85" spans="1:29" x14ac:dyDescent="0.25">
      <c r="A85" s="96" t="s">
        <v>132</v>
      </c>
      <c r="B85" s="29" t="s">
        <v>133</v>
      </c>
      <c r="C85" s="97">
        <v>1</v>
      </c>
      <c r="D85" s="98" t="s">
        <v>772</v>
      </c>
      <c r="E85" s="98" t="s">
        <v>772</v>
      </c>
      <c r="F85" s="98" t="s">
        <v>772</v>
      </c>
      <c r="G85" s="99" t="s">
        <v>772</v>
      </c>
      <c r="H85" s="100" t="e">
        <v>#N/A</v>
      </c>
      <c r="I85" s="101">
        <v>1</v>
      </c>
      <c r="J85" s="100" t="s">
        <v>772</v>
      </c>
      <c r="K85" s="30">
        <v>1</v>
      </c>
      <c r="L85" s="30" t="s">
        <v>772</v>
      </c>
      <c r="M85" s="96" t="s">
        <v>132</v>
      </c>
      <c r="N85" s="98" t="s">
        <v>772</v>
      </c>
      <c r="O85" s="98" t="s">
        <v>772</v>
      </c>
      <c r="P85" s="98" t="s">
        <v>772</v>
      </c>
      <c r="Q85" s="98" t="s">
        <v>772</v>
      </c>
      <c r="R85" s="98" t="s">
        <v>772</v>
      </c>
      <c r="S85" s="98" t="s">
        <v>772</v>
      </c>
      <c r="T85" s="98" t="e">
        <f t="shared" si="12"/>
        <v>#VALUE!</v>
      </c>
      <c r="U85" s="98" t="e">
        <f t="shared" si="13"/>
        <v>#VALUE!</v>
      </c>
      <c r="V85" s="98" t="e">
        <f t="shared" si="14"/>
        <v>#VALUE!</v>
      </c>
      <c r="W85" s="98" t="e">
        <f t="shared" si="15"/>
        <v>#VALUE!</v>
      </c>
      <c r="X85" s="98" t="e">
        <f t="shared" si="16"/>
        <v>#VALUE!</v>
      </c>
      <c r="Y85" s="98" t="e">
        <f t="shared" si="17"/>
        <v>#VALUE!</v>
      </c>
      <c r="Z85" s="30" t="e">
        <f>IF('Angioplasty Summary'!$R$55=3, RANK(F85,F$2:F$92,1)+COUNTIF($F$2:F85,F85)-1, IF('Angioplasty Summary'!$R$55=2, RANK(E85,E$2:E$92,1)+COUNTIF($E$2:E85,E85)-1, IF('Angioplasty Summary'!$R$55=1, RANK(D85,D$2:D$92,1)+COUNTIF($D$2:D85,D85)-1)))</f>
        <v>#VALUE!</v>
      </c>
      <c r="AA85" s="98" t="str">
        <f>IF('Angioplasty Summary'!$R$55=3, F85, IF('Angioplasty Summary'!$R$55=2, E85, IF('Angioplasty Summary'!$R$55=1, D85)))</f>
        <v>xx</v>
      </c>
      <c r="AB85" s="98" t="e">
        <f>IF('Angioplasty Summary'!$R$55=3, X85, IF('Angioplasty Summary'!$R$55=2, V85, IF('Angioplasty Summary'!$R$55=1, T85)))</f>
        <v>#VALUE!</v>
      </c>
      <c r="AC85" s="98" t="e">
        <f>IF('Angioplasty Summary'!$R$55=3, Y85, IF('Angioplasty Summary'!$R$55=2, W85, IF('Angioplasty Summary'!$R$55=1, U85)))</f>
        <v>#VALUE!</v>
      </c>
    </row>
    <row r="86" spans="1:29" x14ac:dyDescent="0.25">
      <c r="A86" s="96" t="s">
        <v>109</v>
      </c>
      <c r="B86" s="29" t="s">
        <v>110</v>
      </c>
      <c r="C86" s="97">
        <v>14</v>
      </c>
      <c r="D86" s="98">
        <v>1</v>
      </c>
      <c r="E86" s="98">
        <v>0.71</v>
      </c>
      <c r="F86" s="98">
        <v>0.86</v>
      </c>
      <c r="G86" s="99" t="s">
        <v>371</v>
      </c>
      <c r="H86" s="97" t="e">
        <v>#N/A</v>
      </c>
      <c r="I86" s="101">
        <v>14</v>
      </c>
      <c r="J86" s="100">
        <v>0.214</v>
      </c>
      <c r="K86" s="30">
        <v>1</v>
      </c>
      <c r="L86" s="30" t="s">
        <v>772</v>
      </c>
      <c r="M86" s="96" t="s">
        <v>109</v>
      </c>
      <c r="N86" s="98">
        <v>0.77</v>
      </c>
      <c r="O86" s="98">
        <v>1</v>
      </c>
      <c r="P86" s="98">
        <v>0.42</v>
      </c>
      <c r="Q86" s="98">
        <v>0.92</v>
      </c>
      <c r="R86" s="98">
        <v>0.56999999999999995</v>
      </c>
      <c r="S86" s="98">
        <v>0.98</v>
      </c>
      <c r="T86" s="98">
        <f t="shared" si="12"/>
        <v>0.22999999999999998</v>
      </c>
      <c r="U86" s="98">
        <f t="shared" si="13"/>
        <v>0</v>
      </c>
      <c r="V86" s="98">
        <f t="shared" si="14"/>
        <v>0.28999999999999998</v>
      </c>
      <c r="W86" s="98">
        <f t="shared" si="15"/>
        <v>0.21000000000000008</v>
      </c>
      <c r="X86" s="98">
        <f t="shared" si="16"/>
        <v>0.29000000000000004</v>
      </c>
      <c r="Y86" s="98">
        <f t="shared" si="17"/>
        <v>0.12</v>
      </c>
      <c r="Z86" s="30">
        <f>IF('Angioplasty Summary'!$R$55=3, RANK(F86,F$2:F$92,1)+COUNTIF($F$2:F86,F86)-1, IF('Angioplasty Summary'!$R$55=2, RANK(E86,E$2:E$92,1)+COUNTIF($E$2:E86,E86)-1, IF('Angioplasty Summary'!$R$55=1, RANK(D86,D$2:D$92,1)+COUNTIF($D$2:D86,D86)-1)))</f>
        <v>71</v>
      </c>
      <c r="AA86" s="98">
        <f>IF('Angioplasty Summary'!$R$55=3, F86, IF('Angioplasty Summary'!$R$55=2, E86, IF('Angioplasty Summary'!$R$55=1, D86)))</f>
        <v>1</v>
      </c>
      <c r="AB86" s="98">
        <f>IF('Angioplasty Summary'!$R$55=3, X86, IF('Angioplasty Summary'!$R$55=2, V86, IF('Angioplasty Summary'!$R$55=1, T86)))</f>
        <v>0.22999999999999998</v>
      </c>
      <c r="AC86" s="98">
        <f>IF('Angioplasty Summary'!$R$55=3, Y86, IF('Angioplasty Summary'!$R$55=2, W86, IF('Angioplasty Summary'!$R$55=1, U86)))</f>
        <v>0</v>
      </c>
    </row>
    <row r="87" spans="1:29" x14ac:dyDescent="0.25">
      <c r="A87" s="96" t="s">
        <v>70</v>
      </c>
      <c r="B87" s="29" t="s">
        <v>71</v>
      </c>
      <c r="C87" s="97">
        <v>773</v>
      </c>
      <c r="D87" s="98">
        <v>0.98</v>
      </c>
      <c r="E87" s="98">
        <v>0.5</v>
      </c>
      <c r="F87" s="98">
        <v>0.92</v>
      </c>
      <c r="G87" s="99" t="s">
        <v>372</v>
      </c>
      <c r="H87" s="100">
        <v>2.1000000000000001E-2</v>
      </c>
      <c r="I87" s="101">
        <v>731</v>
      </c>
      <c r="J87" s="100">
        <v>0.23</v>
      </c>
      <c r="K87" s="30">
        <v>297</v>
      </c>
      <c r="L87" s="30" t="s">
        <v>327</v>
      </c>
      <c r="M87" s="96" t="s">
        <v>70</v>
      </c>
      <c r="N87" s="98">
        <v>0.97</v>
      </c>
      <c r="O87" s="98">
        <v>0.99</v>
      </c>
      <c r="P87" s="98">
        <v>0.46</v>
      </c>
      <c r="Q87" s="98">
        <v>0.53</v>
      </c>
      <c r="R87" s="98">
        <v>0.89</v>
      </c>
      <c r="S87" s="98">
        <v>0.93</v>
      </c>
      <c r="T87" s="98">
        <f t="shared" si="12"/>
        <v>1.0000000000000009E-2</v>
      </c>
      <c r="U87" s="98">
        <f t="shared" si="13"/>
        <v>1.0000000000000009E-2</v>
      </c>
      <c r="V87" s="98">
        <f t="shared" si="14"/>
        <v>3.999999999999998E-2</v>
      </c>
      <c r="W87" s="98">
        <f t="shared" si="15"/>
        <v>3.0000000000000027E-2</v>
      </c>
      <c r="X87" s="98">
        <f t="shared" si="16"/>
        <v>3.0000000000000027E-2</v>
      </c>
      <c r="Y87" s="98">
        <f t="shared" si="17"/>
        <v>1.0000000000000009E-2</v>
      </c>
      <c r="Z87" s="30">
        <f>IF('Angioplasty Summary'!$R$55=3, RANK(F87,F$2:F$92,1)+COUNTIF($F$2:F87,F87)-1, IF('Angioplasty Summary'!$R$55=2, RANK(E87,E$2:E$92,1)+COUNTIF($E$2:E87,E87)-1, IF('Angioplasty Summary'!$R$55=1, RANK(D87,D$2:D$92,1)+COUNTIF($D$2:D87,D87)-1)))</f>
        <v>35</v>
      </c>
      <c r="AA87" s="98">
        <f>IF('Angioplasty Summary'!$R$55=3, F87, IF('Angioplasty Summary'!$R$55=2, E87, IF('Angioplasty Summary'!$R$55=1, D87)))</f>
        <v>0.98</v>
      </c>
      <c r="AB87" s="98">
        <f>IF('Angioplasty Summary'!$R$55=3, X87, IF('Angioplasty Summary'!$R$55=2, V87, IF('Angioplasty Summary'!$R$55=1, T87)))</f>
        <v>1.0000000000000009E-2</v>
      </c>
      <c r="AC87" s="98">
        <f>IF('Angioplasty Summary'!$R$55=3, Y87, IF('Angioplasty Summary'!$R$55=2, W87, IF('Angioplasty Summary'!$R$55=1, U87)))</f>
        <v>1.0000000000000009E-2</v>
      </c>
    </row>
    <row r="88" spans="1:29" x14ac:dyDescent="0.25">
      <c r="A88" s="96" t="s">
        <v>58</v>
      </c>
      <c r="B88" s="29" t="s">
        <v>59</v>
      </c>
      <c r="C88" s="97">
        <v>1</v>
      </c>
      <c r="D88" s="98" t="s">
        <v>772</v>
      </c>
      <c r="E88" s="98" t="s">
        <v>772</v>
      </c>
      <c r="F88" s="98" t="s">
        <v>772</v>
      </c>
      <c r="G88" s="99" t="s">
        <v>772</v>
      </c>
      <c r="H88" s="100" t="e">
        <v>#N/A</v>
      </c>
      <c r="I88" s="101">
        <v>1</v>
      </c>
      <c r="J88" s="100" t="s">
        <v>772</v>
      </c>
      <c r="K88" s="30">
        <v>0</v>
      </c>
      <c r="L88" s="30" t="s">
        <v>772</v>
      </c>
      <c r="M88" s="96" t="s">
        <v>58</v>
      </c>
      <c r="N88" s="98" t="s">
        <v>772</v>
      </c>
      <c r="O88" s="98" t="s">
        <v>772</v>
      </c>
      <c r="P88" s="98" t="s">
        <v>772</v>
      </c>
      <c r="Q88" s="98" t="s">
        <v>772</v>
      </c>
      <c r="R88" s="98" t="s">
        <v>772</v>
      </c>
      <c r="S88" s="98" t="s">
        <v>772</v>
      </c>
      <c r="T88" s="98" t="e">
        <f t="shared" si="12"/>
        <v>#VALUE!</v>
      </c>
      <c r="U88" s="98" t="e">
        <f t="shared" si="13"/>
        <v>#VALUE!</v>
      </c>
      <c r="V88" s="98" t="e">
        <f t="shared" si="14"/>
        <v>#VALUE!</v>
      </c>
      <c r="W88" s="98" t="e">
        <f t="shared" si="15"/>
        <v>#VALUE!</v>
      </c>
      <c r="X88" s="98" t="e">
        <f t="shared" si="16"/>
        <v>#VALUE!</v>
      </c>
      <c r="Y88" s="98" t="e">
        <f t="shared" si="17"/>
        <v>#VALUE!</v>
      </c>
      <c r="Z88" s="30" t="e">
        <f>IF('Angioplasty Summary'!$R$55=3, RANK(F88,F$2:F$92,1)+COUNTIF($F$2:F88,F88)-1, IF('Angioplasty Summary'!$R$55=2, RANK(E88,E$2:E$92,1)+COUNTIF($E$2:E88,E88)-1, IF('Angioplasty Summary'!$R$55=1, RANK(D88,D$2:D$92,1)+COUNTIF($D$2:D88,D88)-1)))</f>
        <v>#VALUE!</v>
      </c>
      <c r="AA88" s="98" t="str">
        <f>IF('Angioplasty Summary'!$R$55=3, F88, IF('Angioplasty Summary'!$R$55=2, E88, IF('Angioplasty Summary'!$R$55=1, D88)))</f>
        <v>xx</v>
      </c>
      <c r="AB88" s="98" t="e">
        <f>IF('Angioplasty Summary'!$R$55=3, X88, IF('Angioplasty Summary'!$R$55=2, V88, IF('Angioplasty Summary'!$R$55=1, T88)))</f>
        <v>#VALUE!</v>
      </c>
      <c r="AC88" s="98" t="e">
        <f>IF('Angioplasty Summary'!$R$55=3, Y88, IF('Angioplasty Summary'!$R$55=2, W88, IF('Angioplasty Summary'!$R$55=1, U88)))</f>
        <v>#VALUE!</v>
      </c>
    </row>
    <row r="89" spans="1:29" x14ac:dyDescent="0.25">
      <c r="A89" s="96" t="s">
        <v>107</v>
      </c>
      <c r="B89" s="29" t="s">
        <v>108</v>
      </c>
      <c r="C89" s="97">
        <v>1086</v>
      </c>
      <c r="D89" s="98">
        <v>0.98</v>
      </c>
      <c r="E89" s="98">
        <v>0.57999999999999996</v>
      </c>
      <c r="F89" s="98">
        <v>0.88</v>
      </c>
      <c r="G89" s="99" t="s">
        <v>384</v>
      </c>
      <c r="H89" s="100">
        <v>8.9999999999999993E-3</v>
      </c>
      <c r="I89" s="101">
        <v>974</v>
      </c>
      <c r="J89" s="100">
        <v>6.7000000000000004E-2</v>
      </c>
      <c r="K89" s="30">
        <v>344</v>
      </c>
      <c r="L89" s="30" t="s">
        <v>325</v>
      </c>
      <c r="M89" s="96" t="s">
        <v>107</v>
      </c>
      <c r="N89" s="98">
        <v>0.97</v>
      </c>
      <c r="O89" s="98">
        <v>0.99</v>
      </c>
      <c r="P89" s="98">
        <v>0.55000000000000004</v>
      </c>
      <c r="Q89" s="98">
        <v>0.61</v>
      </c>
      <c r="R89" s="98">
        <v>0.86</v>
      </c>
      <c r="S89" s="98">
        <v>0.9</v>
      </c>
      <c r="T89" s="98">
        <f t="shared" si="12"/>
        <v>1.0000000000000009E-2</v>
      </c>
      <c r="U89" s="98">
        <f t="shared" si="13"/>
        <v>1.0000000000000009E-2</v>
      </c>
      <c r="V89" s="98">
        <f t="shared" si="14"/>
        <v>2.9999999999999916E-2</v>
      </c>
      <c r="W89" s="98">
        <f t="shared" si="15"/>
        <v>3.0000000000000027E-2</v>
      </c>
      <c r="X89" s="98">
        <f t="shared" si="16"/>
        <v>2.0000000000000018E-2</v>
      </c>
      <c r="Y89" s="98">
        <f t="shared" si="17"/>
        <v>2.0000000000000018E-2</v>
      </c>
      <c r="Z89" s="30">
        <f>IF('Angioplasty Summary'!$R$55=3, RANK(F89,F$2:F$92,1)+COUNTIF($F$2:F89,F89)-1, IF('Angioplasty Summary'!$R$55=2, RANK(E89,E$2:E$92,1)+COUNTIF($E$2:E89,E89)-1, IF('Angioplasty Summary'!$R$55=1, RANK(D89,D$2:D$92,1)+COUNTIF($D$2:D89,D89)-1)))</f>
        <v>36</v>
      </c>
      <c r="AA89" s="98">
        <f>IF('Angioplasty Summary'!$R$55=3, F89, IF('Angioplasty Summary'!$R$55=2, E89, IF('Angioplasty Summary'!$R$55=1, D89)))</f>
        <v>0.98</v>
      </c>
      <c r="AB89" s="98">
        <f>IF('Angioplasty Summary'!$R$55=3, X89, IF('Angioplasty Summary'!$R$55=2, V89, IF('Angioplasty Summary'!$R$55=1, T89)))</f>
        <v>1.0000000000000009E-2</v>
      </c>
      <c r="AC89" s="98">
        <f>IF('Angioplasty Summary'!$R$55=3, Y89, IF('Angioplasty Summary'!$R$55=2, W89, IF('Angioplasty Summary'!$R$55=1, U89)))</f>
        <v>1.0000000000000009E-2</v>
      </c>
    </row>
    <row r="90" spans="1:29" x14ac:dyDescent="0.25">
      <c r="A90" s="96" t="s">
        <v>307</v>
      </c>
      <c r="B90" s="29" t="s">
        <v>749</v>
      </c>
      <c r="C90" s="97">
        <v>13</v>
      </c>
      <c r="D90" s="98">
        <v>1</v>
      </c>
      <c r="E90" s="98">
        <v>1</v>
      </c>
      <c r="F90" s="98">
        <v>0.77</v>
      </c>
      <c r="G90" s="99" t="s">
        <v>361</v>
      </c>
      <c r="H90" s="100" t="e">
        <v>#N/A</v>
      </c>
      <c r="I90" s="101">
        <v>7</v>
      </c>
      <c r="J90" s="100">
        <v>0</v>
      </c>
      <c r="K90" s="30">
        <v>0</v>
      </c>
      <c r="L90" s="30" t="s">
        <v>772</v>
      </c>
      <c r="M90" s="96" t="s">
        <v>307</v>
      </c>
      <c r="N90" s="98">
        <v>0.75</v>
      </c>
      <c r="O90" s="98">
        <v>1</v>
      </c>
      <c r="P90" s="98">
        <v>0.75</v>
      </c>
      <c r="Q90" s="98">
        <v>1</v>
      </c>
      <c r="R90" s="98">
        <v>0.46</v>
      </c>
      <c r="S90" s="98">
        <v>0.95</v>
      </c>
      <c r="T90" s="98">
        <f t="shared" si="12"/>
        <v>0.25</v>
      </c>
      <c r="U90" s="98">
        <f t="shared" si="13"/>
        <v>0</v>
      </c>
      <c r="V90" s="98">
        <f t="shared" si="14"/>
        <v>0.25</v>
      </c>
      <c r="W90" s="98">
        <f t="shared" si="15"/>
        <v>0</v>
      </c>
      <c r="X90" s="98">
        <f t="shared" si="16"/>
        <v>0.31</v>
      </c>
      <c r="Y90" s="98">
        <f t="shared" si="17"/>
        <v>0.17999999999999994</v>
      </c>
      <c r="Z90" s="30">
        <f>IF('Angioplasty Summary'!$R$55=3, RANK(F90,F$2:F$92,1)+COUNTIF($F$2:F90,F90)-1, IF('Angioplasty Summary'!$R$55=2, RANK(E90,E$2:E$92,1)+COUNTIF($E$2:E90,E90)-1, IF('Angioplasty Summary'!$R$55=1, RANK(D90,D$2:D$92,1)+COUNTIF($D$2:D90,D90)-1)))</f>
        <v>72</v>
      </c>
      <c r="AA90" s="98">
        <f>IF('Angioplasty Summary'!$R$55=3, F90, IF('Angioplasty Summary'!$R$55=2, E90, IF('Angioplasty Summary'!$R$55=1, D90)))</f>
        <v>1</v>
      </c>
      <c r="AB90" s="98">
        <f>IF('Angioplasty Summary'!$R$55=3, X90, IF('Angioplasty Summary'!$R$55=2, V90, IF('Angioplasty Summary'!$R$55=1, T90)))</f>
        <v>0.25</v>
      </c>
      <c r="AC90" s="98">
        <f>IF('Angioplasty Summary'!$R$55=3, Y90, IF('Angioplasty Summary'!$R$55=2, W90, IF('Angioplasty Summary'!$R$55=1, U90)))</f>
        <v>0</v>
      </c>
    </row>
    <row r="91" spans="1:29" x14ac:dyDescent="0.25">
      <c r="A91" s="96" t="s">
        <v>77</v>
      </c>
      <c r="B91" s="29" t="s">
        <v>78</v>
      </c>
      <c r="C91" s="97">
        <v>107</v>
      </c>
      <c r="D91" s="98">
        <v>0.96</v>
      </c>
      <c r="E91" s="98">
        <v>0.48</v>
      </c>
      <c r="F91" s="98">
        <v>0.9</v>
      </c>
      <c r="G91" s="99" t="s">
        <v>355</v>
      </c>
      <c r="H91" s="100">
        <v>1.7000000000000001E-2</v>
      </c>
      <c r="I91" s="101">
        <v>98</v>
      </c>
      <c r="J91" s="100">
        <v>6.0999999999999999E-2</v>
      </c>
      <c r="K91" s="30">
        <v>37</v>
      </c>
      <c r="L91" s="30" t="s">
        <v>259</v>
      </c>
      <c r="M91" s="96" t="s">
        <v>77</v>
      </c>
      <c r="N91" s="98">
        <v>0.91</v>
      </c>
      <c r="O91" s="98">
        <v>0.99</v>
      </c>
      <c r="P91" s="98">
        <v>0.38</v>
      </c>
      <c r="Q91" s="98">
        <v>0.57999999999999996</v>
      </c>
      <c r="R91" s="98">
        <v>0.82</v>
      </c>
      <c r="S91" s="98">
        <v>0.95</v>
      </c>
      <c r="T91" s="98">
        <f t="shared" si="12"/>
        <v>4.9999999999999933E-2</v>
      </c>
      <c r="U91" s="98">
        <f t="shared" si="13"/>
        <v>3.0000000000000027E-2</v>
      </c>
      <c r="V91" s="98">
        <f t="shared" si="14"/>
        <v>9.9999999999999978E-2</v>
      </c>
      <c r="W91" s="98">
        <f t="shared" si="15"/>
        <v>9.9999999999999978E-2</v>
      </c>
      <c r="X91" s="98">
        <f t="shared" si="16"/>
        <v>8.0000000000000071E-2</v>
      </c>
      <c r="Y91" s="98">
        <f t="shared" si="17"/>
        <v>4.9999999999999933E-2</v>
      </c>
      <c r="Z91" s="30">
        <f>IF('Angioplasty Summary'!$R$55=3, RANK(F91,F$2:F$92,1)+COUNTIF($F$2:F91,F91)-1, IF('Angioplasty Summary'!$R$55=2, RANK(E91,E$2:E$92,1)+COUNTIF($E$2:E91,E91)-1, IF('Angioplasty Summary'!$R$55=1, RANK(D91,D$2:D$92,1)+COUNTIF($D$2:D91,D91)-1)))</f>
        <v>18</v>
      </c>
      <c r="AA91" s="98">
        <f>IF('Angioplasty Summary'!$R$55=3, F91, IF('Angioplasty Summary'!$R$55=2, E91, IF('Angioplasty Summary'!$R$55=1, D91)))</f>
        <v>0.96</v>
      </c>
      <c r="AB91" s="98">
        <f>IF('Angioplasty Summary'!$R$55=3, X91, IF('Angioplasty Summary'!$R$55=2, V91, IF('Angioplasty Summary'!$R$55=1, T91)))</f>
        <v>4.9999999999999933E-2</v>
      </c>
      <c r="AC91" s="98">
        <f>IF('Angioplasty Summary'!$R$55=3, Y91, IF('Angioplasty Summary'!$R$55=2, W91, IF('Angioplasty Summary'!$R$55=1, U91)))</f>
        <v>3.0000000000000027E-2</v>
      </c>
    </row>
    <row r="92" spans="1:29" x14ac:dyDescent="0.25">
      <c r="A92" s="96" t="s">
        <v>117</v>
      </c>
      <c r="B92" s="103" t="s">
        <v>773</v>
      </c>
      <c r="C92" s="97">
        <v>882</v>
      </c>
      <c r="D92" s="98">
        <v>0.99</v>
      </c>
      <c r="E92" s="98">
        <v>0.61</v>
      </c>
      <c r="F92" s="98">
        <v>0.95</v>
      </c>
      <c r="G92" s="99" t="s">
        <v>383</v>
      </c>
      <c r="H92" s="100">
        <v>1.0999999999999999E-2</v>
      </c>
      <c r="I92" s="101">
        <v>835</v>
      </c>
      <c r="J92" s="100">
        <v>0.113</v>
      </c>
      <c r="K92" s="30">
        <v>227</v>
      </c>
      <c r="L92" s="30" t="s">
        <v>764</v>
      </c>
      <c r="M92" s="96" t="s">
        <v>117</v>
      </c>
      <c r="N92" s="98">
        <v>0.98</v>
      </c>
      <c r="O92" s="98">
        <v>1</v>
      </c>
      <c r="P92" s="98">
        <v>0.57999999999999996</v>
      </c>
      <c r="Q92" s="98">
        <v>0.64</v>
      </c>
      <c r="R92" s="98">
        <v>0.93</v>
      </c>
      <c r="S92" s="98">
        <v>0.96</v>
      </c>
      <c r="T92" s="98">
        <f t="shared" si="12"/>
        <v>1.0000000000000009E-2</v>
      </c>
      <c r="U92" s="98">
        <f t="shared" si="13"/>
        <v>1.0000000000000009E-2</v>
      </c>
      <c r="V92" s="98">
        <f t="shared" si="14"/>
        <v>3.0000000000000027E-2</v>
      </c>
      <c r="W92" s="98">
        <f t="shared" si="15"/>
        <v>3.0000000000000027E-2</v>
      </c>
      <c r="X92" s="98">
        <f t="shared" si="16"/>
        <v>1.9999999999999907E-2</v>
      </c>
      <c r="Y92" s="98">
        <f t="shared" si="17"/>
        <v>1.0000000000000009E-2</v>
      </c>
      <c r="Z92" s="30">
        <f>IF('Angioplasty Summary'!$R$55=3, RANK(F92,F$2:F$92,1)+COUNTIF($F$2:F92,F92)-1, IF('Angioplasty Summary'!$R$55=2, RANK(E92,E$2:E$92,1)+COUNTIF($E$2:E92,E92)-1, IF('Angioplasty Summary'!$R$55=1, RANK(D92,D$2:D$92,1)+COUNTIF($D$2:D92,D92)-1)))</f>
        <v>45</v>
      </c>
      <c r="AA92" s="98">
        <f>IF('Angioplasty Summary'!$R$55=3, F92, IF('Angioplasty Summary'!$R$55=2, E92, IF('Angioplasty Summary'!$R$55=1, D92)))</f>
        <v>0.99</v>
      </c>
      <c r="AB92" s="98">
        <f>IF('Angioplasty Summary'!$R$55=3, X92, IF('Angioplasty Summary'!$R$55=2, V92, IF('Angioplasty Summary'!$R$55=1, T92)))</f>
        <v>1.0000000000000009E-2</v>
      </c>
      <c r="AC92" s="98">
        <f>IF('Angioplasty Summary'!$R$55=3, Y92, IF('Angioplasty Summary'!$R$55=2, W92, IF('Angioplasty Summary'!$R$55=1, U92)))</f>
        <v>1.0000000000000009E-2</v>
      </c>
    </row>
    <row r="93" spans="1:29" x14ac:dyDescent="0.25">
      <c r="A93" s="1" t="s">
        <v>134</v>
      </c>
      <c r="B93" s="1" t="s">
        <v>135</v>
      </c>
      <c r="C93" s="5">
        <v>0</v>
      </c>
      <c r="D93" s="5" t="s">
        <v>772</v>
      </c>
      <c r="E93" t="s">
        <v>772</v>
      </c>
      <c r="F93" t="s">
        <v>772</v>
      </c>
      <c r="G93" s="13" t="s">
        <v>772</v>
      </c>
      <c r="H93" t="e">
        <v>#N/A</v>
      </c>
      <c r="I93" s="101">
        <v>0</v>
      </c>
      <c r="J93" s="101" t="s">
        <v>772</v>
      </c>
      <c r="K93" s="30">
        <v>0</v>
      </c>
      <c r="L93" s="30" t="s">
        <v>772</v>
      </c>
      <c r="M93" t="s">
        <v>134</v>
      </c>
      <c r="N93" t="s">
        <v>772</v>
      </c>
      <c r="O93" t="s">
        <v>772</v>
      </c>
      <c r="P93" t="s">
        <v>772</v>
      </c>
      <c r="Q93" t="s">
        <v>772</v>
      </c>
      <c r="R93" t="s">
        <v>772</v>
      </c>
      <c r="S93" t="s">
        <v>772</v>
      </c>
      <c r="T93" s="98" t="e">
        <f t="shared" si="12"/>
        <v>#VALUE!</v>
      </c>
      <c r="U93" s="98" t="e">
        <f t="shared" si="13"/>
        <v>#VALUE!</v>
      </c>
      <c r="V93" s="98" t="e">
        <f t="shared" si="14"/>
        <v>#VALUE!</v>
      </c>
      <c r="W93" s="98" t="e">
        <f t="shared" si="15"/>
        <v>#VALUE!</v>
      </c>
      <c r="X93" s="98" t="e">
        <f t="shared" si="16"/>
        <v>#VALUE!</v>
      </c>
      <c r="Y93" s="98" t="e">
        <f t="shared" si="17"/>
        <v>#VALUE!</v>
      </c>
      <c r="Z93" s="30" t="e">
        <f>IF('Angioplasty Summary'!$R$55=3, RANK(F93,F$2:F$92,1)+COUNTIF($F$2:F93,F93)-1, IF('Angioplasty Summary'!$R$55=2, RANK(E93,E$2:E$92,1)+COUNTIF($E$2:E93,E93)-1, IF('Angioplasty Summary'!$R$55=1, RANK(D93,D$2:D$92,1)+COUNTIF($D$2:D93,D93)-1)))</f>
        <v>#VALUE!</v>
      </c>
      <c r="AA93" s="98" t="str">
        <f>IF('Angioplasty Summary'!$R$55=3, F93, IF('Angioplasty Summary'!$R$55=2, E93, IF('Angioplasty Summary'!$R$55=1, D93)))</f>
        <v>xx</v>
      </c>
      <c r="AB93" s="98" t="e">
        <f>IF('Angioplasty Summary'!$R$55=3, X93, IF('Angioplasty Summary'!$R$55=2, V93, IF('Angioplasty Summary'!$R$55=1, T93)))</f>
        <v>#VALUE!</v>
      </c>
      <c r="AC93" s="98" t="e">
        <f>IF('Angioplasty Summary'!$R$55=3, Y93, IF('Angioplasty Summary'!$R$55=2, W93, IF('Angioplasty Summary'!$R$55=1, U93)))</f>
        <v>#VALUE!</v>
      </c>
    </row>
    <row r="94" spans="1:29" x14ac:dyDescent="0.25">
      <c r="A94" s="96" t="s">
        <v>76</v>
      </c>
      <c r="B94" s="29" t="s">
        <v>215</v>
      </c>
      <c r="C94" s="97">
        <v>55</v>
      </c>
      <c r="D94" s="98">
        <v>1</v>
      </c>
      <c r="E94" s="98">
        <v>0.67</v>
      </c>
      <c r="F94" s="98">
        <v>0.85</v>
      </c>
      <c r="G94" s="99" t="s">
        <v>375</v>
      </c>
      <c r="H94" s="100" t="e">
        <v>#N/A</v>
      </c>
      <c r="I94" s="101">
        <v>47</v>
      </c>
      <c r="J94" s="100">
        <v>6.4000000000000001E-2</v>
      </c>
      <c r="K94" s="30">
        <v>14</v>
      </c>
      <c r="L94" s="30" t="s">
        <v>248</v>
      </c>
      <c r="M94" s="96" t="s">
        <v>76</v>
      </c>
      <c r="N94" s="98">
        <v>0.94</v>
      </c>
      <c r="O94" s="98">
        <v>1</v>
      </c>
      <c r="P94" s="98">
        <v>0.53</v>
      </c>
      <c r="Q94" s="98">
        <v>0.79</v>
      </c>
      <c r="R94" s="98">
        <v>0.73</v>
      </c>
      <c r="S94" s="98">
        <v>0.94</v>
      </c>
      <c r="T94" s="98">
        <f t="shared" si="12"/>
        <v>6.0000000000000053E-2</v>
      </c>
      <c r="U94" s="98">
        <f t="shared" si="13"/>
        <v>0</v>
      </c>
      <c r="V94" s="98">
        <f t="shared" si="14"/>
        <v>0.14000000000000001</v>
      </c>
      <c r="W94" s="98">
        <f t="shared" si="15"/>
        <v>0.12</v>
      </c>
      <c r="X94" s="98">
        <f t="shared" si="16"/>
        <v>0.12</v>
      </c>
      <c r="Y94" s="98">
        <f t="shared" si="17"/>
        <v>8.9999999999999969E-2</v>
      </c>
      <c r="Z94" s="30">
        <f>IF('Angioplasty Summary'!$R$55=3, RANK(F94,F$2:F$92,1)+COUNTIF($F$2:F94,F94)-1, IF('Angioplasty Summary'!$R$55=2, RANK(E94,E$2:E$92,1)+COUNTIF($E$2:E94,E94)-1, IF('Angioplasty Summary'!$R$55=1, RANK(D94,D$2:D$92,1)+COUNTIF($D$2:D94,D94)-1)))</f>
        <v>73</v>
      </c>
      <c r="AA94" s="98">
        <f>IF('Angioplasty Summary'!$R$55=3, F94, IF('Angioplasty Summary'!$R$55=2, E94, IF('Angioplasty Summary'!$R$55=1, D94)))</f>
        <v>1</v>
      </c>
      <c r="AB94" s="98">
        <f>IF('Angioplasty Summary'!$R$55=3, X94, IF('Angioplasty Summary'!$R$55=2, V94, IF('Angioplasty Summary'!$R$55=1, T94)))</f>
        <v>6.0000000000000053E-2</v>
      </c>
      <c r="AC94" s="98">
        <f>IF('Angioplasty Summary'!$R$55=3, Y94, IF('Angioplasty Summary'!$R$55=2, W94, IF('Angioplasty Summary'!$R$55=1, U94)))</f>
        <v>0</v>
      </c>
    </row>
    <row r="95" spans="1:29" x14ac:dyDescent="0.25">
      <c r="A95" s="96" t="s">
        <v>136</v>
      </c>
      <c r="B95" s="29" t="s">
        <v>137</v>
      </c>
      <c r="C95" s="97">
        <v>158</v>
      </c>
      <c r="D95" s="98">
        <v>0.97</v>
      </c>
      <c r="E95" s="98">
        <v>0.51</v>
      </c>
      <c r="F95" s="98">
        <v>0.93</v>
      </c>
      <c r="G95" s="99" t="s">
        <v>390</v>
      </c>
      <c r="H95" s="100">
        <v>8.0000000000000002E-3</v>
      </c>
      <c r="I95" s="101">
        <v>137</v>
      </c>
      <c r="J95" s="100">
        <v>0.182</v>
      </c>
      <c r="K95" s="30">
        <v>31</v>
      </c>
      <c r="L95" s="30" t="s">
        <v>517</v>
      </c>
      <c r="M95" s="96" t="s">
        <v>136</v>
      </c>
      <c r="N95" s="98">
        <v>0.93</v>
      </c>
      <c r="O95" s="98">
        <v>0.99</v>
      </c>
      <c r="P95" s="98">
        <v>0.43</v>
      </c>
      <c r="Q95" s="98">
        <v>0.59</v>
      </c>
      <c r="R95" s="98">
        <v>0.88</v>
      </c>
      <c r="S95" s="98">
        <v>0.97</v>
      </c>
      <c r="T95" s="98">
        <f t="shared" si="12"/>
        <v>3.9999999999999925E-2</v>
      </c>
      <c r="U95" s="98">
        <f t="shared" si="13"/>
        <v>2.0000000000000018E-2</v>
      </c>
      <c r="V95" s="98">
        <f t="shared" si="14"/>
        <v>8.0000000000000016E-2</v>
      </c>
      <c r="W95" s="98">
        <f t="shared" si="15"/>
        <v>7.999999999999996E-2</v>
      </c>
      <c r="X95" s="98">
        <f t="shared" si="16"/>
        <v>5.0000000000000044E-2</v>
      </c>
      <c r="Y95" s="98">
        <f t="shared" si="17"/>
        <v>3.9999999999999925E-2</v>
      </c>
      <c r="Z95" s="30">
        <f>IF('Angioplasty Summary'!$R$55=3, RANK(F95,F$2:F$92,1)+COUNTIF($F$2:F95,F95)-1, IF('Angioplasty Summary'!$R$55=2, RANK(E95,E$2:E$92,1)+COUNTIF($E$2:E95,E95)-1, IF('Angioplasty Summary'!$R$55=1, RANK(D95,D$2:D$92,1)+COUNTIF($D$2:D95,D95)-1)))</f>
        <v>26</v>
      </c>
      <c r="AA95" s="98">
        <f>IF('Angioplasty Summary'!$R$55=3, F95, IF('Angioplasty Summary'!$R$55=2, E95, IF('Angioplasty Summary'!$R$55=1, D95)))</f>
        <v>0.97</v>
      </c>
      <c r="AB95" s="98">
        <f>IF('Angioplasty Summary'!$R$55=3, X95, IF('Angioplasty Summary'!$R$55=2, V95, IF('Angioplasty Summary'!$R$55=1, T95)))</f>
        <v>3.9999999999999925E-2</v>
      </c>
      <c r="AC95" s="98">
        <f>IF('Angioplasty Summary'!$R$55=3, Y95, IF('Angioplasty Summary'!$R$55=2, W95, IF('Angioplasty Summary'!$R$55=1, U95)))</f>
        <v>2.0000000000000018E-2</v>
      </c>
    </row>
    <row r="96" spans="1:29" x14ac:dyDescent="0.25">
      <c r="A96" s="96" t="s">
        <v>52</v>
      </c>
      <c r="B96" s="29" t="s">
        <v>53</v>
      </c>
      <c r="C96" s="97">
        <v>3</v>
      </c>
      <c r="D96" s="98" t="s">
        <v>772</v>
      </c>
      <c r="E96" s="98" t="s">
        <v>772</v>
      </c>
      <c r="F96" s="98" t="s">
        <v>772</v>
      </c>
      <c r="G96" s="99" t="s">
        <v>772</v>
      </c>
      <c r="H96" s="100" t="e">
        <v>#N/A</v>
      </c>
      <c r="I96" s="101">
        <v>3</v>
      </c>
      <c r="J96" s="100" t="s">
        <v>772</v>
      </c>
      <c r="K96" s="30">
        <v>0</v>
      </c>
      <c r="L96" s="30" t="s">
        <v>772</v>
      </c>
      <c r="M96" s="96" t="s">
        <v>52</v>
      </c>
      <c r="N96" s="98" t="s">
        <v>772</v>
      </c>
      <c r="O96" s="98" t="s">
        <v>772</v>
      </c>
      <c r="P96" s="98" t="s">
        <v>772</v>
      </c>
      <c r="Q96" s="98" t="s">
        <v>772</v>
      </c>
      <c r="R96" s="98" t="s">
        <v>772</v>
      </c>
      <c r="S96" s="98" t="s">
        <v>772</v>
      </c>
      <c r="T96" s="98" t="e">
        <f t="shared" si="12"/>
        <v>#VALUE!</v>
      </c>
      <c r="U96" s="98" t="e">
        <f t="shared" si="13"/>
        <v>#VALUE!</v>
      </c>
      <c r="V96" s="98" t="e">
        <f t="shared" si="14"/>
        <v>#VALUE!</v>
      </c>
      <c r="W96" s="98" t="e">
        <f t="shared" si="15"/>
        <v>#VALUE!</v>
      </c>
      <c r="X96" s="98" t="e">
        <f t="shared" si="16"/>
        <v>#VALUE!</v>
      </c>
      <c r="Y96" s="98" t="e">
        <f t="shared" si="17"/>
        <v>#VALUE!</v>
      </c>
      <c r="Z96" s="30" t="e">
        <f>IF('Angioplasty Summary'!$R$55=3, RANK(F96,F$2:F$92,1)+COUNTIF($F$2:F96,F96)-1, IF('Angioplasty Summary'!$R$55=2, RANK(E96,E$2:E$92,1)+COUNTIF($E$2:E96,E96)-1, IF('Angioplasty Summary'!$R$55=1, RANK(D96,D$2:D$92,1)+COUNTIF($D$2:D96,D96)-1)))</f>
        <v>#VALUE!</v>
      </c>
      <c r="AA96" s="98" t="str">
        <f>IF('Angioplasty Summary'!$R$55=3, F96, IF('Angioplasty Summary'!$R$55=2, E96, IF('Angioplasty Summary'!$R$55=1, D96)))</f>
        <v>xx</v>
      </c>
      <c r="AB96" s="98" t="e">
        <f>IF('Angioplasty Summary'!$R$55=3, X96, IF('Angioplasty Summary'!$R$55=2, V96, IF('Angioplasty Summary'!$R$55=1, T96)))</f>
        <v>#VALUE!</v>
      </c>
      <c r="AC96" s="98" t="e">
        <f>IF('Angioplasty Summary'!$R$55=3, Y96, IF('Angioplasty Summary'!$R$55=2, W96, IF('Angioplasty Summary'!$R$55=1, U96)))</f>
        <v>#VALUE!</v>
      </c>
    </row>
    <row r="97" spans="1:29" x14ac:dyDescent="0.25">
      <c r="A97" s="96" t="s">
        <v>140</v>
      </c>
      <c r="B97" s="29" t="s">
        <v>141</v>
      </c>
      <c r="C97" s="97">
        <v>559</v>
      </c>
      <c r="D97" s="98">
        <v>1</v>
      </c>
      <c r="E97" s="98">
        <v>0.26</v>
      </c>
      <c r="F97" s="98">
        <v>0.87</v>
      </c>
      <c r="G97" s="99" t="s">
        <v>391</v>
      </c>
      <c r="H97" s="100">
        <v>2.3E-2</v>
      </c>
      <c r="I97" s="101">
        <v>553</v>
      </c>
      <c r="J97" s="100">
        <v>0.108</v>
      </c>
      <c r="K97" s="30">
        <v>31</v>
      </c>
      <c r="L97" s="30" t="s">
        <v>663</v>
      </c>
      <c r="M97" s="96" t="s">
        <v>140</v>
      </c>
      <c r="N97" s="98">
        <v>0.99</v>
      </c>
      <c r="O97" s="98">
        <v>1</v>
      </c>
      <c r="P97" s="98">
        <v>0.22</v>
      </c>
      <c r="Q97" s="98">
        <v>0.3</v>
      </c>
      <c r="R97" s="98">
        <v>0.83</v>
      </c>
      <c r="S97" s="98">
        <v>0.89</v>
      </c>
      <c r="T97" s="98">
        <f t="shared" si="12"/>
        <v>1.0000000000000009E-2</v>
      </c>
      <c r="U97" s="98">
        <f t="shared" si="13"/>
        <v>0</v>
      </c>
      <c r="V97" s="98">
        <f t="shared" si="14"/>
        <v>4.0000000000000008E-2</v>
      </c>
      <c r="W97" s="98">
        <f t="shared" si="15"/>
        <v>3.999999999999998E-2</v>
      </c>
      <c r="X97" s="98">
        <f t="shared" si="16"/>
        <v>4.0000000000000036E-2</v>
      </c>
      <c r="Y97" s="98">
        <f t="shared" si="17"/>
        <v>2.0000000000000018E-2</v>
      </c>
      <c r="Z97" s="30">
        <f>IF('Angioplasty Summary'!$R$55=3, RANK(F97,F$2:F$92,1)+COUNTIF($F$2:F97,F97)-1, IF('Angioplasty Summary'!$R$55=2, RANK(E97,E$2:E$92,1)+COUNTIF($E$2:E97,E97)-1, IF('Angioplasty Summary'!$R$55=1, RANK(D97,D$2:D$92,1)+COUNTIF($D$2:D97,D97)-1)))</f>
        <v>74</v>
      </c>
      <c r="AA97" s="98">
        <f>IF('Angioplasty Summary'!$R$55=3, F97, IF('Angioplasty Summary'!$R$55=2, E97, IF('Angioplasty Summary'!$R$55=1, D97)))</f>
        <v>1</v>
      </c>
      <c r="AB97" s="98">
        <f>IF('Angioplasty Summary'!$R$55=3, X97, IF('Angioplasty Summary'!$R$55=2, V97, IF('Angioplasty Summary'!$R$55=1, T97)))</f>
        <v>1.0000000000000009E-2</v>
      </c>
      <c r="AC97" s="98">
        <f>IF('Angioplasty Summary'!$R$55=3, Y97, IF('Angioplasty Summary'!$R$55=2, W97, IF('Angioplasty Summary'!$R$55=1, U97)))</f>
        <v>0</v>
      </c>
    </row>
    <row r="98" spans="1:29" x14ac:dyDescent="0.25">
      <c r="A98" s="96" t="s">
        <v>35</v>
      </c>
      <c r="B98" s="29" t="s">
        <v>36</v>
      </c>
      <c r="C98" s="97">
        <v>1437</v>
      </c>
      <c r="D98" s="98">
        <v>0.99</v>
      </c>
      <c r="E98" s="98">
        <v>0.69</v>
      </c>
      <c r="F98" s="98">
        <v>0.9</v>
      </c>
      <c r="G98" s="99" t="s">
        <v>367</v>
      </c>
      <c r="H98" s="100">
        <v>1.4999999999999999E-2</v>
      </c>
      <c r="I98" s="101">
        <v>1222</v>
      </c>
      <c r="J98" s="100">
        <v>7.2999999999999995E-2</v>
      </c>
      <c r="K98" s="30">
        <v>376</v>
      </c>
      <c r="L98" s="30" t="s">
        <v>377</v>
      </c>
      <c r="M98" s="96" t="s">
        <v>35</v>
      </c>
      <c r="N98" s="98">
        <v>0.98</v>
      </c>
      <c r="O98" s="98">
        <v>0.99</v>
      </c>
      <c r="P98" s="98">
        <v>0.66</v>
      </c>
      <c r="Q98" s="98">
        <v>0.71</v>
      </c>
      <c r="R98" s="98">
        <v>0.89</v>
      </c>
      <c r="S98" s="98">
        <v>0.92</v>
      </c>
      <c r="T98" s="98">
        <f t="shared" si="12"/>
        <v>1.0000000000000009E-2</v>
      </c>
      <c r="U98" s="98">
        <f t="shared" si="13"/>
        <v>0</v>
      </c>
      <c r="V98" s="98">
        <f t="shared" si="14"/>
        <v>2.9999999999999916E-2</v>
      </c>
      <c r="W98" s="98">
        <f t="shared" si="15"/>
        <v>2.0000000000000018E-2</v>
      </c>
      <c r="X98" s="98">
        <f t="shared" si="16"/>
        <v>1.0000000000000009E-2</v>
      </c>
      <c r="Y98" s="98">
        <f t="shared" si="17"/>
        <v>2.0000000000000018E-2</v>
      </c>
      <c r="Z98" s="30">
        <f>IF('Angioplasty Summary'!$R$55=3, RANK(F98,F$2:F$92,1)+COUNTIF($F$2:F98,F98)-1, IF('Angioplasty Summary'!$R$55=2, RANK(E98,E$2:E$92,1)+COUNTIF($E$2:E98,E98)-1, IF('Angioplasty Summary'!$R$55=1, RANK(D98,D$2:D$92,1)+COUNTIF($D$2:D98,D98)-1)))</f>
        <v>46</v>
      </c>
      <c r="AA98" s="98">
        <f>IF('Angioplasty Summary'!$R$55=3, F98, IF('Angioplasty Summary'!$R$55=2, E98, IF('Angioplasty Summary'!$R$55=1, D98)))</f>
        <v>0.99</v>
      </c>
      <c r="AB98" s="98">
        <f>IF('Angioplasty Summary'!$R$55=3, X98, IF('Angioplasty Summary'!$R$55=2, V98, IF('Angioplasty Summary'!$R$55=1, T98)))</f>
        <v>1.0000000000000009E-2</v>
      </c>
      <c r="AC98" s="98">
        <f>IF('Angioplasty Summary'!$R$55=3, Y98, IF('Angioplasty Summary'!$R$55=2, W98, IF('Angioplasty Summary'!$R$55=1, U98)))</f>
        <v>0</v>
      </c>
    </row>
  </sheetData>
  <sortState ref="A2:AC98">
    <sortCondition ref="B2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workbookViewId="0">
      <pane xSplit="1" ySplit="7" topLeftCell="H38" activePane="bottomRight" state="frozen"/>
      <selection pane="topRight" activeCell="B1" sqref="B1"/>
      <selection pane="bottomLeft" activeCell="A2" sqref="A2"/>
      <selection pane="bottomRight" activeCell="T3" sqref="T3"/>
    </sheetView>
  </sheetViews>
  <sheetFormatPr defaultRowHeight="15" x14ac:dyDescent="0.25"/>
  <cols>
    <col min="1" max="1" width="10.85546875" customWidth="1"/>
    <col min="2" max="2" width="63.7109375" bestFit="1" customWidth="1"/>
    <col min="3" max="3" width="11.85546875" customWidth="1"/>
    <col min="4" max="4" width="13.42578125" customWidth="1"/>
    <col min="5" max="5" width="12.5703125" customWidth="1"/>
    <col min="6" max="6" width="16.42578125" customWidth="1"/>
    <col min="7" max="7" width="22" customWidth="1"/>
    <col min="8" max="8" width="13.28515625" customWidth="1"/>
    <col min="9" max="9" width="19.85546875" customWidth="1"/>
    <col min="10" max="10" width="20.85546875" customWidth="1"/>
    <col min="11" max="11" width="18.28515625" customWidth="1"/>
    <col min="12" max="12" width="17.42578125" customWidth="1"/>
    <col min="13" max="13" width="10.85546875" customWidth="1"/>
  </cols>
  <sheetData>
    <row r="1" spans="1:20" x14ac:dyDescent="0.25">
      <c r="A1">
        <v>0</v>
      </c>
      <c r="B1" t="s">
        <v>872</v>
      </c>
      <c r="E1">
        <f t="shared" ref="E1:H5" si="0">QUARTILE(E$8:E$83,$A1)</f>
        <v>0.31</v>
      </c>
      <c r="F1">
        <f t="shared" si="0"/>
        <v>0</v>
      </c>
      <c r="G1">
        <f t="shared" si="0"/>
        <v>0.27</v>
      </c>
      <c r="H1">
        <f t="shared" si="0"/>
        <v>0.19</v>
      </c>
    </row>
    <row r="2" spans="1:20" x14ac:dyDescent="0.25">
      <c r="A2">
        <v>1</v>
      </c>
      <c r="B2" t="s">
        <v>873</v>
      </c>
      <c r="E2">
        <f t="shared" si="0"/>
        <v>0.88500000000000001</v>
      </c>
      <c r="F2">
        <f t="shared" si="0"/>
        <v>0.97</v>
      </c>
      <c r="G2">
        <f t="shared" si="0"/>
        <v>0.82</v>
      </c>
      <c r="H2">
        <f t="shared" si="0"/>
        <v>0.745</v>
      </c>
    </row>
    <row r="3" spans="1:20" x14ac:dyDescent="0.25">
      <c r="A3">
        <v>2</v>
      </c>
      <c r="B3" t="s">
        <v>874</v>
      </c>
      <c r="E3">
        <f t="shared" si="0"/>
        <v>0.95</v>
      </c>
      <c r="F3">
        <f t="shared" si="0"/>
        <v>0.99</v>
      </c>
      <c r="G3">
        <f t="shared" si="0"/>
        <v>0.91</v>
      </c>
      <c r="H3">
        <f t="shared" si="0"/>
        <v>0.91</v>
      </c>
    </row>
    <row r="4" spans="1:20" x14ac:dyDescent="0.25">
      <c r="A4">
        <v>3</v>
      </c>
      <c r="B4" t="s">
        <v>875</v>
      </c>
      <c r="E4">
        <f t="shared" si="0"/>
        <v>1</v>
      </c>
      <c r="F4">
        <f t="shared" si="0"/>
        <v>1</v>
      </c>
      <c r="G4">
        <f t="shared" si="0"/>
        <v>0.97</v>
      </c>
      <c r="H4">
        <f t="shared" si="0"/>
        <v>0.95499999999999996</v>
      </c>
    </row>
    <row r="5" spans="1:20" x14ac:dyDescent="0.25">
      <c r="A5">
        <v>4</v>
      </c>
      <c r="B5" t="s">
        <v>876</v>
      </c>
      <c r="E5">
        <f t="shared" si="0"/>
        <v>1</v>
      </c>
      <c r="F5">
        <f t="shared" si="0"/>
        <v>1</v>
      </c>
      <c r="G5">
        <f t="shared" si="0"/>
        <v>1</v>
      </c>
      <c r="H5">
        <f t="shared" si="0"/>
        <v>1</v>
      </c>
    </row>
    <row r="7" spans="1:20" ht="75" x14ac:dyDescent="0.25">
      <c r="A7" s="12" t="s">
        <v>189</v>
      </c>
      <c r="B7" s="12" t="s">
        <v>183</v>
      </c>
      <c r="C7" s="11" t="s">
        <v>197</v>
      </c>
      <c r="D7" s="11" t="s">
        <v>198</v>
      </c>
      <c r="E7" s="12" t="s">
        <v>205</v>
      </c>
      <c r="F7" s="11" t="s">
        <v>199</v>
      </c>
      <c r="G7" s="11" t="s">
        <v>200</v>
      </c>
      <c r="H7" s="11" t="s">
        <v>201</v>
      </c>
      <c r="I7" s="12" t="s">
        <v>202</v>
      </c>
      <c r="J7" s="12" t="s">
        <v>203</v>
      </c>
      <c r="K7" s="12" t="s">
        <v>204</v>
      </c>
      <c r="L7" s="12" t="s">
        <v>588</v>
      </c>
      <c r="M7" s="12" t="s">
        <v>189</v>
      </c>
      <c r="N7" s="34" t="s">
        <v>881</v>
      </c>
      <c r="O7" s="53" t="s">
        <v>882</v>
      </c>
      <c r="P7" s="53" t="s">
        <v>883</v>
      </c>
      <c r="Q7" s="53" t="s">
        <v>884</v>
      </c>
      <c r="R7" s="53" t="s">
        <v>1004</v>
      </c>
      <c r="S7" s="53" t="s">
        <v>1005</v>
      </c>
      <c r="T7" s="129" t="s">
        <v>1151</v>
      </c>
    </row>
    <row r="8" spans="1:20" x14ac:dyDescent="0.25">
      <c r="A8" s="10" t="s">
        <v>9</v>
      </c>
      <c r="B8" s="4" t="s">
        <v>10</v>
      </c>
      <c r="C8" s="6">
        <v>40</v>
      </c>
      <c r="D8" s="6">
        <v>25</v>
      </c>
      <c r="E8" s="9">
        <v>0.85</v>
      </c>
      <c r="F8" s="9">
        <v>1</v>
      </c>
      <c r="G8" s="9">
        <v>0.82</v>
      </c>
      <c r="H8" s="9">
        <v>0.88</v>
      </c>
      <c r="I8" s="10" t="s">
        <v>724</v>
      </c>
      <c r="J8" s="10" t="s">
        <v>594</v>
      </c>
      <c r="K8" s="10" t="s">
        <v>298</v>
      </c>
      <c r="L8" s="23">
        <v>8.0000000000000002E-3</v>
      </c>
      <c r="M8" s="10" t="s">
        <v>9</v>
      </c>
      <c r="N8">
        <f>+IF(E8&lt;E$2,1,IF(E8&lt;E$3,2,IF(E8&lt;E$4,3,4)))</f>
        <v>1</v>
      </c>
      <c r="O8">
        <f t="shared" ref="O8:O71" si="1">+IF(F8&lt;F$2,1,IF(F8&lt;F$3,2,IF(F8&lt;F$4,3,4)))</f>
        <v>4</v>
      </c>
      <c r="P8">
        <f t="shared" ref="P8:P71" si="2">+IF(G8&lt;G$2,1,IF(G8&lt;G$3,2,IF(G8&lt;G$4,3,4)))</f>
        <v>2</v>
      </c>
      <c r="Q8">
        <f t="shared" ref="Q8:Q71" si="3">+IF(H8&lt;H$2,1,IF(H8&lt;H$3,2,IF(H8&lt;H$4,3,4)))</f>
        <v>2</v>
      </c>
      <c r="R8" s="32">
        <f>IF('AAA Summary'!$L$35=4, RANK(H8,H$8:H$83,1)+COUNTIF($H$8:H8,H8)-1, IF('AAA Summary'!$L$35=3, RANK(G8,G$8:G$83,1)+COUNTIF($G$8:G8,G8)-1, IF('AAA Summary'!$L$35=2, RANK(F8,F$8:F$83,1)+COUNTIF($F$8:F8,F8)-1, IF('AAA Summary'!$L$35=1, RANK(E8,E$8:E$83,1)+COUNTIF($E$8:E8,E8)-1))))</f>
        <v>15</v>
      </c>
      <c r="S8" s="66">
        <f>IF('AAA Summary'!$L$35=4, H8, IF('AAA Summary'!$L$35=3, G8, IF('AAA Summary'!$L$35=2, F8, IF('AAA Summary'!$L$35=1, E8))))</f>
        <v>0.85</v>
      </c>
      <c r="T8">
        <v>3</v>
      </c>
    </row>
    <row r="9" spans="1:20" x14ac:dyDescent="0.25">
      <c r="A9" s="10" t="s">
        <v>120</v>
      </c>
      <c r="B9" s="4" t="s">
        <v>121</v>
      </c>
      <c r="C9" s="6">
        <v>27</v>
      </c>
      <c r="D9" s="6">
        <v>24</v>
      </c>
      <c r="E9" s="9">
        <v>1</v>
      </c>
      <c r="F9" s="9">
        <v>0.96</v>
      </c>
      <c r="G9" s="9">
        <v>0.83</v>
      </c>
      <c r="H9" s="9">
        <v>0.7</v>
      </c>
      <c r="I9" s="10" t="s">
        <v>641</v>
      </c>
      <c r="J9" s="10" t="s">
        <v>772</v>
      </c>
      <c r="K9" s="10" t="s">
        <v>279</v>
      </c>
      <c r="L9" s="23">
        <v>8.0000000000000002E-3</v>
      </c>
      <c r="M9" s="10" t="s">
        <v>120</v>
      </c>
      <c r="N9">
        <f t="shared" ref="N9:N72" si="4">+IF(E9&lt;E$2,1,IF(E9&lt;E$3,2,IF(E9&lt;E$4,3,4)))</f>
        <v>4</v>
      </c>
      <c r="O9">
        <f t="shared" si="1"/>
        <v>1</v>
      </c>
      <c r="P9">
        <f t="shared" si="2"/>
        <v>2</v>
      </c>
      <c r="Q9">
        <f t="shared" si="3"/>
        <v>1</v>
      </c>
      <c r="R9" s="32">
        <f>IF('AAA Summary'!$L$35=4, RANK(H9,H$8:H$83,1)+COUNTIF($H$8:H9,H9)-1, IF('AAA Summary'!$L$35=3, RANK(G9,G$8:G$83,1)+COUNTIF($G$8:G9,G9)-1, IF('AAA Summary'!$L$35=2, RANK(F9,F$8:F$83,1)+COUNTIF($F$8:F9,F9)-1, IF('AAA Summary'!$L$35=1, RANK(E9,E$8:E$83,1)+COUNTIF($E$8:E9,E9)-1))))</f>
        <v>56</v>
      </c>
      <c r="S9" s="66">
        <f>IF('AAA Summary'!$L$35=4, H9, IF('AAA Summary'!$L$35=3, G9, IF('AAA Summary'!$L$35=2, F9, IF('AAA Summary'!$L$35=1, E9))))</f>
        <v>1</v>
      </c>
      <c r="T9">
        <v>3</v>
      </c>
    </row>
    <row r="10" spans="1:20" x14ac:dyDescent="0.25">
      <c r="A10" s="10" t="s">
        <v>48</v>
      </c>
      <c r="B10" s="4" t="s">
        <v>49</v>
      </c>
      <c r="C10" s="6">
        <v>30</v>
      </c>
      <c r="D10" s="6">
        <v>29</v>
      </c>
      <c r="E10" s="9">
        <v>1</v>
      </c>
      <c r="F10" s="9">
        <v>1</v>
      </c>
      <c r="G10" s="9">
        <v>1</v>
      </c>
      <c r="H10" s="9">
        <v>0.93</v>
      </c>
      <c r="I10" s="10" t="s">
        <v>730</v>
      </c>
      <c r="J10" s="10" t="s">
        <v>772</v>
      </c>
      <c r="K10" s="10" t="s">
        <v>540</v>
      </c>
      <c r="L10" s="23">
        <v>0</v>
      </c>
      <c r="M10" s="10" t="s">
        <v>48</v>
      </c>
      <c r="N10">
        <f t="shared" si="4"/>
        <v>4</v>
      </c>
      <c r="O10">
        <f t="shared" si="1"/>
        <v>4</v>
      </c>
      <c r="P10">
        <f t="shared" si="2"/>
        <v>4</v>
      </c>
      <c r="Q10">
        <f t="shared" si="3"/>
        <v>3</v>
      </c>
      <c r="R10" s="32">
        <f>IF('AAA Summary'!$L$35=4, RANK(H10,H$8:H$83,1)+COUNTIF($H$8:H10,H10)-1, IF('AAA Summary'!$L$35=3, RANK(G10,G$8:G$83,1)+COUNTIF($G$8:G10,G10)-1, IF('AAA Summary'!$L$35=2, RANK(F10,F$8:F$83,1)+COUNTIF($F$8:F10,F10)-1, IF('AAA Summary'!$L$35=1, RANK(E10,E$8:E$83,1)+COUNTIF($E$8:E10,E10)-1))))</f>
        <v>57</v>
      </c>
      <c r="S10" s="66">
        <f>IF('AAA Summary'!$L$35=4, H10, IF('AAA Summary'!$L$35=3, G10, IF('AAA Summary'!$L$35=2, F10, IF('AAA Summary'!$L$35=1, E10))))</f>
        <v>1</v>
      </c>
      <c r="T10">
        <v>3</v>
      </c>
    </row>
    <row r="11" spans="1:20" x14ac:dyDescent="0.25">
      <c r="A11" s="10" t="s">
        <v>13</v>
      </c>
      <c r="B11" s="4" t="s">
        <v>14</v>
      </c>
      <c r="C11" s="6">
        <v>39</v>
      </c>
      <c r="D11" s="6">
        <v>21</v>
      </c>
      <c r="E11" s="9">
        <v>0.51</v>
      </c>
      <c r="F11" s="9">
        <v>0.97</v>
      </c>
      <c r="G11" s="9">
        <v>0.52</v>
      </c>
      <c r="H11" s="9">
        <v>0.21</v>
      </c>
      <c r="I11" s="10" t="s">
        <v>726</v>
      </c>
      <c r="J11" s="10" t="s">
        <v>719</v>
      </c>
      <c r="K11" s="10" t="s">
        <v>388</v>
      </c>
      <c r="L11" s="23">
        <v>3.7999999999999999E-2</v>
      </c>
      <c r="M11" s="10" t="s">
        <v>13</v>
      </c>
      <c r="N11">
        <f t="shared" si="4"/>
        <v>1</v>
      </c>
      <c r="O11">
        <f t="shared" si="1"/>
        <v>2</v>
      </c>
      <c r="P11">
        <f t="shared" si="2"/>
        <v>1</v>
      </c>
      <c r="Q11">
        <f t="shared" si="3"/>
        <v>1</v>
      </c>
      <c r="R11" s="32">
        <f>IF('AAA Summary'!$L$35=4, RANK(H11,H$8:H$83,1)+COUNTIF($H$8:H11,H11)-1, IF('AAA Summary'!$L$35=3, RANK(G11,G$8:G$83,1)+COUNTIF($G$8:G11,G11)-1, IF('AAA Summary'!$L$35=2, RANK(F11,F$8:F$83,1)+COUNTIF($F$8:F11,F11)-1, IF('AAA Summary'!$L$35=1, RANK(E11,E$8:E$83,1)+COUNTIF($E$8:E11,E11)-1))))</f>
        <v>3</v>
      </c>
      <c r="S11" s="66">
        <f>IF('AAA Summary'!$L$35=4, H11, IF('AAA Summary'!$L$35=3, G11, IF('AAA Summary'!$L$35=2, F11, IF('AAA Summary'!$L$35=1, E11))))</f>
        <v>0.51</v>
      </c>
      <c r="T11">
        <v>3</v>
      </c>
    </row>
    <row r="12" spans="1:20" x14ac:dyDescent="0.25">
      <c r="A12" s="10" t="s">
        <v>37</v>
      </c>
      <c r="B12" s="4" t="s">
        <v>38</v>
      </c>
      <c r="C12" s="6">
        <v>22</v>
      </c>
      <c r="D12" s="6">
        <v>16</v>
      </c>
      <c r="E12" s="9">
        <v>0.64</v>
      </c>
      <c r="F12" s="9">
        <v>1</v>
      </c>
      <c r="G12" s="9">
        <v>0.56000000000000005</v>
      </c>
      <c r="H12" s="9">
        <v>0.55000000000000004</v>
      </c>
      <c r="I12" s="10" t="s">
        <v>728</v>
      </c>
      <c r="J12" s="10" t="s">
        <v>717</v>
      </c>
      <c r="K12" s="10" t="s">
        <v>368</v>
      </c>
      <c r="L12" s="23">
        <v>2.4E-2</v>
      </c>
      <c r="M12" s="10" t="s">
        <v>37</v>
      </c>
      <c r="N12">
        <f t="shared" si="4"/>
        <v>1</v>
      </c>
      <c r="O12">
        <f t="shared" si="1"/>
        <v>4</v>
      </c>
      <c r="P12">
        <f t="shared" si="2"/>
        <v>1</v>
      </c>
      <c r="Q12">
        <f t="shared" si="3"/>
        <v>1</v>
      </c>
      <c r="R12" s="32">
        <f>IF('AAA Summary'!$L$35=4, RANK(H12,H$8:H$83,1)+COUNTIF($H$8:H12,H12)-1, IF('AAA Summary'!$L$35=3, RANK(G12,G$8:G$83,1)+COUNTIF($G$8:G12,G12)-1, IF('AAA Summary'!$L$35=2, RANK(F12,F$8:F$83,1)+COUNTIF($F$8:F12,F12)-1, IF('AAA Summary'!$L$35=1, RANK(E12,E$8:E$83,1)+COUNTIF($E$8:E12,E12)-1))))</f>
        <v>7</v>
      </c>
      <c r="S12" s="66">
        <f>IF('AAA Summary'!$L$35=4, H12, IF('AAA Summary'!$L$35=3, G12, IF('AAA Summary'!$L$35=2, F12, IF('AAA Summary'!$L$35=1, E12))))</f>
        <v>0.64</v>
      </c>
      <c r="T12">
        <v>2</v>
      </c>
    </row>
    <row r="13" spans="1:20" x14ac:dyDescent="0.25">
      <c r="A13" s="10" t="s">
        <v>33</v>
      </c>
      <c r="B13" s="4" t="s">
        <v>34</v>
      </c>
      <c r="C13" s="6">
        <v>67</v>
      </c>
      <c r="D13" s="6">
        <v>61</v>
      </c>
      <c r="E13" s="9">
        <v>0.82</v>
      </c>
      <c r="F13" s="9">
        <v>0.99</v>
      </c>
      <c r="G13" s="9">
        <v>0.82</v>
      </c>
      <c r="H13" s="9">
        <v>0.64</v>
      </c>
      <c r="I13" s="10" t="s">
        <v>604</v>
      </c>
      <c r="J13" s="10" t="s">
        <v>277</v>
      </c>
      <c r="K13" s="10" t="s">
        <v>527</v>
      </c>
      <c r="L13" s="23">
        <v>1.9E-2</v>
      </c>
      <c r="M13" s="10" t="s">
        <v>33</v>
      </c>
      <c r="N13">
        <f t="shared" si="4"/>
        <v>1</v>
      </c>
      <c r="O13">
        <f t="shared" si="1"/>
        <v>3</v>
      </c>
      <c r="P13">
        <f t="shared" si="2"/>
        <v>2</v>
      </c>
      <c r="Q13">
        <f t="shared" si="3"/>
        <v>1</v>
      </c>
      <c r="R13" s="32">
        <f>IF('AAA Summary'!$L$35=4, RANK(H13,H$8:H$83,1)+COUNTIF($H$8:H13,H13)-1, IF('AAA Summary'!$L$35=3, RANK(G13,G$8:G$83,1)+COUNTIF($G$8:G13,G13)-1, IF('AAA Summary'!$L$35=2, RANK(F13,F$8:F$83,1)+COUNTIF($F$8:F13,F13)-1, IF('AAA Summary'!$L$35=1, RANK(E13,E$8:E$83,1)+COUNTIF($E$8:E13,E13)-1))))</f>
        <v>13</v>
      </c>
      <c r="S13" s="66">
        <f>IF('AAA Summary'!$L$35=4, H13, IF('AAA Summary'!$L$35=3, G13, IF('AAA Summary'!$L$35=2, F13, IF('AAA Summary'!$L$35=1, E13))))</f>
        <v>0.82</v>
      </c>
      <c r="T13">
        <v>3</v>
      </c>
    </row>
    <row r="14" spans="1:20" x14ac:dyDescent="0.25">
      <c r="A14" s="10" t="s">
        <v>180</v>
      </c>
      <c r="B14" s="4" t="s">
        <v>181</v>
      </c>
      <c r="C14" s="6">
        <v>92</v>
      </c>
      <c r="D14" s="6">
        <v>55</v>
      </c>
      <c r="E14" s="9">
        <v>0.89</v>
      </c>
      <c r="F14" s="9">
        <v>0.98</v>
      </c>
      <c r="G14" s="9">
        <v>0.79</v>
      </c>
      <c r="H14" s="9">
        <v>0.77</v>
      </c>
      <c r="I14" s="10" t="s">
        <v>670</v>
      </c>
      <c r="J14" s="10" t="s">
        <v>671</v>
      </c>
      <c r="K14" s="10" t="s">
        <v>290</v>
      </c>
      <c r="L14" s="23">
        <v>8.0000000000000002E-3</v>
      </c>
      <c r="M14" s="10" t="s">
        <v>180</v>
      </c>
      <c r="N14">
        <f t="shared" si="4"/>
        <v>2</v>
      </c>
      <c r="O14">
        <f t="shared" si="1"/>
        <v>2</v>
      </c>
      <c r="P14">
        <f t="shared" si="2"/>
        <v>1</v>
      </c>
      <c r="Q14">
        <f t="shared" si="3"/>
        <v>2</v>
      </c>
      <c r="R14" s="32">
        <f>IF('AAA Summary'!$L$35=4, RANK(H14,H$8:H$83,1)+COUNTIF($H$8:H14,H14)-1, IF('AAA Summary'!$L$35=3, RANK(G14,G$8:G$83,1)+COUNTIF($G$8:G14,G14)-1, IF('AAA Summary'!$L$35=2, RANK(F14,F$8:F$83,1)+COUNTIF($F$8:F14,F14)-1, IF('AAA Summary'!$L$35=1, RANK(E14,E$8:E$83,1)+COUNTIF($E$8:E14,E14)-1))))</f>
        <v>20</v>
      </c>
      <c r="S14" s="66">
        <f>IF('AAA Summary'!$L$35=4, H14, IF('AAA Summary'!$L$35=3, G14, IF('AAA Summary'!$L$35=2, F14, IF('AAA Summary'!$L$35=1, E14))))</f>
        <v>0.89</v>
      </c>
      <c r="T14">
        <v>3</v>
      </c>
    </row>
    <row r="15" spans="1:20" x14ac:dyDescent="0.25">
      <c r="A15" s="10" t="s">
        <v>0</v>
      </c>
      <c r="B15" s="4" t="s">
        <v>1</v>
      </c>
      <c r="C15" s="6">
        <v>31</v>
      </c>
      <c r="D15" s="6">
        <v>26</v>
      </c>
      <c r="E15" s="9">
        <v>0.9</v>
      </c>
      <c r="F15" s="9">
        <v>0.97</v>
      </c>
      <c r="G15" s="9">
        <v>0.9</v>
      </c>
      <c r="H15" s="9">
        <v>0.77</v>
      </c>
      <c r="I15" s="10" t="s">
        <v>721</v>
      </c>
      <c r="J15" s="10" t="s">
        <v>589</v>
      </c>
      <c r="K15" s="10" t="s">
        <v>268</v>
      </c>
      <c r="L15" s="23">
        <v>1.4E-2</v>
      </c>
      <c r="M15" s="10" t="s">
        <v>0</v>
      </c>
      <c r="N15">
        <f t="shared" si="4"/>
        <v>2</v>
      </c>
      <c r="O15">
        <f t="shared" si="1"/>
        <v>2</v>
      </c>
      <c r="P15">
        <f t="shared" si="2"/>
        <v>2</v>
      </c>
      <c r="Q15">
        <f t="shared" si="3"/>
        <v>2</v>
      </c>
      <c r="R15" s="32">
        <f>IF('AAA Summary'!$L$35=4, RANK(H15,H$8:H$83,1)+COUNTIF($H$8:H15,H15)-1, IF('AAA Summary'!$L$35=3, RANK(G15,G$8:G$83,1)+COUNTIF($G$8:G15,G15)-1, IF('AAA Summary'!$L$35=2, RANK(F15,F$8:F$83,1)+COUNTIF($F$8:F15,F15)-1, IF('AAA Summary'!$L$35=1, RANK(E15,E$8:E$83,1)+COUNTIF($E$8:E15,E15)-1))))</f>
        <v>24</v>
      </c>
      <c r="S15" s="66">
        <f>IF('AAA Summary'!$L$35=4, H15, IF('AAA Summary'!$L$35=3, G15, IF('AAA Summary'!$L$35=2, F15, IF('AAA Summary'!$L$35=1, E15))))</f>
        <v>0.9</v>
      </c>
      <c r="T15">
        <v>2</v>
      </c>
    </row>
    <row r="16" spans="1:20" x14ac:dyDescent="0.25">
      <c r="A16" s="10" t="s">
        <v>19</v>
      </c>
      <c r="B16" s="4" t="s">
        <v>20</v>
      </c>
      <c r="C16" s="6">
        <v>28</v>
      </c>
      <c r="D16" s="6">
        <v>12</v>
      </c>
      <c r="E16" s="9">
        <v>1</v>
      </c>
      <c r="F16" s="9">
        <v>1</v>
      </c>
      <c r="G16" s="9">
        <v>1</v>
      </c>
      <c r="H16" s="9">
        <v>1</v>
      </c>
      <c r="I16" s="10" t="s">
        <v>727</v>
      </c>
      <c r="J16" s="10" t="s">
        <v>568</v>
      </c>
      <c r="K16" s="10" t="s">
        <v>260</v>
      </c>
      <c r="L16" s="23">
        <v>1.7999999999999999E-2</v>
      </c>
      <c r="M16" s="10" t="s">
        <v>19</v>
      </c>
      <c r="N16">
        <f t="shared" si="4"/>
        <v>4</v>
      </c>
      <c r="O16">
        <f t="shared" si="1"/>
        <v>4</v>
      </c>
      <c r="P16">
        <f t="shared" si="2"/>
        <v>4</v>
      </c>
      <c r="Q16">
        <f t="shared" si="3"/>
        <v>4</v>
      </c>
      <c r="R16" s="32">
        <f>IF('AAA Summary'!$L$35=4, RANK(H16,H$8:H$83,1)+COUNTIF($H$8:H16,H16)-1, IF('AAA Summary'!$L$35=3, RANK(G16,G$8:G$83,1)+COUNTIF($G$8:G16,G16)-1, IF('AAA Summary'!$L$35=2, RANK(F16,F$8:F$83,1)+COUNTIF($F$8:F16,F16)-1, IF('AAA Summary'!$L$35=1, RANK(E16,E$8:E$83,1)+COUNTIF($E$8:E16,E16)-1))))</f>
        <v>58</v>
      </c>
      <c r="S16" s="66">
        <f>IF('AAA Summary'!$L$35=4, H16, IF('AAA Summary'!$L$35=3, G16, IF('AAA Summary'!$L$35=2, F16, IF('AAA Summary'!$L$35=1, E16))))</f>
        <v>1</v>
      </c>
      <c r="T16">
        <v>3</v>
      </c>
    </row>
    <row r="17" spans="1:20" x14ac:dyDescent="0.25">
      <c r="A17" s="10" t="s">
        <v>148</v>
      </c>
      <c r="B17" s="4" t="s">
        <v>149</v>
      </c>
      <c r="C17" s="6">
        <v>68</v>
      </c>
      <c r="D17" s="6">
        <v>39</v>
      </c>
      <c r="E17" s="9">
        <v>1</v>
      </c>
      <c r="F17" s="9">
        <v>1</v>
      </c>
      <c r="G17" s="9">
        <v>0.89</v>
      </c>
      <c r="H17" s="9">
        <v>0.76</v>
      </c>
      <c r="I17" s="10" t="s">
        <v>742</v>
      </c>
      <c r="J17" s="10" t="s">
        <v>658</v>
      </c>
      <c r="K17" s="10" t="s">
        <v>368</v>
      </c>
      <c r="L17" s="23">
        <v>1.0999999999999999E-2</v>
      </c>
      <c r="M17" s="10" t="s">
        <v>148</v>
      </c>
      <c r="N17">
        <f t="shared" si="4"/>
        <v>4</v>
      </c>
      <c r="O17">
        <f t="shared" si="1"/>
        <v>4</v>
      </c>
      <c r="P17">
        <f t="shared" si="2"/>
        <v>2</v>
      </c>
      <c r="Q17">
        <f t="shared" si="3"/>
        <v>2</v>
      </c>
      <c r="R17" s="32">
        <f>IF('AAA Summary'!$L$35=4, RANK(H17,H$8:H$83,1)+COUNTIF($H$8:H17,H17)-1, IF('AAA Summary'!$L$35=3, RANK(G17,G$8:G$83,1)+COUNTIF($G$8:G17,G17)-1, IF('AAA Summary'!$L$35=2, RANK(F17,F$8:F$83,1)+COUNTIF($F$8:F17,F17)-1, IF('AAA Summary'!$L$35=1, RANK(E17,E$8:E$83,1)+COUNTIF($E$8:E17,E17)-1))))</f>
        <v>59</v>
      </c>
      <c r="S17" s="66">
        <f>IF('AAA Summary'!$L$35=4, H17, IF('AAA Summary'!$L$35=3, G17, IF('AAA Summary'!$L$35=2, F17, IF('AAA Summary'!$L$35=1, E17))))</f>
        <v>1</v>
      </c>
      <c r="T17">
        <v>3</v>
      </c>
    </row>
    <row r="18" spans="1:20" x14ac:dyDescent="0.25">
      <c r="A18" s="10" t="s">
        <v>142</v>
      </c>
      <c r="B18" s="4" t="s">
        <v>143</v>
      </c>
      <c r="C18" s="6">
        <v>15</v>
      </c>
      <c r="D18" s="6">
        <v>10</v>
      </c>
      <c r="E18" s="9">
        <v>0.73</v>
      </c>
      <c r="F18" s="9">
        <v>1</v>
      </c>
      <c r="G18" s="9">
        <v>0.7</v>
      </c>
      <c r="H18" s="9">
        <v>0.73</v>
      </c>
      <c r="I18" s="10" t="s">
        <v>655</v>
      </c>
      <c r="J18" s="10" t="s">
        <v>656</v>
      </c>
      <c r="K18" s="10" t="s">
        <v>582</v>
      </c>
      <c r="L18" s="23">
        <v>0</v>
      </c>
      <c r="M18" s="10" t="s">
        <v>142</v>
      </c>
      <c r="N18">
        <f t="shared" si="4"/>
        <v>1</v>
      </c>
      <c r="O18">
        <f t="shared" si="1"/>
        <v>4</v>
      </c>
      <c r="P18">
        <f t="shared" si="2"/>
        <v>1</v>
      </c>
      <c r="Q18">
        <f t="shared" si="3"/>
        <v>1</v>
      </c>
      <c r="R18" s="32">
        <f>IF('AAA Summary'!$L$35=4, RANK(H18,H$8:H$83,1)+COUNTIF($H$8:H18,H18)-1, IF('AAA Summary'!$L$35=3, RANK(G18,G$8:G$83,1)+COUNTIF($G$8:G18,G18)-1, IF('AAA Summary'!$L$35=2, RANK(F18,F$8:F$83,1)+COUNTIF($F$8:F18,F18)-1, IF('AAA Summary'!$L$35=1, RANK(E18,E$8:E$83,1)+COUNTIF($E$8:E18,E18)-1))))</f>
        <v>11</v>
      </c>
      <c r="S18" s="66">
        <f>IF('AAA Summary'!$L$35=4, H18, IF('AAA Summary'!$L$35=3, G18, IF('AAA Summary'!$L$35=2, F18, IF('AAA Summary'!$L$35=1, E18))))</f>
        <v>0.73</v>
      </c>
      <c r="T18">
        <v>2</v>
      </c>
    </row>
    <row r="19" spans="1:20" x14ac:dyDescent="0.25">
      <c r="A19" s="10" t="s">
        <v>54</v>
      </c>
      <c r="B19" s="4" t="s">
        <v>55</v>
      </c>
      <c r="C19" s="6">
        <v>122</v>
      </c>
      <c r="D19" s="6">
        <v>83</v>
      </c>
      <c r="E19" s="9">
        <v>0.59</v>
      </c>
      <c r="F19" s="9">
        <v>0.98</v>
      </c>
      <c r="G19" s="9">
        <v>0.59</v>
      </c>
      <c r="H19" s="9">
        <v>0.74</v>
      </c>
      <c r="I19" s="10" t="s">
        <v>731</v>
      </c>
      <c r="J19" s="10" t="s">
        <v>595</v>
      </c>
      <c r="K19" s="10" t="s">
        <v>515</v>
      </c>
      <c r="L19" s="23">
        <v>3.0000000000000001E-3</v>
      </c>
      <c r="M19" s="10" t="s">
        <v>54</v>
      </c>
      <c r="N19">
        <f t="shared" si="4"/>
        <v>1</v>
      </c>
      <c r="O19">
        <f t="shared" si="1"/>
        <v>2</v>
      </c>
      <c r="P19">
        <f t="shared" si="2"/>
        <v>1</v>
      </c>
      <c r="Q19">
        <f t="shared" si="3"/>
        <v>1</v>
      </c>
      <c r="R19" s="32">
        <f>IF('AAA Summary'!$L$35=4, RANK(H19,H$8:H$83,1)+COUNTIF($H$8:H19,H19)-1, IF('AAA Summary'!$L$35=3, RANK(G19,G$8:G$83,1)+COUNTIF($G$8:G19,G19)-1, IF('AAA Summary'!$L$35=2, RANK(F19,F$8:F$83,1)+COUNTIF($F$8:F19,F19)-1, IF('AAA Summary'!$L$35=1, RANK(E19,E$8:E$83,1)+COUNTIF($E$8:E19,E19)-1))))</f>
        <v>4</v>
      </c>
      <c r="S19" s="66">
        <f>IF('AAA Summary'!$L$35=4, H19, IF('AAA Summary'!$L$35=3, G19, IF('AAA Summary'!$L$35=2, F19, IF('AAA Summary'!$L$35=1, E19))))</f>
        <v>0.59</v>
      </c>
      <c r="T19">
        <v>3</v>
      </c>
    </row>
    <row r="20" spans="1:20" x14ac:dyDescent="0.25">
      <c r="A20" s="10" t="s">
        <v>5</v>
      </c>
      <c r="B20" s="4" t="s">
        <v>6</v>
      </c>
      <c r="C20" s="6">
        <v>35</v>
      </c>
      <c r="D20" s="6">
        <v>19</v>
      </c>
      <c r="E20" s="9">
        <v>0.97</v>
      </c>
      <c r="F20" s="9">
        <v>1</v>
      </c>
      <c r="G20" s="9">
        <v>0.96</v>
      </c>
      <c r="H20" s="9">
        <v>0.91</v>
      </c>
      <c r="I20" s="10" t="s">
        <v>592</v>
      </c>
      <c r="J20" s="10" t="s">
        <v>720</v>
      </c>
      <c r="K20" s="10" t="s">
        <v>593</v>
      </c>
      <c r="L20" s="23">
        <v>5.8999999999999997E-2</v>
      </c>
      <c r="M20" s="10" t="s">
        <v>5</v>
      </c>
      <c r="N20">
        <f t="shared" si="4"/>
        <v>3</v>
      </c>
      <c r="O20">
        <f t="shared" si="1"/>
        <v>4</v>
      </c>
      <c r="P20">
        <f t="shared" si="2"/>
        <v>3</v>
      </c>
      <c r="Q20">
        <f t="shared" si="3"/>
        <v>3</v>
      </c>
      <c r="R20" s="32">
        <f>IF('AAA Summary'!$L$35=4, RANK(H20,H$8:H$83,1)+COUNTIF($H$8:H20,H20)-1, IF('AAA Summary'!$L$35=3, RANK(G20,G$8:G$83,1)+COUNTIF($G$8:G20,G20)-1, IF('AAA Summary'!$L$35=2, RANK(F20,F$8:F$83,1)+COUNTIF($F$8:F20,F20)-1, IF('AAA Summary'!$L$35=1, RANK(E20,E$8:E$83,1)+COUNTIF($E$8:E20,E20)-1))))</f>
        <v>43</v>
      </c>
      <c r="S20" s="66">
        <f>IF('AAA Summary'!$L$35=4, H20, IF('AAA Summary'!$L$35=3, G20, IF('AAA Summary'!$L$35=2, F20, IF('AAA Summary'!$L$35=1, E20))))</f>
        <v>0.97</v>
      </c>
      <c r="T20">
        <v>3</v>
      </c>
    </row>
    <row r="21" spans="1:20" x14ac:dyDescent="0.25">
      <c r="A21" s="10" t="s">
        <v>81</v>
      </c>
      <c r="B21" s="4" t="s">
        <v>82</v>
      </c>
      <c r="C21" s="6">
        <v>29</v>
      </c>
      <c r="D21" s="6">
        <v>28</v>
      </c>
      <c r="E21" s="9">
        <v>1</v>
      </c>
      <c r="F21" s="9">
        <v>1</v>
      </c>
      <c r="G21" s="9">
        <v>0.92</v>
      </c>
      <c r="H21" s="9">
        <v>1</v>
      </c>
      <c r="I21" s="10" t="s">
        <v>625</v>
      </c>
      <c r="J21" s="10" t="s">
        <v>772</v>
      </c>
      <c r="K21" s="10" t="s">
        <v>279</v>
      </c>
      <c r="L21" s="23">
        <v>0.01</v>
      </c>
      <c r="M21" s="10" t="s">
        <v>81</v>
      </c>
      <c r="N21">
        <f t="shared" si="4"/>
        <v>4</v>
      </c>
      <c r="O21">
        <f t="shared" si="1"/>
        <v>4</v>
      </c>
      <c r="P21">
        <f t="shared" si="2"/>
        <v>3</v>
      </c>
      <c r="Q21">
        <f t="shared" si="3"/>
        <v>4</v>
      </c>
      <c r="R21" s="32">
        <f>IF('AAA Summary'!$L$35=4, RANK(H21,H$8:H$83,1)+COUNTIF($H$8:H21,H21)-1, IF('AAA Summary'!$L$35=3, RANK(G21,G$8:G$83,1)+COUNTIF($G$8:G21,G21)-1, IF('AAA Summary'!$L$35=2, RANK(F21,F$8:F$83,1)+COUNTIF($F$8:F21,F21)-1, IF('AAA Summary'!$L$35=1, RANK(E21,E$8:E$83,1)+COUNTIF($E$8:E21,E21)-1))))</f>
        <v>60</v>
      </c>
      <c r="S21" s="66">
        <f>IF('AAA Summary'!$L$35=4, H21, IF('AAA Summary'!$L$35=3, G21, IF('AAA Summary'!$L$35=2, F21, IF('AAA Summary'!$L$35=1, E21))))</f>
        <v>1</v>
      </c>
      <c r="T21">
        <v>3</v>
      </c>
    </row>
    <row r="22" spans="1:20" x14ac:dyDescent="0.25">
      <c r="A22" s="10" t="s">
        <v>72</v>
      </c>
      <c r="B22" s="4" t="s">
        <v>73</v>
      </c>
      <c r="C22" s="6">
        <v>78</v>
      </c>
      <c r="D22" s="6">
        <v>75</v>
      </c>
      <c r="E22" s="9">
        <v>0.88</v>
      </c>
      <c r="F22" s="9">
        <v>0.99</v>
      </c>
      <c r="G22" s="9">
        <v>0.87</v>
      </c>
      <c r="H22" s="9">
        <v>0.74</v>
      </c>
      <c r="I22" s="10" t="s">
        <v>619</v>
      </c>
      <c r="J22" s="10" t="s">
        <v>772</v>
      </c>
      <c r="K22" s="10" t="s">
        <v>527</v>
      </c>
      <c r="L22" s="23">
        <v>1.2E-2</v>
      </c>
      <c r="M22" s="10" t="s">
        <v>72</v>
      </c>
      <c r="N22">
        <f t="shared" si="4"/>
        <v>1</v>
      </c>
      <c r="O22">
        <f t="shared" si="1"/>
        <v>3</v>
      </c>
      <c r="P22">
        <f t="shared" si="2"/>
        <v>2</v>
      </c>
      <c r="Q22">
        <f t="shared" si="3"/>
        <v>1</v>
      </c>
      <c r="R22" s="32">
        <f>IF('AAA Summary'!$L$35=4, RANK(H22,H$8:H$83,1)+COUNTIF($H$8:H22,H22)-1, IF('AAA Summary'!$L$35=3, RANK(G22,G$8:G$83,1)+COUNTIF($G$8:G22,G22)-1, IF('AAA Summary'!$L$35=2, RANK(F22,F$8:F$83,1)+COUNTIF($F$8:F22,F22)-1, IF('AAA Summary'!$L$35=1, RANK(E22,E$8:E$83,1)+COUNTIF($E$8:E22,E22)-1))))</f>
        <v>18</v>
      </c>
      <c r="S22" s="66">
        <f>IF('AAA Summary'!$L$35=4, H22, IF('AAA Summary'!$L$35=3, G22, IF('AAA Summary'!$L$35=2, F22, IF('AAA Summary'!$L$35=1, E22))))</f>
        <v>0.88</v>
      </c>
      <c r="T22">
        <v>3</v>
      </c>
    </row>
    <row r="23" spans="1:20" x14ac:dyDescent="0.25">
      <c r="A23" s="10" t="s">
        <v>7</v>
      </c>
      <c r="B23" s="4" t="s">
        <v>8</v>
      </c>
      <c r="C23" s="6">
        <v>18</v>
      </c>
      <c r="D23" s="6">
        <v>14</v>
      </c>
      <c r="E23" s="9">
        <v>1</v>
      </c>
      <c r="F23" s="9">
        <v>1</v>
      </c>
      <c r="G23" s="9">
        <v>1</v>
      </c>
      <c r="H23" s="9">
        <v>0.94</v>
      </c>
      <c r="I23" s="10" t="s">
        <v>723</v>
      </c>
      <c r="J23" s="10" t="s">
        <v>772</v>
      </c>
      <c r="K23" s="10" t="s">
        <v>518</v>
      </c>
      <c r="L23" s="23">
        <v>2.5999999999999999E-2</v>
      </c>
      <c r="M23" s="10" t="s">
        <v>7</v>
      </c>
      <c r="N23">
        <f t="shared" si="4"/>
        <v>4</v>
      </c>
      <c r="O23">
        <f t="shared" si="1"/>
        <v>4</v>
      </c>
      <c r="P23">
        <f t="shared" si="2"/>
        <v>4</v>
      </c>
      <c r="Q23">
        <f t="shared" si="3"/>
        <v>3</v>
      </c>
      <c r="R23" s="32">
        <f>IF('AAA Summary'!$L$35=4, RANK(H23,H$8:H$83,1)+COUNTIF($H$8:H23,H23)-1, IF('AAA Summary'!$L$35=3, RANK(G23,G$8:G$83,1)+COUNTIF($G$8:G23,G23)-1, IF('AAA Summary'!$L$35=2, RANK(F23,F$8:F$83,1)+COUNTIF($F$8:F23,F23)-1, IF('AAA Summary'!$L$35=1, RANK(E23,E$8:E$83,1)+COUNTIF($E$8:E23,E23)-1))))</f>
        <v>61</v>
      </c>
      <c r="S23" s="66">
        <f>IF('AAA Summary'!$L$35=4, H23, IF('AAA Summary'!$L$35=3, G23, IF('AAA Summary'!$L$35=2, F23, IF('AAA Summary'!$L$35=1, E23))))</f>
        <v>1</v>
      </c>
      <c r="T23">
        <v>3</v>
      </c>
    </row>
    <row r="24" spans="1:20" x14ac:dyDescent="0.25">
      <c r="A24" s="10" t="s">
        <v>93</v>
      </c>
      <c r="B24" s="4" t="s">
        <v>94</v>
      </c>
      <c r="C24" s="6">
        <v>38</v>
      </c>
      <c r="D24" s="6">
        <v>30</v>
      </c>
      <c r="E24" s="9">
        <v>0.92</v>
      </c>
      <c r="F24" s="9">
        <v>0.97</v>
      </c>
      <c r="G24" s="9">
        <v>0.86</v>
      </c>
      <c r="H24" s="9">
        <v>0.92</v>
      </c>
      <c r="I24" s="10" t="s">
        <v>629</v>
      </c>
      <c r="J24" s="10" t="s">
        <v>714</v>
      </c>
      <c r="K24" s="10" t="s">
        <v>515</v>
      </c>
      <c r="L24" s="23">
        <v>8.0000000000000002E-3</v>
      </c>
      <c r="M24" s="10" t="s">
        <v>93</v>
      </c>
      <c r="N24">
        <f t="shared" si="4"/>
        <v>2</v>
      </c>
      <c r="O24">
        <f t="shared" si="1"/>
        <v>2</v>
      </c>
      <c r="P24">
        <f t="shared" si="2"/>
        <v>2</v>
      </c>
      <c r="Q24">
        <f t="shared" si="3"/>
        <v>3</v>
      </c>
      <c r="R24" s="32">
        <f>IF('AAA Summary'!$L$35=4, RANK(H24,H$8:H$83,1)+COUNTIF($H$8:H24,H24)-1, IF('AAA Summary'!$L$35=3, RANK(G24,G$8:G$83,1)+COUNTIF($G$8:G24,G24)-1, IF('AAA Summary'!$L$35=2, RANK(F24,F$8:F$83,1)+COUNTIF($F$8:F24,F24)-1, IF('AAA Summary'!$L$35=1, RANK(E24,E$8:E$83,1)+COUNTIF($E$8:E24,E24)-1))))</f>
        <v>27</v>
      </c>
      <c r="S24" s="66">
        <f>IF('AAA Summary'!$L$35=4, H24, IF('AAA Summary'!$L$35=3, G24, IF('AAA Summary'!$L$35=2, F24, IF('AAA Summary'!$L$35=1, E24))))</f>
        <v>0.92</v>
      </c>
      <c r="T24">
        <v>3</v>
      </c>
    </row>
    <row r="25" spans="1:20" x14ac:dyDescent="0.25">
      <c r="A25" s="10" t="s">
        <v>138</v>
      </c>
      <c r="B25" s="4" t="s">
        <v>139</v>
      </c>
      <c r="C25" s="6">
        <v>26</v>
      </c>
      <c r="D25" s="6">
        <v>23</v>
      </c>
      <c r="E25" s="9">
        <v>0.92</v>
      </c>
      <c r="F25" s="9">
        <v>0.96</v>
      </c>
      <c r="G25" s="9">
        <v>0.9</v>
      </c>
      <c r="H25" s="9">
        <v>0.77</v>
      </c>
      <c r="I25" s="10" t="s">
        <v>740</v>
      </c>
      <c r="J25" s="10" t="s">
        <v>772</v>
      </c>
      <c r="K25" s="10" t="s">
        <v>278</v>
      </c>
      <c r="L25" s="23">
        <v>0</v>
      </c>
      <c r="M25" s="10" t="s">
        <v>138</v>
      </c>
      <c r="N25">
        <f t="shared" si="4"/>
        <v>2</v>
      </c>
      <c r="O25">
        <f t="shared" si="1"/>
        <v>1</v>
      </c>
      <c r="P25">
        <f t="shared" si="2"/>
        <v>2</v>
      </c>
      <c r="Q25">
        <f t="shared" si="3"/>
        <v>2</v>
      </c>
      <c r="R25" s="32">
        <f>IF('AAA Summary'!$L$35=4, RANK(H25,H$8:H$83,1)+COUNTIF($H$8:H25,H25)-1, IF('AAA Summary'!$L$35=3, RANK(G25,G$8:G$83,1)+COUNTIF($G$8:G25,G25)-1, IF('AAA Summary'!$L$35=2, RANK(F25,F$8:F$83,1)+COUNTIF($F$8:F25,F25)-1, IF('AAA Summary'!$L$35=1, RANK(E25,E$8:E$83,1)+COUNTIF($E$8:E25,E25)-1))))</f>
        <v>28</v>
      </c>
      <c r="S25" s="66">
        <f>IF('AAA Summary'!$L$35=4, H25, IF('AAA Summary'!$L$35=3, G25, IF('AAA Summary'!$L$35=2, F25, IF('AAA Summary'!$L$35=1, E25))))</f>
        <v>0.92</v>
      </c>
      <c r="T25">
        <v>3</v>
      </c>
    </row>
    <row r="26" spans="1:20" x14ac:dyDescent="0.25">
      <c r="A26" s="10" t="s">
        <v>126</v>
      </c>
      <c r="B26" s="4" t="s">
        <v>127</v>
      </c>
      <c r="C26" s="6">
        <v>58</v>
      </c>
      <c r="D26" s="6">
        <v>31</v>
      </c>
      <c r="E26" s="9">
        <v>0.91</v>
      </c>
      <c r="F26" s="9">
        <v>0.98</v>
      </c>
      <c r="G26" s="9">
        <v>0.91</v>
      </c>
      <c r="H26" s="9">
        <v>0.62</v>
      </c>
      <c r="I26" s="10" t="s">
        <v>645</v>
      </c>
      <c r="J26" s="10" t="s">
        <v>646</v>
      </c>
      <c r="K26" s="10" t="s">
        <v>527</v>
      </c>
      <c r="L26" s="23">
        <v>5.0000000000000001E-3</v>
      </c>
      <c r="M26" s="10" t="s">
        <v>126</v>
      </c>
      <c r="N26">
        <f t="shared" si="4"/>
        <v>2</v>
      </c>
      <c r="O26">
        <f t="shared" si="1"/>
        <v>2</v>
      </c>
      <c r="P26">
        <f t="shared" si="2"/>
        <v>3</v>
      </c>
      <c r="Q26">
        <f t="shared" si="3"/>
        <v>1</v>
      </c>
      <c r="R26" s="32">
        <f>IF('AAA Summary'!$L$35=4, RANK(H26,H$8:H$83,1)+COUNTIF($H$8:H26,H26)-1, IF('AAA Summary'!$L$35=3, RANK(G26,G$8:G$83,1)+COUNTIF($G$8:G26,G26)-1, IF('AAA Summary'!$L$35=2, RANK(F26,F$8:F$83,1)+COUNTIF($F$8:F26,F26)-1, IF('AAA Summary'!$L$35=1, RANK(E26,E$8:E$83,1)+COUNTIF($E$8:E26,E26)-1))))</f>
        <v>25</v>
      </c>
      <c r="S26" s="66">
        <f>IF('AAA Summary'!$L$35=4, H26, IF('AAA Summary'!$L$35=3, G26, IF('AAA Summary'!$L$35=2, F26, IF('AAA Summary'!$L$35=1, E26))))</f>
        <v>0.91</v>
      </c>
      <c r="T26">
        <v>3</v>
      </c>
    </row>
    <row r="27" spans="1:20" x14ac:dyDescent="0.25">
      <c r="A27" s="10" t="s">
        <v>154</v>
      </c>
      <c r="B27" s="4" t="s">
        <v>155</v>
      </c>
      <c r="C27" s="6">
        <v>41</v>
      </c>
      <c r="D27" s="6">
        <v>26</v>
      </c>
      <c r="E27" s="9">
        <v>0.98</v>
      </c>
      <c r="F27" s="9">
        <v>0.98</v>
      </c>
      <c r="G27" s="9">
        <v>0.97</v>
      </c>
      <c r="H27" s="9">
        <v>1</v>
      </c>
      <c r="I27" s="10" t="s">
        <v>744</v>
      </c>
      <c r="J27" s="10" t="s">
        <v>615</v>
      </c>
      <c r="K27" s="10" t="s">
        <v>515</v>
      </c>
      <c r="L27" s="23">
        <v>8.9999999999999993E-3</v>
      </c>
      <c r="M27" s="10" t="s">
        <v>154</v>
      </c>
      <c r="N27">
        <f t="shared" si="4"/>
        <v>3</v>
      </c>
      <c r="O27">
        <f t="shared" si="1"/>
        <v>2</v>
      </c>
      <c r="P27">
        <f t="shared" si="2"/>
        <v>4</v>
      </c>
      <c r="Q27">
        <f t="shared" si="3"/>
        <v>4</v>
      </c>
      <c r="R27" s="32">
        <f>IF('AAA Summary'!$L$35=4, RANK(H27,H$8:H$83,1)+COUNTIF($H$8:H27,H27)-1, IF('AAA Summary'!$L$35=3, RANK(G27,G$8:G$83,1)+COUNTIF($G$8:G27,G27)-1, IF('AAA Summary'!$L$35=2, RANK(F27,F$8:F$83,1)+COUNTIF($F$8:F27,F27)-1, IF('AAA Summary'!$L$35=1, RANK(E27,E$8:E$83,1)+COUNTIF($E$8:E27,E27)-1))))</f>
        <v>48</v>
      </c>
      <c r="S27" s="66">
        <f>IF('AAA Summary'!$L$35=4, H27, IF('AAA Summary'!$L$35=3, G27, IF('AAA Summary'!$L$35=2, F27, IF('AAA Summary'!$L$35=1, E27))))</f>
        <v>0.98</v>
      </c>
      <c r="T27">
        <v>3</v>
      </c>
    </row>
    <row r="28" spans="1:20" x14ac:dyDescent="0.25">
      <c r="A28" s="10" t="s">
        <v>39</v>
      </c>
      <c r="B28" s="4" t="s">
        <v>216</v>
      </c>
      <c r="C28" s="6">
        <v>59</v>
      </c>
      <c r="D28" s="6">
        <v>45</v>
      </c>
      <c r="E28" s="9">
        <v>0.85</v>
      </c>
      <c r="F28" s="9">
        <v>0.97</v>
      </c>
      <c r="G28" s="9">
        <v>0.84</v>
      </c>
      <c r="H28" s="9">
        <v>0.56000000000000005</v>
      </c>
      <c r="I28" s="10" t="s">
        <v>607</v>
      </c>
      <c r="J28" s="10" t="s">
        <v>716</v>
      </c>
      <c r="K28" s="10" t="s">
        <v>279</v>
      </c>
      <c r="L28" s="23">
        <v>1.0999999999999999E-2</v>
      </c>
      <c r="M28" s="10" t="s">
        <v>39</v>
      </c>
      <c r="N28">
        <f t="shared" si="4"/>
        <v>1</v>
      </c>
      <c r="O28">
        <f t="shared" si="1"/>
        <v>2</v>
      </c>
      <c r="P28">
        <f t="shared" si="2"/>
        <v>2</v>
      </c>
      <c r="Q28">
        <f t="shared" si="3"/>
        <v>1</v>
      </c>
      <c r="R28" s="32">
        <f>IF('AAA Summary'!$L$35=4, RANK(H28,H$8:H$83,1)+COUNTIF($H$8:H28,H28)-1, IF('AAA Summary'!$L$35=3, RANK(G28,G$8:G$83,1)+COUNTIF($G$8:G28,G28)-1, IF('AAA Summary'!$L$35=2, RANK(F28,F$8:F$83,1)+COUNTIF($F$8:F28,F28)-1, IF('AAA Summary'!$L$35=1, RANK(E28,E$8:E$83,1)+COUNTIF($E$8:E28,E28)-1))))</f>
        <v>16</v>
      </c>
      <c r="S28" s="66">
        <f>IF('AAA Summary'!$L$35=4, H28, IF('AAA Summary'!$L$35=3, G28, IF('AAA Summary'!$L$35=2, F28, IF('AAA Summary'!$L$35=1, E28))))</f>
        <v>0.85</v>
      </c>
      <c r="T28">
        <v>3</v>
      </c>
    </row>
    <row r="29" spans="1:20" x14ac:dyDescent="0.25">
      <c r="A29" s="10" t="s">
        <v>40</v>
      </c>
      <c r="B29" s="4" t="s">
        <v>41</v>
      </c>
      <c r="C29" s="6">
        <v>44</v>
      </c>
      <c r="D29" s="6">
        <v>34</v>
      </c>
      <c r="E29" s="9">
        <v>0.98</v>
      </c>
      <c r="F29" s="9">
        <v>1</v>
      </c>
      <c r="G29" s="9">
        <v>1</v>
      </c>
      <c r="H29" s="9">
        <v>0.98</v>
      </c>
      <c r="I29" s="10" t="s">
        <v>608</v>
      </c>
      <c r="J29" s="10" t="s">
        <v>590</v>
      </c>
      <c r="K29" s="10" t="s">
        <v>271</v>
      </c>
      <c r="L29" s="23">
        <v>0.02</v>
      </c>
      <c r="M29" s="10" t="s">
        <v>40</v>
      </c>
      <c r="N29">
        <f t="shared" si="4"/>
        <v>3</v>
      </c>
      <c r="O29">
        <f t="shared" si="1"/>
        <v>4</v>
      </c>
      <c r="P29">
        <f t="shared" si="2"/>
        <v>4</v>
      </c>
      <c r="Q29">
        <f t="shared" si="3"/>
        <v>4</v>
      </c>
      <c r="R29" s="32">
        <f>IF('AAA Summary'!$L$35=4, RANK(H29,H$8:H$83,1)+COUNTIF($H$8:H29,H29)-1, IF('AAA Summary'!$L$35=3, RANK(G29,G$8:G$83,1)+COUNTIF($G$8:G29,G29)-1, IF('AAA Summary'!$L$35=2, RANK(F29,F$8:F$83,1)+COUNTIF($F$8:F29,F29)-1, IF('AAA Summary'!$L$35=1, RANK(E29,E$8:E$83,1)+COUNTIF($E$8:E29,E29)-1))))</f>
        <v>49</v>
      </c>
      <c r="S29" s="66">
        <f>IF('AAA Summary'!$L$35=4, H29, IF('AAA Summary'!$L$35=3, G29, IF('AAA Summary'!$L$35=2, F29, IF('AAA Summary'!$L$35=1, E29))))</f>
        <v>0.98</v>
      </c>
      <c r="T29">
        <v>3</v>
      </c>
    </row>
    <row r="30" spans="1:20" x14ac:dyDescent="0.25">
      <c r="A30" s="10" t="s">
        <v>115</v>
      </c>
      <c r="B30" s="4" t="s">
        <v>116</v>
      </c>
      <c r="C30" s="6">
        <v>59</v>
      </c>
      <c r="D30" s="6">
        <v>37</v>
      </c>
      <c r="E30" s="9">
        <v>0.93</v>
      </c>
      <c r="F30" s="9">
        <v>1</v>
      </c>
      <c r="G30" s="9">
        <v>0.93</v>
      </c>
      <c r="H30" s="9">
        <v>0.76</v>
      </c>
      <c r="I30" s="10" t="s">
        <v>638</v>
      </c>
      <c r="J30" s="10" t="s">
        <v>286</v>
      </c>
      <c r="K30" s="10" t="s">
        <v>540</v>
      </c>
      <c r="L30" s="23">
        <v>1.0999999999999999E-2</v>
      </c>
      <c r="M30" s="10" t="s">
        <v>115</v>
      </c>
      <c r="N30">
        <f t="shared" si="4"/>
        <v>2</v>
      </c>
      <c r="O30">
        <f t="shared" si="1"/>
        <v>4</v>
      </c>
      <c r="P30">
        <f t="shared" si="2"/>
        <v>3</v>
      </c>
      <c r="Q30">
        <f t="shared" si="3"/>
        <v>2</v>
      </c>
      <c r="R30" s="32">
        <f>IF('AAA Summary'!$L$35=4, RANK(H30,H$8:H$83,1)+COUNTIF($H$8:H30,H30)-1, IF('AAA Summary'!$L$35=3, RANK(G30,G$8:G$83,1)+COUNTIF($G$8:G30,G30)-1, IF('AAA Summary'!$L$35=2, RANK(F30,F$8:F$83,1)+COUNTIF($F$8:F30,F30)-1, IF('AAA Summary'!$L$35=1, RANK(E30,E$8:E$83,1)+COUNTIF($E$8:E30,E30)-1))))</f>
        <v>31</v>
      </c>
      <c r="S30" s="66">
        <f>IF('AAA Summary'!$L$35=4, H30, IF('AAA Summary'!$L$35=3, G30, IF('AAA Summary'!$L$35=2, F30, IF('AAA Summary'!$L$35=1, E30))))</f>
        <v>0.93</v>
      </c>
      <c r="T30">
        <v>3</v>
      </c>
    </row>
    <row r="31" spans="1:20" x14ac:dyDescent="0.25">
      <c r="A31" s="10" t="s">
        <v>66</v>
      </c>
      <c r="B31" s="4" t="s">
        <v>67</v>
      </c>
      <c r="C31" s="6">
        <v>100</v>
      </c>
      <c r="D31" s="6">
        <v>74</v>
      </c>
      <c r="E31" s="9">
        <v>0.84</v>
      </c>
      <c r="F31" s="9">
        <v>0.92</v>
      </c>
      <c r="G31" s="9">
        <v>0.81</v>
      </c>
      <c r="H31" s="9">
        <v>0.37</v>
      </c>
      <c r="I31" s="10" t="s">
        <v>733</v>
      </c>
      <c r="J31" s="10" t="s">
        <v>615</v>
      </c>
      <c r="K31" s="10" t="s">
        <v>271</v>
      </c>
      <c r="L31" s="23">
        <v>3.0000000000000001E-3</v>
      </c>
      <c r="M31" s="10" t="s">
        <v>66</v>
      </c>
      <c r="N31">
        <f t="shared" si="4"/>
        <v>1</v>
      </c>
      <c r="O31">
        <f t="shared" si="1"/>
        <v>1</v>
      </c>
      <c r="P31">
        <f t="shared" si="2"/>
        <v>1</v>
      </c>
      <c r="Q31">
        <f t="shared" si="3"/>
        <v>1</v>
      </c>
      <c r="R31" s="32">
        <f>IF('AAA Summary'!$L$35=4, RANK(H31,H$8:H$83,1)+COUNTIF($H$8:H31,H31)-1, IF('AAA Summary'!$L$35=3, RANK(G31,G$8:G$83,1)+COUNTIF($G$8:G31,G31)-1, IF('AAA Summary'!$L$35=2, RANK(F31,F$8:F$83,1)+COUNTIF($F$8:F31,F31)-1, IF('AAA Summary'!$L$35=1, RANK(E31,E$8:E$83,1)+COUNTIF($E$8:E31,E31)-1))))</f>
        <v>14</v>
      </c>
      <c r="S31" s="66">
        <f>IF('AAA Summary'!$L$35=4, H31, IF('AAA Summary'!$L$35=3, G31, IF('AAA Summary'!$L$35=2, F31, IF('AAA Summary'!$L$35=1, E31))))</f>
        <v>0.84</v>
      </c>
      <c r="T31">
        <v>3</v>
      </c>
    </row>
    <row r="32" spans="1:20" x14ac:dyDescent="0.25">
      <c r="A32" s="10" t="s">
        <v>130</v>
      </c>
      <c r="B32" s="4" t="s">
        <v>131</v>
      </c>
      <c r="C32" s="6">
        <v>48</v>
      </c>
      <c r="D32" s="6">
        <v>24</v>
      </c>
      <c r="E32" s="9">
        <v>0.98</v>
      </c>
      <c r="F32" s="9">
        <v>0</v>
      </c>
      <c r="G32" s="9">
        <v>0.96</v>
      </c>
      <c r="H32" s="9">
        <v>0.96</v>
      </c>
      <c r="I32" s="10" t="s">
        <v>649</v>
      </c>
      <c r="J32" s="10" t="s">
        <v>650</v>
      </c>
      <c r="K32" s="10" t="s">
        <v>711</v>
      </c>
      <c r="L32" s="23">
        <v>1.2E-2</v>
      </c>
      <c r="M32" s="10" t="s">
        <v>130</v>
      </c>
      <c r="N32">
        <f t="shared" si="4"/>
        <v>3</v>
      </c>
      <c r="O32">
        <f t="shared" si="1"/>
        <v>1</v>
      </c>
      <c r="P32">
        <f t="shared" si="2"/>
        <v>3</v>
      </c>
      <c r="Q32">
        <f t="shared" si="3"/>
        <v>4</v>
      </c>
      <c r="R32" s="32">
        <f>IF('AAA Summary'!$L$35=4, RANK(H32,H$8:H$83,1)+COUNTIF($H$8:H32,H32)-1, IF('AAA Summary'!$L$35=3, RANK(G32,G$8:G$83,1)+COUNTIF($G$8:G32,G32)-1, IF('AAA Summary'!$L$35=2, RANK(F32,F$8:F$83,1)+COUNTIF($F$8:F32,F32)-1, IF('AAA Summary'!$L$35=1, RANK(E32,E$8:E$83,1)+COUNTIF($E$8:E32,E32)-1))))</f>
        <v>50</v>
      </c>
      <c r="S32" s="66">
        <f>IF('AAA Summary'!$L$35=4, H32, IF('AAA Summary'!$L$35=3, G32, IF('AAA Summary'!$L$35=2, F32, IF('AAA Summary'!$L$35=1, E32))))</f>
        <v>0.98</v>
      </c>
      <c r="T32">
        <v>3</v>
      </c>
    </row>
    <row r="33" spans="1:20" x14ac:dyDescent="0.25">
      <c r="A33" s="10" t="s">
        <v>158</v>
      </c>
      <c r="B33" s="4" t="s">
        <v>159</v>
      </c>
      <c r="C33" s="6">
        <v>28</v>
      </c>
      <c r="D33" s="6">
        <v>11</v>
      </c>
      <c r="E33" s="9">
        <v>0.32</v>
      </c>
      <c r="F33" s="9">
        <v>0.96</v>
      </c>
      <c r="G33" s="9">
        <v>0.28999999999999998</v>
      </c>
      <c r="H33" s="9">
        <v>0.89</v>
      </c>
      <c r="I33" s="10" t="s">
        <v>661</v>
      </c>
      <c r="J33" s="10" t="s">
        <v>662</v>
      </c>
      <c r="K33" s="10" t="s">
        <v>663</v>
      </c>
      <c r="L33" s="23">
        <v>0</v>
      </c>
      <c r="M33" s="10" t="s">
        <v>158</v>
      </c>
      <c r="N33">
        <f t="shared" si="4"/>
        <v>1</v>
      </c>
      <c r="O33">
        <f t="shared" si="1"/>
        <v>1</v>
      </c>
      <c r="P33">
        <f t="shared" si="2"/>
        <v>1</v>
      </c>
      <c r="Q33">
        <f t="shared" si="3"/>
        <v>2</v>
      </c>
      <c r="R33" s="32">
        <f>IF('AAA Summary'!$L$35=4, RANK(H33,H$8:H$83,1)+COUNTIF($H$8:H33,H33)-1, IF('AAA Summary'!$L$35=3, RANK(G33,G$8:G$83,1)+COUNTIF($G$8:G33,G33)-1, IF('AAA Summary'!$L$35=2, RANK(F33,F$8:F$83,1)+COUNTIF($F$8:F33,F33)-1, IF('AAA Summary'!$L$35=1, RANK(E33,E$8:E$83,1)+COUNTIF($E$8:E33,E33)-1))))</f>
        <v>2</v>
      </c>
      <c r="S33" s="66">
        <f>IF('AAA Summary'!$L$35=4, H33, IF('AAA Summary'!$L$35=3, G33, IF('AAA Summary'!$L$35=2, F33, IF('AAA Summary'!$L$35=1, E33))))</f>
        <v>0.32</v>
      </c>
      <c r="T33">
        <v>3</v>
      </c>
    </row>
    <row r="34" spans="1:20" x14ac:dyDescent="0.25">
      <c r="A34" s="10" t="s">
        <v>74</v>
      </c>
      <c r="B34" s="4" t="s">
        <v>75</v>
      </c>
      <c r="C34" s="6">
        <v>10</v>
      </c>
      <c r="D34" s="6">
        <v>9</v>
      </c>
      <c r="E34" s="9">
        <v>1</v>
      </c>
      <c r="F34" s="9">
        <v>0.9</v>
      </c>
      <c r="G34" s="9">
        <v>0.88</v>
      </c>
      <c r="H34" s="9">
        <v>0.9</v>
      </c>
      <c r="I34" s="10" t="s">
        <v>620</v>
      </c>
      <c r="J34" s="10" t="s">
        <v>772</v>
      </c>
      <c r="K34" s="10" t="s">
        <v>621</v>
      </c>
      <c r="L34" s="23">
        <v>4.2000000000000003E-2</v>
      </c>
      <c r="M34" s="10" t="s">
        <v>74</v>
      </c>
      <c r="N34">
        <f t="shared" si="4"/>
        <v>4</v>
      </c>
      <c r="O34">
        <f t="shared" si="1"/>
        <v>1</v>
      </c>
      <c r="P34">
        <f t="shared" si="2"/>
        <v>2</v>
      </c>
      <c r="Q34">
        <f t="shared" si="3"/>
        <v>2</v>
      </c>
      <c r="R34" s="32">
        <f>IF('AAA Summary'!$L$35=4, RANK(H34,H$8:H$83,1)+COUNTIF($H$8:H34,H34)-1, IF('AAA Summary'!$L$35=3, RANK(G34,G$8:G$83,1)+COUNTIF($G$8:G34,G34)-1, IF('AAA Summary'!$L$35=2, RANK(F34,F$8:F$83,1)+COUNTIF($F$8:F34,F34)-1, IF('AAA Summary'!$L$35=1, RANK(E34,E$8:E$83,1)+COUNTIF($E$8:E34,E34)-1))))</f>
        <v>62</v>
      </c>
      <c r="S34" s="66">
        <f>IF('AAA Summary'!$L$35=4, H34, IF('AAA Summary'!$L$35=3, G34, IF('AAA Summary'!$L$35=2, F34, IF('AAA Summary'!$L$35=1, E34))))</f>
        <v>1</v>
      </c>
      <c r="T34">
        <v>3</v>
      </c>
    </row>
    <row r="35" spans="1:20" x14ac:dyDescent="0.25">
      <c r="A35" s="10" t="s">
        <v>150</v>
      </c>
      <c r="B35" s="4" t="s">
        <v>151</v>
      </c>
      <c r="C35" s="6">
        <v>68</v>
      </c>
      <c r="D35" s="6">
        <v>54</v>
      </c>
      <c r="E35" s="9">
        <v>0.91</v>
      </c>
      <c r="F35" s="9">
        <v>1</v>
      </c>
      <c r="G35" s="9">
        <v>0.88</v>
      </c>
      <c r="H35" s="9">
        <v>0.87</v>
      </c>
      <c r="I35" s="10" t="s">
        <v>743</v>
      </c>
      <c r="J35" s="10" t="s">
        <v>632</v>
      </c>
      <c r="K35" s="10" t="s">
        <v>591</v>
      </c>
      <c r="L35" s="23">
        <v>1.4999999999999999E-2</v>
      </c>
      <c r="M35" s="10" t="s">
        <v>150</v>
      </c>
      <c r="N35">
        <f t="shared" si="4"/>
        <v>2</v>
      </c>
      <c r="O35">
        <f t="shared" si="1"/>
        <v>4</v>
      </c>
      <c r="P35">
        <f t="shared" si="2"/>
        <v>2</v>
      </c>
      <c r="Q35">
        <f t="shared" si="3"/>
        <v>2</v>
      </c>
      <c r="R35" s="32">
        <f>IF('AAA Summary'!$L$35=4, RANK(H35,H$8:H$83,1)+COUNTIF($H$8:H35,H35)-1, IF('AAA Summary'!$L$35=3, RANK(G35,G$8:G$83,1)+COUNTIF($G$8:G35,G35)-1, IF('AAA Summary'!$L$35=2, RANK(F35,F$8:F$83,1)+COUNTIF($F$8:F35,F35)-1, IF('AAA Summary'!$L$35=1, RANK(E35,E$8:E$83,1)+COUNTIF($E$8:E35,E35)-1))))</f>
        <v>26</v>
      </c>
      <c r="S35" s="66">
        <f>IF('AAA Summary'!$L$35=4, H35, IF('AAA Summary'!$L$35=3, G35, IF('AAA Summary'!$L$35=2, F35, IF('AAA Summary'!$L$35=1, E35))))</f>
        <v>0.91</v>
      </c>
      <c r="T35">
        <v>3</v>
      </c>
    </row>
    <row r="36" spans="1:20" x14ac:dyDescent="0.25">
      <c r="A36" s="10" t="s">
        <v>105</v>
      </c>
      <c r="B36" s="4" t="s">
        <v>106</v>
      </c>
      <c r="C36" s="6">
        <v>71</v>
      </c>
      <c r="D36" s="6">
        <v>50</v>
      </c>
      <c r="E36" s="9">
        <v>0.92</v>
      </c>
      <c r="F36" s="9">
        <v>1</v>
      </c>
      <c r="G36" s="9">
        <v>0.88</v>
      </c>
      <c r="H36" s="9">
        <v>0.87</v>
      </c>
      <c r="I36" s="10" t="s">
        <v>635</v>
      </c>
      <c r="J36" s="10" t="s">
        <v>595</v>
      </c>
      <c r="K36" s="10" t="s">
        <v>527</v>
      </c>
      <c r="L36" s="23">
        <v>4.0000000000000001E-3</v>
      </c>
      <c r="M36" s="10" t="s">
        <v>105</v>
      </c>
      <c r="N36">
        <f t="shared" si="4"/>
        <v>2</v>
      </c>
      <c r="O36">
        <f t="shared" si="1"/>
        <v>4</v>
      </c>
      <c r="P36">
        <f t="shared" si="2"/>
        <v>2</v>
      </c>
      <c r="Q36">
        <f t="shared" si="3"/>
        <v>2</v>
      </c>
      <c r="R36" s="32">
        <f>IF('AAA Summary'!$L$35=4, RANK(H36,H$8:H$83,1)+COUNTIF($H$8:H36,H36)-1, IF('AAA Summary'!$L$35=3, RANK(G36,G$8:G$83,1)+COUNTIF($G$8:G36,G36)-1, IF('AAA Summary'!$L$35=2, RANK(F36,F$8:F$83,1)+COUNTIF($F$8:F36,F36)-1, IF('AAA Summary'!$L$35=1, RANK(E36,E$8:E$83,1)+COUNTIF($E$8:E36,E36)-1))))</f>
        <v>29</v>
      </c>
      <c r="S36" s="66">
        <f>IF('AAA Summary'!$L$35=4, H36, IF('AAA Summary'!$L$35=3, G36, IF('AAA Summary'!$L$35=2, F36, IF('AAA Summary'!$L$35=1, E36))))</f>
        <v>0.92</v>
      </c>
      <c r="T36">
        <v>3</v>
      </c>
    </row>
    <row r="37" spans="1:20" x14ac:dyDescent="0.25">
      <c r="A37" s="10" t="s">
        <v>15</v>
      </c>
      <c r="B37" s="4" t="s">
        <v>16</v>
      </c>
      <c r="C37" s="6">
        <v>31</v>
      </c>
      <c r="D37" s="6">
        <v>25</v>
      </c>
      <c r="E37" s="9">
        <v>1</v>
      </c>
      <c r="F37" s="9">
        <v>1</v>
      </c>
      <c r="G37" s="9">
        <v>1</v>
      </c>
      <c r="H37" s="9">
        <v>0.97</v>
      </c>
      <c r="I37" s="10" t="s">
        <v>596</v>
      </c>
      <c r="J37" s="10" t="s">
        <v>277</v>
      </c>
      <c r="K37" s="10" t="s">
        <v>540</v>
      </c>
      <c r="L37" s="23">
        <v>1.2E-2</v>
      </c>
      <c r="M37" s="10" t="s">
        <v>15</v>
      </c>
      <c r="N37">
        <f t="shared" si="4"/>
        <v>4</v>
      </c>
      <c r="O37">
        <f t="shared" si="1"/>
        <v>4</v>
      </c>
      <c r="P37">
        <f t="shared" si="2"/>
        <v>4</v>
      </c>
      <c r="Q37">
        <f t="shared" si="3"/>
        <v>4</v>
      </c>
      <c r="R37" s="32">
        <f>IF('AAA Summary'!$L$35=4, RANK(H37,H$8:H$83,1)+COUNTIF($H$8:H37,H37)-1, IF('AAA Summary'!$L$35=3, RANK(G37,G$8:G$83,1)+COUNTIF($G$8:G37,G37)-1, IF('AAA Summary'!$L$35=2, RANK(F37,F$8:F$83,1)+COUNTIF($F$8:F37,F37)-1, IF('AAA Summary'!$L$35=1, RANK(E37,E$8:E$83,1)+COUNTIF($E$8:E37,E37)-1))))</f>
        <v>63</v>
      </c>
      <c r="S37" s="66">
        <f>IF('AAA Summary'!$L$35=4, H37, IF('AAA Summary'!$L$35=3, G37, IF('AAA Summary'!$L$35=2, F37, IF('AAA Summary'!$L$35=1, E37))))</f>
        <v>1</v>
      </c>
      <c r="T37">
        <v>3</v>
      </c>
    </row>
    <row r="38" spans="1:20" x14ac:dyDescent="0.25">
      <c r="A38" s="10" t="s">
        <v>11</v>
      </c>
      <c r="B38" s="4" t="s">
        <v>12</v>
      </c>
      <c r="C38" s="6">
        <v>90</v>
      </c>
      <c r="D38" s="6">
        <v>45</v>
      </c>
      <c r="E38" s="9">
        <v>0.93</v>
      </c>
      <c r="F38" s="9">
        <v>0.97</v>
      </c>
      <c r="G38" s="9">
        <v>0.91</v>
      </c>
      <c r="H38" s="9">
        <v>0.92</v>
      </c>
      <c r="I38" s="10" t="s">
        <v>725</v>
      </c>
      <c r="J38" s="10" t="s">
        <v>595</v>
      </c>
      <c r="K38" s="10" t="s">
        <v>515</v>
      </c>
      <c r="L38" s="23">
        <v>7.0000000000000001E-3</v>
      </c>
      <c r="M38" s="10" t="s">
        <v>11</v>
      </c>
      <c r="N38">
        <f t="shared" si="4"/>
        <v>2</v>
      </c>
      <c r="O38">
        <f t="shared" si="1"/>
        <v>2</v>
      </c>
      <c r="P38">
        <f t="shared" si="2"/>
        <v>3</v>
      </c>
      <c r="Q38">
        <f t="shared" si="3"/>
        <v>3</v>
      </c>
      <c r="R38" s="32">
        <f>IF('AAA Summary'!$L$35=4, RANK(H38,H$8:H$83,1)+COUNTIF($H$8:H38,H38)-1, IF('AAA Summary'!$L$35=3, RANK(G38,G$8:G$83,1)+COUNTIF($G$8:G38,G38)-1, IF('AAA Summary'!$L$35=2, RANK(F38,F$8:F$83,1)+COUNTIF($F$8:F38,F38)-1, IF('AAA Summary'!$L$35=1, RANK(E38,E$8:E$83,1)+COUNTIF($E$8:E38,E38)-1))))</f>
        <v>32</v>
      </c>
      <c r="S38" s="66">
        <f>IF('AAA Summary'!$L$35=4, H38, IF('AAA Summary'!$L$35=3, G38, IF('AAA Summary'!$L$35=2, F38, IF('AAA Summary'!$L$35=1, E38))))</f>
        <v>0.93</v>
      </c>
      <c r="T38">
        <v>2</v>
      </c>
    </row>
    <row r="39" spans="1:20" x14ac:dyDescent="0.25">
      <c r="A39" s="10" t="s">
        <v>95</v>
      </c>
      <c r="B39" s="4" t="s">
        <v>96</v>
      </c>
      <c r="C39" s="6">
        <v>20</v>
      </c>
      <c r="D39" s="6">
        <v>15</v>
      </c>
      <c r="E39" s="9">
        <v>1</v>
      </c>
      <c r="F39" s="9">
        <v>1</v>
      </c>
      <c r="G39" s="9">
        <v>1</v>
      </c>
      <c r="H39" s="9">
        <v>0.95</v>
      </c>
      <c r="I39" s="10" t="s">
        <v>735</v>
      </c>
      <c r="J39" s="10" t="s">
        <v>294</v>
      </c>
      <c r="K39" s="10" t="s">
        <v>527</v>
      </c>
      <c r="L39" s="23">
        <v>0</v>
      </c>
      <c r="M39" s="10" t="s">
        <v>95</v>
      </c>
      <c r="N39">
        <f t="shared" si="4"/>
        <v>4</v>
      </c>
      <c r="O39">
        <f t="shared" si="1"/>
        <v>4</v>
      </c>
      <c r="P39">
        <f t="shared" si="2"/>
        <v>4</v>
      </c>
      <c r="Q39">
        <f t="shared" si="3"/>
        <v>3</v>
      </c>
      <c r="R39" s="32">
        <f>IF('AAA Summary'!$L$35=4, RANK(H39,H$8:H$83,1)+COUNTIF($H$8:H39,H39)-1, IF('AAA Summary'!$L$35=3, RANK(G39,G$8:G$83,1)+COUNTIF($G$8:G39,G39)-1, IF('AAA Summary'!$L$35=2, RANK(F39,F$8:F$83,1)+COUNTIF($F$8:F39,F39)-1, IF('AAA Summary'!$L$35=1, RANK(E39,E$8:E$83,1)+COUNTIF($E$8:E39,E39)-1))))</f>
        <v>64</v>
      </c>
      <c r="S39" s="66">
        <f>IF('AAA Summary'!$L$35=4, H39, IF('AAA Summary'!$L$35=3, G39, IF('AAA Summary'!$L$35=2, F39, IF('AAA Summary'!$L$35=1, E39))))</f>
        <v>1</v>
      </c>
      <c r="T39">
        <v>3</v>
      </c>
    </row>
    <row r="40" spans="1:20" x14ac:dyDescent="0.25">
      <c r="A40" s="10" t="s">
        <v>99</v>
      </c>
      <c r="B40" s="4" t="s">
        <v>100</v>
      </c>
      <c r="C40" s="6">
        <v>37</v>
      </c>
      <c r="D40" s="6">
        <v>26</v>
      </c>
      <c r="E40" s="9">
        <v>0.95</v>
      </c>
      <c r="F40" s="9">
        <v>0.95</v>
      </c>
      <c r="G40" s="9">
        <v>0.77</v>
      </c>
      <c r="H40" s="9">
        <v>0.97</v>
      </c>
      <c r="I40" s="10" t="s">
        <v>631</v>
      </c>
      <c r="J40" s="10" t="s">
        <v>632</v>
      </c>
      <c r="K40" s="10" t="s">
        <v>515</v>
      </c>
      <c r="L40" s="23">
        <v>3.4000000000000002E-2</v>
      </c>
      <c r="M40" s="10" t="s">
        <v>99</v>
      </c>
      <c r="N40">
        <f t="shared" si="4"/>
        <v>3</v>
      </c>
      <c r="O40">
        <f t="shared" si="1"/>
        <v>1</v>
      </c>
      <c r="P40">
        <f t="shared" si="2"/>
        <v>1</v>
      </c>
      <c r="Q40">
        <f t="shared" si="3"/>
        <v>4</v>
      </c>
      <c r="R40" s="32">
        <f>IF('AAA Summary'!$L$35=4, RANK(H40,H$8:H$83,1)+COUNTIF($H$8:H40,H40)-1, IF('AAA Summary'!$L$35=3, RANK(G40,G$8:G$83,1)+COUNTIF($G$8:G40,G40)-1, IF('AAA Summary'!$L$35=2, RANK(F40,F$8:F$83,1)+COUNTIF($F$8:F40,F40)-1, IF('AAA Summary'!$L$35=1, RANK(E40,E$8:E$83,1)+COUNTIF($E$8:E40,E40)-1))))</f>
        <v>37</v>
      </c>
      <c r="S40" s="66">
        <f>IF('AAA Summary'!$L$35=4, H40, IF('AAA Summary'!$L$35=3, G40, IF('AAA Summary'!$L$35=2, F40, IF('AAA Summary'!$L$35=1, E40))))</f>
        <v>0.95</v>
      </c>
      <c r="T40">
        <v>3</v>
      </c>
    </row>
    <row r="41" spans="1:20" x14ac:dyDescent="0.25">
      <c r="A41" s="10" t="s">
        <v>113</v>
      </c>
      <c r="B41" s="4" t="s">
        <v>114</v>
      </c>
      <c r="C41" s="6">
        <v>61</v>
      </c>
      <c r="D41" s="6">
        <v>30</v>
      </c>
      <c r="E41" s="9">
        <v>0.95</v>
      </c>
      <c r="F41" s="9">
        <v>0.05</v>
      </c>
      <c r="G41" s="9">
        <v>0.91</v>
      </c>
      <c r="H41" s="9">
        <v>0.93</v>
      </c>
      <c r="I41" s="10" t="s">
        <v>637</v>
      </c>
      <c r="J41" s="10" t="s">
        <v>613</v>
      </c>
      <c r="K41" s="10" t="s">
        <v>271</v>
      </c>
      <c r="L41" s="23">
        <v>1.9E-2</v>
      </c>
      <c r="M41" s="10" t="s">
        <v>113</v>
      </c>
      <c r="N41">
        <f t="shared" si="4"/>
        <v>3</v>
      </c>
      <c r="O41">
        <f t="shared" si="1"/>
        <v>1</v>
      </c>
      <c r="P41">
        <f t="shared" si="2"/>
        <v>3</v>
      </c>
      <c r="Q41">
        <f t="shared" si="3"/>
        <v>3</v>
      </c>
      <c r="R41" s="32">
        <f>IF('AAA Summary'!$L$35=4, RANK(H41,H$8:H$83,1)+COUNTIF($H$8:H41,H41)-1, IF('AAA Summary'!$L$35=3, RANK(G41,G$8:G$83,1)+COUNTIF($G$8:G41,G41)-1, IF('AAA Summary'!$L$35=2, RANK(F41,F$8:F$83,1)+COUNTIF($F$8:F41,F41)-1, IF('AAA Summary'!$L$35=1, RANK(E41,E$8:E$83,1)+COUNTIF($E$8:E41,E41)-1))))</f>
        <v>38</v>
      </c>
      <c r="S41" s="66">
        <f>IF('AAA Summary'!$L$35=4, H41, IF('AAA Summary'!$L$35=3, G41, IF('AAA Summary'!$L$35=2, F41, IF('AAA Summary'!$L$35=1, E41))))</f>
        <v>0.95</v>
      </c>
      <c r="T41">
        <v>3</v>
      </c>
    </row>
    <row r="42" spans="1:20" x14ac:dyDescent="0.25">
      <c r="A42" s="10" t="s">
        <v>160</v>
      </c>
      <c r="B42" s="4" t="s">
        <v>161</v>
      </c>
      <c r="C42" s="6" t="s">
        <v>771</v>
      </c>
      <c r="D42" s="6">
        <v>0</v>
      </c>
      <c r="E42" s="9" t="s">
        <v>772</v>
      </c>
      <c r="F42" s="9" t="s">
        <v>772</v>
      </c>
      <c r="G42" s="9" t="s">
        <v>772</v>
      </c>
      <c r="H42" s="9" t="s">
        <v>772</v>
      </c>
      <c r="I42" s="10" t="s">
        <v>772</v>
      </c>
      <c r="J42" s="10" t="s">
        <v>772</v>
      </c>
      <c r="K42" s="10" t="s">
        <v>712</v>
      </c>
      <c r="L42" s="23">
        <v>3.5999999999999997E-2</v>
      </c>
      <c r="M42" s="10" t="s">
        <v>160</v>
      </c>
      <c r="N42">
        <f t="shared" si="4"/>
        <v>4</v>
      </c>
      <c r="O42">
        <f t="shared" si="1"/>
        <v>4</v>
      </c>
      <c r="P42">
        <f t="shared" si="2"/>
        <v>4</v>
      </c>
      <c r="Q42">
        <f t="shared" si="3"/>
        <v>4</v>
      </c>
      <c r="R42" s="32" t="e">
        <f>IF('AAA Summary'!$L$35=4, RANK(H42,H$8:H$83,1)+COUNTIF($H$8:H42,H42)-1, IF('AAA Summary'!$L$35=3, RANK(G42,G$8:G$83,1)+COUNTIF($G$8:G42,G42)-1, IF('AAA Summary'!$L$35=2, RANK(F42,F$8:F$83,1)+COUNTIF($F$8:F42,F42)-1, IF('AAA Summary'!$L$35=1, RANK(E42,E$8:E$83,1)+COUNTIF($E$8:E42,E42)-1))))</f>
        <v>#VALUE!</v>
      </c>
      <c r="S42" s="66" t="str">
        <f>IF('AAA Summary'!$L$35=4, H42, IF('AAA Summary'!$L$35=3, G42, IF('AAA Summary'!$L$35=2, F42, IF('AAA Summary'!$L$35=1, E42))))</f>
        <v>xx</v>
      </c>
      <c r="T42">
        <v>1</v>
      </c>
    </row>
    <row r="43" spans="1:20" x14ac:dyDescent="0.25">
      <c r="A43" s="10" t="s">
        <v>176</v>
      </c>
      <c r="B43" s="4" t="s">
        <v>177</v>
      </c>
      <c r="C43" s="6">
        <v>15</v>
      </c>
      <c r="D43" s="6">
        <v>7</v>
      </c>
      <c r="E43" s="9">
        <v>1</v>
      </c>
      <c r="F43" s="9">
        <v>1</v>
      </c>
      <c r="G43" s="9">
        <v>1</v>
      </c>
      <c r="H43" s="9">
        <v>1</v>
      </c>
      <c r="I43" s="10" t="s">
        <v>669</v>
      </c>
      <c r="J43" s="10" t="s">
        <v>713</v>
      </c>
      <c r="K43" s="10" t="s">
        <v>378</v>
      </c>
      <c r="L43" s="23">
        <v>0</v>
      </c>
      <c r="M43" s="10" t="s">
        <v>176</v>
      </c>
      <c r="N43">
        <f t="shared" si="4"/>
        <v>4</v>
      </c>
      <c r="O43">
        <f t="shared" si="1"/>
        <v>4</v>
      </c>
      <c r="P43">
        <f t="shared" si="2"/>
        <v>4</v>
      </c>
      <c r="Q43">
        <f t="shared" si="3"/>
        <v>4</v>
      </c>
      <c r="R43" s="32">
        <f>IF('AAA Summary'!$L$35=4, RANK(H43,H$8:H$83,1)+COUNTIF($H$8:H43,H43)-1, IF('AAA Summary'!$L$35=3, RANK(G43,G$8:G$83,1)+COUNTIF($G$8:G43,G43)-1, IF('AAA Summary'!$L$35=2, RANK(F43,F$8:F$83,1)+COUNTIF($F$8:F43,F43)-1, IF('AAA Summary'!$L$35=1, RANK(E43,E$8:E$83,1)+COUNTIF($E$8:E43,E43)-1))))</f>
        <v>65</v>
      </c>
      <c r="S43" s="66">
        <f>IF('AAA Summary'!$L$35=4, H43, IF('AAA Summary'!$L$35=3, G43, IF('AAA Summary'!$L$35=2, F43, IF('AAA Summary'!$L$35=1, E43))))</f>
        <v>1</v>
      </c>
      <c r="T43" t="e">
        <v>#N/A</v>
      </c>
    </row>
    <row r="44" spans="1:20" x14ac:dyDescent="0.25">
      <c r="A44" s="10" t="s">
        <v>170</v>
      </c>
      <c r="B44" s="4" t="s">
        <v>171</v>
      </c>
      <c r="C44" s="6">
        <v>18</v>
      </c>
      <c r="D44" s="6">
        <v>18</v>
      </c>
      <c r="E44" s="9">
        <v>0.67</v>
      </c>
      <c r="F44" s="9">
        <v>1</v>
      </c>
      <c r="G44" s="9">
        <v>0.59</v>
      </c>
      <c r="H44" s="9">
        <v>0.56000000000000005</v>
      </c>
      <c r="I44" s="10" t="s">
        <v>747</v>
      </c>
      <c r="J44" s="10" t="s">
        <v>712</v>
      </c>
      <c r="K44" s="10" t="s">
        <v>278</v>
      </c>
      <c r="L44" s="23">
        <v>0</v>
      </c>
      <c r="M44" s="10" t="s">
        <v>170</v>
      </c>
      <c r="N44">
        <f t="shared" si="4"/>
        <v>1</v>
      </c>
      <c r="O44">
        <f t="shared" si="1"/>
        <v>4</v>
      </c>
      <c r="P44">
        <f t="shared" si="2"/>
        <v>1</v>
      </c>
      <c r="Q44">
        <f t="shared" si="3"/>
        <v>1</v>
      </c>
      <c r="R44" s="32">
        <f>IF('AAA Summary'!$L$35=4, RANK(H44,H$8:H$83,1)+COUNTIF($H$8:H44,H44)-1, IF('AAA Summary'!$L$35=3, RANK(G44,G$8:G$83,1)+COUNTIF($G$8:G44,G44)-1, IF('AAA Summary'!$L$35=2, RANK(F44,F$8:F$83,1)+COUNTIF($F$8:F44,F44)-1, IF('AAA Summary'!$L$35=1, RANK(E44,E$8:E$83,1)+COUNTIF($E$8:E44,E44)-1))))</f>
        <v>8</v>
      </c>
      <c r="S44" s="66">
        <f>IF('AAA Summary'!$L$35=4, H44, IF('AAA Summary'!$L$35=3, G44, IF('AAA Summary'!$L$35=2, F44, IF('AAA Summary'!$L$35=1, E44))))</f>
        <v>0.67</v>
      </c>
      <c r="T44">
        <v>1</v>
      </c>
    </row>
    <row r="45" spans="1:20" x14ac:dyDescent="0.25">
      <c r="A45" s="10" t="s">
        <v>164</v>
      </c>
      <c r="B45" s="4" t="s">
        <v>165</v>
      </c>
      <c r="C45" s="6">
        <v>58</v>
      </c>
      <c r="D45" s="6">
        <v>39</v>
      </c>
      <c r="E45" s="9">
        <v>1</v>
      </c>
      <c r="F45" s="9">
        <v>0.95</v>
      </c>
      <c r="G45" s="9">
        <v>1</v>
      </c>
      <c r="H45" s="9">
        <v>0.93</v>
      </c>
      <c r="I45" s="10" t="s">
        <v>745</v>
      </c>
      <c r="J45" s="10" t="s">
        <v>648</v>
      </c>
      <c r="K45" s="10" t="s">
        <v>515</v>
      </c>
      <c r="L45" s="23">
        <v>2.7E-2</v>
      </c>
      <c r="M45" s="10" t="s">
        <v>164</v>
      </c>
      <c r="N45">
        <f t="shared" si="4"/>
        <v>4</v>
      </c>
      <c r="O45">
        <f t="shared" si="1"/>
        <v>1</v>
      </c>
      <c r="P45">
        <f t="shared" si="2"/>
        <v>4</v>
      </c>
      <c r="Q45">
        <f t="shared" si="3"/>
        <v>3</v>
      </c>
      <c r="R45" s="32">
        <f>IF('AAA Summary'!$L$35=4, RANK(H45,H$8:H$83,1)+COUNTIF($H$8:H45,H45)-1, IF('AAA Summary'!$L$35=3, RANK(G45,G$8:G$83,1)+COUNTIF($G$8:G45,G45)-1, IF('AAA Summary'!$L$35=2, RANK(F45,F$8:F$83,1)+COUNTIF($F$8:F45,F45)-1, IF('AAA Summary'!$L$35=1, RANK(E45,E$8:E$83,1)+COUNTIF($E$8:E45,E45)-1))))</f>
        <v>66</v>
      </c>
      <c r="S45" s="66">
        <f>IF('AAA Summary'!$L$35=4, H45, IF('AAA Summary'!$L$35=3, G45, IF('AAA Summary'!$L$35=2, F45, IF('AAA Summary'!$L$35=1, E45))))</f>
        <v>1</v>
      </c>
      <c r="T45">
        <v>3</v>
      </c>
    </row>
    <row r="46" spans="1:20" x14ac:dyDescent="0.25">
      <c r="A46" s="10" t="s">
        <v>166</v>
      </c>
      <c r="B46" s="4" t="s">
        <v>167</v>
      </c>
      <c r="C46" s="6">
        <v>13</v>
      </c>
      <c r="D46" s="6">
        <v>3</v>
      </c>
      <c r="E46" s="9">
        <v>1</v>
      </c>
      <c r="F46" s="9">
        <v>1</v>
      </c>
      <c r="G46" s="9">
        <v>1</v>
      </c>
      <c r="H46" s="9">
        <v>1</v>
      </c>
      <c r="I46" s="10" t="s">
        <v>664</v>
      </c>
      <c r="J46" s="10" t="s">
        <v>652</v>
      </c>
      <c r="K46" s="10" t="s">
        <v>772</v>
      </c>
      <c r="L46" s="23">
        <v>0</v>
      </c>
      <c r="M46" s="10" t="s">
        <v>166</v>
      </c>
      <c r="N46">
        <f t="shared" si="4"/>
        <v>4</v>
      </c>
      <c r="O46">
        <f t="shared" si="1"/>
        <v>4</v>
      </c>
      <c r="P46">
        <f t="shared" si="2"/>
        <v>4</v>
      </c>
      <c r="Q46">
        <f t="shared" si="3"/>
        <v>4</v>
      </c>
      <c r="R46" s="32">
        <f>IF('AAA Summary'!$L$35=4, RANK(H46,H$8:H$83,1)+COUNTIF($H$8:H46,H46)-1, IF('AAA Summary'!$L$35=3, RANK(G46,G$8:G$83,1)+COUNTIF($G$8:G46,G46)-1, IF('AAA Summary'!$L$35=2, RANK(F46,F$8:F$83,1)+COUNTIF($F$8:F46,F46)-1, IF('AAA Summary'!$L$35=1, RANK(E46,E$8:E$83,1)+COUNTIF($E$8:E46,E46)-1))))</f>
        <v>67</v>
      </c>
      <c r="S46" s="66">
        <f>IF('AAA Summary'!$L$35=4, H46, IF('AAA Summary'!$L$35=3, G46, IF('AAA Summary'!$L$35=2, F46, IF('AAA Summary'!$L$35=1, E46))))</f>
        <v>1</v>
      </c>
      <c r="T46">
        <v>3</v>
      </c>
    </row>
    <row r="47" spans="1:20" x14ac:dyDescent="0.25">
      <c r="A47" s="10" t="s">
        <v>168</v>
      </c>
      <c r="B47" s="4" t="s">
        <v>169</v>
      </c>
      <c r="C47" s="6">
        <v>51</v>
      </c>
      <c r="D47" s="6">
        <v>34</v>
      </c>
      <c r="E47" s="9">
        <v>0.98</v>
      </c>
      <c r="F47" s="9">
        <v>1</v>
      </c>
      <c r="G47" s="9">
        <v>0.98</v>
      </c>
      <c r="H47" s="9">
        <v>0.94</v>
      </c>
      <c r="I47" s="10" t="s">
        <v>746</v>
      </c>
      <c r="J47" s="10" t="s">
        <v>665</v>
      </c>
      <c r="K47" s="10" t="s">
        <v>368</v>
      </c>
      <c r="L47" s="23">
        <v>1.0999999999999999E-2</v>
      </c>
      <c r="M47" s="10" t="s">
        <v>168</v>
      </c>
      <c r="N47">
        <f t="shared" si="4"/>
        <v>3</v>
      </c>
      <c r="O47">
        <f t="shared" si="1"/>
        <v>4</v>
      </c>
      <c r="P47">
        <f t="shared" si="2"/>
        <v>4</v>
      </c>
      <c r="Q47">
        <f t="shared" si="3"/>
        <v>3</v>
      </c>
      <c r="R47" s="32">
        <f>IF('AAA Summary'!$L$35=4, RANK(H47,H$8:H$83,1)+COUNTIF($H$8:H47,H47)-1, IF('AAA Summary'!$L$35=3, RANK(G47,G$8:G$83,1)+COUNTIF($G$8:G47,G47)-1, IF('AAA Summary'!$L$35=2, RANK(F47,F$8:F$83,1)+COUNTIF($F$8:F47,F47)-1, IF('AAA Summary'!$L$35=1, RANK(E47,E$8:E$83,1)+COUNTIF($E$8:E47,E47)-1))))</f>
        <v>51</v>
      </c>
      <c r="S47" s="66">
        <f>IF('AAA Summary'!$L$35=4, H47, IF('AAA Summary'!$L$35=3, G47, IF('AAA Summary'!$L$35=2, F47, IF('AAA Summary'!$L$35=1, E47))))</f>
        <v>0.98</v>
      </c>
      <c r="T47">
        <v>3</v>
      </c>
    </row>
    <row r="48" spans="1:20" x14ac:dyDescent="0.25">
      <c r="A48" s="10" t="s">
        <v>172</v>
      </c>
      <c r="B48" s="4" t="s">
        <v>173</v>
      </c>
      <c r="C48" s="6">
        <v>64</v>
      </c>
      <c r="D48" s="6">
        <v>18</v>
      </c>
      <c r="E48" s="9">
        <v>0.69</v>
      </c>
      <c r="F48" s="9">
        <v>0.98</v>
      </c>
      <c r="G48" s="9">
        <v>0.71</v>
      </c>
      <c r="H48" s="9">
        <v>0.94</v>
      </c>
      <c r="I48" s="10" t="s">
        <v>748</v>
      </c>
      <c r="J48" s="10" t="s">
        <v>666</v>
      </c>
      <c r="K48" s="10" t="s">
        <v>582</v>
      </c>
      <c r="L48" s="23">
        <v>6.0000000000000001E-3</v>
      </c>
      <c r="M48" s="10" t="s">
        <v>172</v>
      </c>
      <c r="N48">
        <f t="shared" si="4"/>
        <v>1</v>
      </c>
      <c r="O48">
        <f t="shared" si="1"/>
        <v>2</v>
      </c>
      <c r="P48">
        <f t="shared" si="2"/>
        <v>1</v>
      </c>
      <c r="Q48">
        <f t="shared" si="3"/>
        <v>3</v>
      </c>
      <c r="R48" s="32">
        <f>IF('AAA Summary'!$L$35=4, RANK(H48,H$8:H$83,1)+COUNTIF($H$8:H48,H48)-1, IF('AAA Summary'!$L$35=3, RANK(G48,G$8:G$83,1)+COUNTIF($G$8:G48,G48)-1, IF('AAA Summary'!$L$35=2, RANK(F48,F$8:F$83,1)+COUNTIF($F$8:F48,F48)-1, IF('AAA Summary'!$L$35=1, RANK(E48,E$8:E$83,1)+COUNTIF($E$8:E48,E48)-1))))</f>
        <v>9</v>
      </c>
      <c r="S48" s="66">
        <f>IF('AAA Summary'!$L$35=4, H48, IF('AAA Summary'!$L$35=3, G48, IF('AAA Summary'!$L$35=2, F48, IF('AAA Summary'!$L$35=1, E48))))</f>
        <v>0.69</v>
      </c>
      <c r="T48">
        <v>3</v>
      </c>
    </row>
    <row r="49" spans="1:20" x14ac:dyDescent="0.25">
      <c r="A49" s="10" t="s">
        <v>174</v>
      </c>
      <c r="B49" s="4" t="s">
        <v>175</v>
      </c>
      <c r="C49" s="6">
        <v>16</v>
      </c>
      <c r="D49" s="6">
        <v>11</v>
      </c>
      <c r="E49" s="9">
        <v>0.31</v>
      </c>
      <c r="F49" s="9">
        <v>1</v>
      </c>
      <c r="G49" s="9">
        <v>0.27</v>
      </c>
      <c r="H49" s="9">
        <v>0.19</v>
      </c>
      <c r="I49" s="10" t="s">
        <v>667</v>
      </c>
      <c r="J49" s="10" t="s">
        <v>668</v>
      </c>
      <c r="K49" s="10" t="s">
        <v>278</v>
      </c>
      <c r="L49" s="23">
        <v>0</v>
      </c>
      <c r="M49" s="10" t="s">
        <v>174</v>
      </c>
      <c r="N49">
        <f t="shared" si="4"/>
        <v>1</v>
      </c>
      <c r="O49">
        <f t="shared" si="1"/>
        <v>4</v>
      </c>
      <c r="P49">
        <f t="shared" si="2"/>
        <v>1</v>
      </c>
      <c r="Q49">
        <f t="shared" si="3"/>
        <v>1</v>
      </c>
      <c r="R49" s="32">
        <f>IF('AAA Summary'!$L$35=4, RANK(H49,H$8:H$83,1)+COUNTIF($H$8:H49,H49)-1, IF('AAA Summary'!$L$35=3, RANK(G49,G$8:G$83,1)+COUNTIF($G$8:G49,G49)-1, IF('AAA Summary'!$L$35=2, RANK(F49,F$8:F$83,1)+COUNTIF($F$8:F49,F49)-1, IF('AAA Summary'!$L$35=1, RANK(E49,E$8:E$83,1)+COUNTIF($E$8:E49,E49)-1))))</f>
        <v>1</v>
      </c>
      <c r="S49" s="66">
        <f>IF('AAA Summary'!$L$35=4, H49, IF('AAA Summary'!$L$35=3, G49, IF('AAA Summary'!$L$35=2, F49, IF('AAA Summary'!$L$35=1, E49))))</f>
        <v>0.31</v>
      </c>
      <c r="T49">
        <v>1</v>
      </c>
    </row>
    <row r="50" spans="1:20" x14ac:dyDescent="0.25">
      <c r="A50" s="10" t="s">
        <v>83</v>
      </c>
      <c r="B50" s="4" t="s">
        <v>84</v>
      </c>
      <c r="C50" s="6">
        <v>87</v>
      </c>
      <c r="D50" s="6">
        <v>27</v>
      </c>
      <c r="E50" s="9">
        <v>0.74</v>
      </c>
      <c r="F50" s="9">
        <v>1</v>
      </c>
      <c r="G50" s="9">
        <v>0.73</v>
      </c>
      <c r="H50" s="9">
        <v>0.74</v>
      </c>
      <c r="I50" s="10" t="s">
        <v>734</v>
      </c>
      <c r="J50" s="10" t="s">
        <v>531</v>
      </c>
      <c r="K50" s="10" t="s">
        <v>515</v>
      </c>
      <c r="L50" s="23">
        <v>2.1000000000000001E-2</v>
      </c>
      <c r="M50" s="10" t="s">
        <v>83</v>
      </c>
      <c r="N50">
        <f t="shared" si="4"/>
        <v>1</v>
      </c>
      <c r="O50">
        <f t="shared" si="1"/>
        <v>4</v>
      </c>
      <c r="P50">
        <f t="shared" si="2"/>
        <v>1</v>
      </c>
      <c r="Q50">
        <f t="shared" si="3"/>
        <v>1</v>
      </c>
      <c r="R50" s="32">
        <f>IF('AAA Summary'!$L$35=4, RANK(H50,H$8:H$83,1)+COUNTIF($H$8:H50,H50)-1, IF('AAA Summary'!$L$35=3, RANK(G50,G$8:G$83,1)+COUNTIF($G$8:G50,G50)-1, IF('AAA Summary'!$L$35=2, RANK(F50,F$8:F$83,1)+COUNTIF($F$8:F50,F50)-1, IF('AAA Summary'!$L$35=1, RANK(E50,E$8:E$83,1)+COUNTIF($E$8:E50,E50)-1))))</f>
        <v>12</v>
      </c>
      <c r="S50" s="66">
        <f>IF('AAA Summary'!$L$35=4, H50, IF('AAA Summary'!$L$35=3, G50, IF('AAA Summary'!$L$35=2, F50, IF('AAA Summary'!$L$35=1, E50))))</f>
        <v>0.74</v>
      </c>
      <c r="T50">
        <v>3</v>
      </c>
    </row>
    <row r="51" spans="1:20" x14ac:dyDescent="0.25">
      <c r="A51" s="10" t="s">
        <v>124</v>
      </c>
      <c r="B51" s="4" t="s">
        <v>125</v>
      </c>
      <c r="C51" s="6">
        <v>60</v>
      </c>
      <c r="D51" s="6">
        <v>35</v>
      </c>
      <c r="E51" s="9">
        <v>0.97</v>
      </c>
      <c r="F51" s="9">
        <v>0.97</v>
      </c>
      <c r="G51" s="9">
        <v>0.96</v>
      </c>
      <c r="H51" s="9">
        <v>0.95</v>
      </c>
      <c r="I51" s="10" t="s">
        <v>644</v>
      </c>
      <c r="J51" s="10" t="s">
        <v>270</v>
      </c>
      <c r="K51" s="10" t="s">
        <v>527</v>
      </c>
      <c r="L51" s="23">
        <v>2.8000000000000001E-2</v>
      </c>
      <c r="M51" s="10" t="s">
        <v>124</v>
      </c>
      <c r="N51">
        <f t="shared" si="4"/>
        <v>3</v>
      </c>
      <c r="O51">
        <f t="shared" si="1"/>
        <v>2</v>
      </c>
      <c r="P51">
        <f t="shared" si="2"/>
        <v>3</v>
      </c>
      <c r="Q51">
        <f t="shared" si="3"/>
        <v>3</v>
      </c>
      <c r="R51" s="32">
        <f>IF('AAA Summary'!$L$35=4, RANK(H51,H$8:H$83,1)+COUNTIF($H$8:H51,H51)-1, IF('AAA Summary'!$L$35=3, RANK(G51,G$8:G$83,1)+COUNTIF($G$8:G51,G51)-1, IF('AAA Summary'!$L$35=2, RANK(F51,F$8:F$83,1)+COUNTIF($F$8:F51,F51)-1, IF('AAA Summary'!$L$35=1, RANK(E51,E$8:E$83,1)+COUNTIF($E$8:E51,E51)-1))))</f>
        <v>44</v>
      </c>
      <c r="S51" s="66">
        <f>IF('AAA Summary'!$L$35=4, H51, IF('AAA Summary'!$L$35=3, G51, IF('AAA Summary'!$L$35=2, F51, IF('AAA Summary'!$L$35=1, E51))))</f>
        <v>0.97</v>
      </c>
      <c r="T51">
        <v>3</v>
      </c>
    </row>
    <row r="52" spans="1:20" x14ac:dyDescent="0.25">
      <c r="A52" s="10" t="s">
        <v>89</v>
      </c>
      <c r="B52" s="4" t="s">
        <v>90</v>
      </c>
      <c r="C52" s="6">
        <v>42</v>
      </c>
      <c r="D52" s="6">
        <v>26</v>
      </c>
      <c r="E52" s="9">
        <v>0.93</v>
      </c>
      <c r="F52" s="9">
        <v>1</v>
      </c>
      <c r="G52" s="9">
        <v>0.92</v>
      </c>
      <c r="H52" s="9">
        <v>0.71</v>
      </c>
      <c r="I52" s="10" t="s">
        <v>627</v>
      </c>
      <c r="J52" s="10" t="s">
        <v>277</v>
      </c>
      <c r="K52" s="10" t="s">
        <v>271</v>
      </c>
      <c r="L52" s="23">
        <v>3.4000000000000002E-2</v>
      </c>
      <c r="M52" s="10" t="s">
        <v>89</v>
      </c>
      <c r="N52">
        <f t="shared" si="4"/>
        <v>2</v>
      </c>
      <c r="O52">
        <f t="shared" si="1"/>
        <v>4</v>
      </c>
      <c r="P52">
        <f t="shared" si="2"/>
        <v>3</v>
      </c>
      <c r="Q52">
        <f t="shared" si="3"/>
        <v>1</v>
      </c>
      <c r="R52" s="32">
        <f>IF('AAA Summary'!$L$35=4, RANK(H52,H$8:H$83,1)+COUNTIF($H$8:H52,H52)-1, IF('AAA Summary'!$L$35=3, RANK(G52,G$8:G$83,1)+COUNTIF($G$8:G52,G52)-1, IF('AAA Summary'!$L$35=2, RANK(F52,F$8:F$83,1)+COUNTIF($F$8:F52,F52)-1, IF('AAA Summary'!$L$35=1, RANK(E52,E$8:E$83,1)+COUNTIF($E$8:E52,E52)-1))))</f>
        <v>33</v>
      </c>
      <c r="S52" s="66">
        <f>IF('AAA Summary'!$L$35=4, H52, IF('AAA Summary'!$L$35=3, G52, IF('AAA Summary'!$L$35=2, F52, IF('AAA Summary'!$L$35=1, E52))))</f>
        <v>0.93</v>
      </c>
      <c r="T52">
        <v>3</v>
      </c>
    </row>
    <row r="53" spans="1:20" x14ac:dyDescent="0.25">
      <c r="A53" s="10" t="s">
        <v>91</v>
      </c>
      <c r="B53" s="4" t="s">
        <v>92</v>
      </c>
      <c r="C53" s="6">
        <v>36</v>
      </c>
      <c r="D53" s="6">
        <v>24</v>
      </c>
      <c r="E53" s="9">
        <v>0.94</v>
      </c>
      <c r="F53" s="9">
        <v>0.92</v>
      </c>
      <c r="G53" s="9">
        <v>0.94</v>
      </c>
      <c r="H53" s="9">
        <v>0.94</v>
      </c>
      <c r="I53" s="10" t="s">
        <v>628</v>
      </c>
      <c r="J53" s="10" t="s">
        <v>613</v>
      </c>
      <c r="K53" s="10" t="s">
        <v>591</v>
      </c>
      <c r="L53" s="23">
        <v>1.4999999999999999E-2</v>
      </c>
      <c r="M53" s="10" t="s">
        <v>91</v>
      </c>
      <c r="N53">
        <f t="shared" si="4"/>
        <v>2</v>
      </c>
      <c r="O53">
        <f t="shared" si="1"/>
        <v>1</v>
      </c>
      <c r="P53">
        <f t="shared" si="2"/>
        <v>3</v>
      </c>
      <c r="Q53">
        <f t="shared" si="3"/>
        <v>3</v>
      </c>
      <c r="R53" s="32">
        <f>IF('AAA Summary'!$L$35=4, RANK(H53,H$8:H$83,1)+COUNTIF($H$8:H53,H53)-1, IF('AAA Summary'!$L$35=3, RANK(G53,G$8:G$83,1)+COUNTIF($G$8:G53,G53)-1, IF('AAA Summary'!$L$35=2, RANK(F53,F$8:F$83,1)+COUNTIF($F$8:F53,F53)-1, IF('AAA Summary'!$L$35=1, RANK(E53,E$8:E$83,1)+COUNTIF($E$8:E53,E53)-1))))</f>
        <v>36</v>
      </c>
      <c r="S53" s="66">
        <f>IF('AAA Summary'!$L$35=4, H53, IF('AAA Summary'!$L$35=3, G53, IF('AAA Summary'!$L$35=2, F53, IF('AAA Summary'!$L$35=1, E53))))</f>
        <v>0.94</v>
      </c>
      <c r="T53">
        <v>3</v>
      </c>
    </row>
    <row r="54" spans="1:20" x14ac:dyDescent="0.25">
      <c r="A54" s="10" t="s">
        <v>144</v>
      </c>
      <c r="B54" s="4" t="s">
        <v>145</v>
      </c>
      <c r="C54" s="6">
        <v>45</v>
      </c>
      <c r="D54" s="6">
        <v>38</v>
      </c>
      <c r="E54" s="9">
        <v>0.93</v>
      </c>
      <c r="F54" s="9">
        <v>1</v>
      </c>
      <c r="G54" s="9">
        <v>0.93</v>
      </c>
      <c r="H54" s="9">
        <v>0.93</v>
      </c>
      <c r="I54" s="10" t="s">
        <v>741</v>
      </c>
      <c r="J54" s="10" t="s">
        <v>657</v>
      </c>
      <c r="K54" s="10" t="s">
        <v>515</v>
      </c>
      <c r="L54" s="23">
        <v>1.0999999999999999E-2</v>
      </c>
      <c r="M54" s="10" t="s">
        <v>144</v>
      </c>
      <c r="N54">
        <f t="shared" si="4"/>
        <v>2</v>
      </c>
      <c r="O54">
        <f t="shared" si="1"/>
        <v>4</v>
      </c>
      <c r="P54">
        <f t="shared" si="2"/>
        <v>3</v>
      </c>
      <c r="Q54">
        <f t="shared" si="3"/>
        <v>3</v>
      </c>
      <c r="R54" s="32">
        <f>IF('AAA Summary'!$L$35=4, RANK(H54,H$8:H$83,1)+COUNTIF($H$8:H54,H54)-1, IF('AAA Summary'!$L$35=3, RANK(G54,G$8:G$83,1)+COUNTIF($G$8:G54,G54)-1, IF('AAA Summary'!$L$35=2, RANK(F54,F$8:F$83,1)+COUNTIF($F$8:F54,F54)-1, IF('AAA Summary'!$L$35=1, RANK(E54,E$8:E$83,1)+COUNTIF($E$8:E54,E54)-1))))</f>
        <v>34</v>
      </c>
      <c r="S54" s="66">
        <f>IF('AAA Summary'!$L$35=4, H54, IF('AAA Summary'!$L$35=3, G54, IF('AAA Summary'!$L$35=2, F54, IF('AAA Summary'!$L$35=1, E54))))</f>
        <v>0.93</v>
      </c>
      <c r="T54">
        <v>3</v>
      </c>
    </row>
    <row r="55" spans="1:20" x14ac:dyDescent="0.25">
      <c r="A55" s="10" t="s">
        <v>118</v>
      </c>
      <c r="B55" s="4" t="s">
        <v>119</v>
      </c>
      <c r="C55" s="6">
        <v>84</v>
      </c>
      <c r="D55" s="6">
        <v>48</v>
      </c>
      <c r="E55" s="9">
        <v>0.89</v>
      </c>
      <c r="F55" s="9">
        <v>0.96</v>
      </c>
      <c r="G55" s="9">
        <v>0.89</v>
      </c>
      <c r="H55" s="9">
        <v>0.88</v>
      </c>
      <c r="I55" s="10" t="s">
        <v>640</v>
      </c>
      <c r="J55" s="10" t="s">
        <v>275</v>
      </c>
      <c r="K55" s="10" t="s">
        <v>368</v>
      </c>
      <c r="L55" s="23">
        <v>1.2999999999999999E-2</v>
      </c>
      <c r="M55" s="10" t="s">
        <v>118</v>
      </c>
      <c r="N55">
        <f t="shared" si="4"/>
        <v>2</v>
      </c>
      <c r="O55">
        <f t="shared" si="1"/>
        <v>1</v>
      </c>
      <c r="P55">
        <f t="shared" si="2"/>
        <v>2</v>
      </c>
      <c r="Q55">
        <f t="shared" si="3"/>
        <v>2</v>
      </c>
      <c r="R55" s="32">
        <f>IF('AAA Summary'!$L$35=4, RANK(H55,H$8:H$83,1)+COUNTIF($H$8:H55,H55)-1, IF('AAA Summary'!$L$35=3, RANK(G55,G$8:G$83,1)+COUNTIF($G$8:G55,G55)-1, IF('AAA Summary'!$L$35=2, RANK(F55,F$8:F$83,1)+COUNTIF($F$8:F55,F55)-1, IF('AAA Summary'!$L$35=1, RANK(E55,E$8:E$83,1)+COUNTIF($E$8:E55,E55)-1))))</f>
        <v>21</v>
      </c>
      <c r="S55" s="66">
        <f>IF('AAA Summary'!$L$35=4, H55, IF('AAA Summary'!$L$35=3, G55, IF('AAA Summary'!$L$35=2, F55, IF('AAA Summary'!$L$35=1, E55))))</f>
        <v>0.89</v>
      </c>
      <c r="T55">
        <v>3</v>
      </c>
    </row>
    <row r="56" spans="1:20" x14ac:dyDescent="0.25">
      <c r="A56" s="10" t="s">
        <v>128</v>
      </c>
      <c r="B56" s="4" t="s">
        <v>129</v>
      </c>
      <c r="C56" s="6">
        <v>57</v>
      </c>
      <c r="D56" s="6">
        <v>46</v>
      </c>
      <c r="E56" s="9">
        <v>0.96</v>
      </c>
      <c r="F56" s="9">
        <v>0.95</v>
      </c>
      <c r="G56" s="9">
        <v>0.96</v>
      </c>
      <c r="H56" s="9">
        <v>0.98</v>
      </c>
      <c r="I56" s="10" t="s">
        <v>647</v>
      </c>
      <c r="J56" s="10" t="s">
        <v>648</v>
      </c>
      <c r="K56" s="10" t="s">
        <v>271</v>
      </c>
      <c r="L56" s="23">
        <v>1.2E-2</v>
      </c>
      <c r="M56" s="10" t="s">
        <v>128</v>
      </c>
      <c r="N56">
        <f t="shared" si="4"/>
        <v>3</v>
      </c>
      <c r="O56">
        <f t="shared" si="1"/>
        <v>1</v>
      </c>
      <c r="P56">
        <f t="shared" si="2"/>
        <v>3</v>
      </c>
      <c r="Q56">
        <f t="shared" si="3"/>
        <v>4</v>
      </c>
      <c r="R56" s="32">
        <f>IF('AAA Summary'!$L$35=4, RANK(H56,H$8:H$83,1)+COUNTIF($H$8:H56,H56)-1, IF('AAA Summary'!$L$35=3, RANK(G56,G$8:G$83,1)+COUNTIF($G$8:G56,G56)-1, IF('AAA Summary'!$L$35=2, RANK(F56,F$8:F$83,1)+COUNTIF($F$8:F56,F56)-1, IF('AAA Summary'!$L$35=1, RANK(E56,E$8:E$83,1)+COUNTIF($E$8:E56,E56)-1))))</f>
        <v>40</v>
      </c>
      <c r="S56" s="66">
        <f>IF('AAA Summary'!$L$35=4, H56, IF('AAA Summary'!$L$35=3, G56, IF('AAA Summary'!$L$35=2, F56, IF('AAA Summary'!$L$35=1, E56))))</f>
        <v>0.96</v>
      </c>
      <c r="T56">
        <v>3</v>
      </c>
    </row>
    <row r="57" spans="1:20" x14ac:dyDescent="0.25">
      <c r="A57" s="10" t="s">
        <v>101</v>
      </c>
      <c r="B57" s="4" t="s">
        <v>102</v>
      </c>
      <c r="C57" s="6">
        <v>19</v>
      </c>
      <c r="D57" s="6">
        <v>15</v>
      </c>
      <c r="E57" s="9">
        <v>1</v>
      </c>
      <c r="F57" s="9">
        <v>1</v>
      </c>
      <c r="G57" s="9">
        <v>1</v>
      </c>
      <c r="H57" s="9">
        <v>1</v>
      </c>
      <c r="I57" s="10" t="s">
        <v>633</v>
      </c>
      <c r="J57" s="10" t="s">
        <v>772</v>
      </c>
      <c r="K57" s="10" t="s">
        <v>634</v>
      </c>
      <c r="L57" s="23">
        <v>2.9000000000000001E-2</v>
      </c>
      <c r="M57" s="10" t="s">
        <v>101</v>
      </c>
      <c r="N57">
        <f t="shared" si="4"/>
        <v>4</v>
      </c>
      <c r="O57">
        <f t="shared" si="1"/>
        <v>4</v>
      </c>
      <c r="P57">
        <f t="shared" si="2"/>
        <v>4</v>
      </c>
      <c r="Q57">
        <f t="shared" si="3"/>
        <v>4</v>
      </c>
      <c r="R57" s="32">
        <f>IF('AAA Summary'!$L$35=4, RANK(H57,H$8:H$83,1)+COUNTIF($H$8:H57,H57)-1, IF('AAA Summary'!$L$35=3, RANK(G57,G$8:G$83,1)+COUNTIF($G$8:G57,G57)-1, IF('AAA Summary'!$L$35=2, RANK(F57,F$8:F$83,1)+COUNTIF($F$8:F57,F57)-1, IF('AAA Summary'!$L$35=1, RANK(E57,E$8:E$83,1)+COUNTIF($E$8:E57,E57)-1))))</f>
        <v>68</v>
      </c>
      <c r="S57" s="66">
        <f>IF('AAA Summary'!$L$35=4, H57, IF('AAA Summary'!$L$35=3, G57, IF('AAA Summary'!$L$35=2, F57, IF('AAA Summary'!$L$35=1, E57))))</f>
        <v>1</v>
      </c>
      <c r="T57">
        <v>3</v>
      </c>
    </row>
    <row r="58" spans="1:20" x14ac:dyDescent="0.25">
      <c r="A58" s="10" t="s">
        <v>42</v>
      </c>
      <c r="B58" s="4" t="s">
        <v>43</v>
      </c>
      <c r="C58" s="6">
        <v>40</v>
      </c>
      <c r="D58" s="6">
        <v>18</v>
      </c>
      <c r="E58" s="9">
        <v>0.95</v>
      </c>
      <c r="F58" s="9">
        <v>0.98</v>
      </c>
      <c r="G58" s="9">
        <v>0.91</v>
      </c>
      <c r="H58" s="9">
        <v>0.93</v>
      </c>
      <c r="I58" s="10" t="s">
        <v>729</v>
      </c>
      <c r="J58" s="10" t="s">
        <v>609</v>
      </c>
      <c r="K58" s="10" t="s">
        <v>527</v>
      </c>
      <c r="L58" s="23">
        <v>3.5999999999999997E-2</v>
      </c>
      <c r="M58" s="10" t="s">
        <v>42</v>
      </c>
      <c r="N58">
        <f t="shared" si="4"/>
        <v>3</v>
      </c>
      <c r="O58">
        <f t="shared" si="1"/>
        <v>2</v>
      </c>
      <c r="P58">
        <f t="shared" si="2"/>
        <v>3</v>
      </c>
      <c r="Q58">
        <f t="shared" si="3"/>
        <v>3</v>
      </c>
      <c r="R58" s="32">
        <f>IF('AAA Summary'!$L$35=4, RANK(H58,H$8:H$83,1)+COUNTIF($H$8:H58,H58)-1, IF('AAA Summary'!$L$35=3, RANK(G58,G$8:G$83,1)+COUNTIF($G$8:G58,G58)-1, IF('AAA Summary'!$L$35=2, RANK(F58,F$8:F$83,1)+COUNTIF($F$8:F58,F58)-1, IF('AAA Summary'!$L$35=1, RANK(E58,E$8:E$83,1)+COUNTIF($E$8:E58,E58)-1))))</f>
        <v>39</v>
      </c>
      <c r="S58" s="66">
        <f>IF('AAA Summary'!$L$35=4, H58, IF('AAA Summary'!$L$35=3, G58, IF('AAA Summary'!$L$35=2, F58, IF('AAA Summary'!$L$35=1, E58))))</f>
        <v>0.95</v>
      </c>
      <c r="T58">
        <v>3</v>
      </c>
    </row>
    <row r="59" spans="1:20" x14ac:dyDescent="0.25">
      <c r="A59" s="10" t="s">
        <v>111</v>
      </c>
      <c r="B59" s="4" t="s">
        <v>112</v>
      </c>
      <c r="C59" s="6">
        <v>6</v>
      </c>
      <c r="D59" s="6">
        <v>5</v>
      </c>
      <c r="E59" s="9">
        <v>1</v>
      </c>
      <c r="F59" s="9">
        <v>1</v>
      </c>
      <c r="G59" s="9">
        <v>1</v>
      </c>
      <c r="H59" s="9">
        <v>1</v>
      </c>
      <c r="I59" s="10" t="s">
        <v>737</v>
      </c>
      <c r="J59" s="10" t="s">
        <v>772</v>
      </c>
      <c r="K59" s="10" t="s">
        <v>636</v>
      </c>
      <c r="L59" s="23">
        <v>0</v>
      </c>
      <c r="M59" s="10" t="s">
        <v>111</v>
      </c>
      <c r="N59">
        <f t="shared" si="4"/>
        <v>4</v>
      </c>
      <c r="O59">
        <f t="shared" si="1"/>
        <v>4</v>
      </c>
      <c r="P59">
        <f t="shared" si="2"/>
        <v>4</v>
      </c>
      <c r="Q59">
        <f t="shared" si="3"/>
        <v>4</v>
      </c>
      <c r="R59" s="32">
        <f>IF('AAA Summary'!$L$35=4, RANK(H59,H$8:H$83,1)+COUNTIF($H$8:H59,H59)-1, IF('AAA Summary'!$L$35=3, RANK(G59,G$8:G$83,1)+COUNTIF($G$8:G59,G59)-1, IF('AAA Summary'!$L$35=2, RANK(F59,F$8:F$83,1)+COUNTIF($F$8:F59,F59)-1, IF('AAA Summary'!$L$35=1, RANK(E59,E$8:E$83,1)+COUNTIF($E$8:E59,E59)-1))))</f>
        <v>69</v>
      </c>
      <c r="S59" s="66">
        <f>IF('AAA Summary'!$L$35=4, H59, IF('AAA Summary'!$L$35=3, G59, IF('AAA Summary'!$L$35=2, F59, IF('AAA Summary'!$L$35=1, E59))))</f>
        <v>1</v>
      </c>
      <c r="T59">
        <v>3</v>
      </c>
    </row>
    <row r="60" spans="1:20" x14ac:dyDescent="0.25">
      <c r="A60" s="10" t="s">
        <v>44</v>
      </c>
      <c r="B60" s="4" t="s">
        <v>45</v>
      </c>
      <c r="C60" s="6">
        <v>24</v>
      </c>
      <c r="D60" s="6">
        <v>19</v>
      </c>
      <c r="E60" s="9">
        <v>0.96</v>
      </c>
      <c r="F60" s="9">
        <v>1</v>
      </c>
      <c r="G60" s="9">
        <v>0.9</v>
      </c>
      <c r="H60" s="9">
        <v>0.96</v>
      </c>
      <c r="I60" s="10" t="s">
        <v>610</v>
      </c>
      <c r="J60" s="10" t="s">
        <v>611</v>
      </c>
      <c r="K60" s="10" t="s">
        <v>515</v>
      </c>
      <c r="L60" s="23">
        <v>2.1999999999999999E-2</v>
      </c>
      <c r="M60" s="10" t="s">
        <v>44</v>
      </c>
      <c r="N60">
        <f t="shared" si="4"/>
        <v>3</v>
      </c>
      <c r="O60">
        <f t="shared" si="1"/>
        <v>4</v>
      </c>
      <c r="P60">
        <f t="shared" si="2"/>
        <v>2</v>
      </c>
      <c r="Q60">
        <f t="shared" si="3"/>
        <v>4</v>
      </c>
      <c r="R60" s="32">
        <f>IF('AAA Summary'!$L$35=4, RANK(H60,H$8:H$83,1)+COUNTIF($H$8:H60,H60)-1, IF('AAA Summary'!$L$35=3, RANK(G60,G$8:G$83,1)+COUNTIF($G$8:G60,G60)-1, IF('AAA Summary'!$L$35=2, RANK(F60,F$8:F$83,1)+COUNTIF($F$8:F60,F60)-1, IF('AAA Summary'!$L$35=1, RANK(E60,E$8:E$83,1)+COUNTIF($E$8:E60,E60)-1))))</f>
        <v>41</v>
      </c>
      <c r="S60" s="66">
        <f>IF('AAA Summary'!$L$35=4, H60, IF('AAA Summary'!$L$35=3, G60, IF('AAA Summary'!$L$35=2, F60, IF('AAA Summary'!$L$35=1, E60))))</f>
        <v>0.96</v>
      </c>
      <c r="T60">
        <v>3</v>
      </c>
    </row>
    <row r="61" spans="1:20" x14ac:dyDescent="0.25">
      <c r="A61" s="10" t="s">
        <v>56</v>
      </c>
      <c r="B61" s="4" t="s">
        <v>57</v>
      </c>
      <c r="C61" s="6">
        <v>27</v>
      </c>
      <c r="D61" s="6">
        <v>13</v>
      </c>
      <c r="E61" s="9">
        <v>1</v>
      </c>
      <c r="F61" s="9">
        <v>1</v>
      </c>
      <c r="G61" s="9">
        <v>1</v>
      </c>
      <c r="H61" s="9">
        <v>0.81</v>
      </c>
      <c r="I61" s="10" t="s">
        <v>612</v>
      </c>
      <c r="J61" s="10" t="s">
        <v>329</v>
      </c>
      <c r="K61" s="10" t="s">
        <v>527</v>
      </c>
      <c r="L61" s="23">
        <v>1.4E-2</v>
      </c>
      <c r="M61" s="10" t="s">
        <v>56</v>
      </c>
      <c r="N61">
        <f t="shared" si="4"/>
        <v>4</v>
      </c>
      <c r="O61">
        <f t="shared" si="1"/>
        <v>4</v>
      </c>
      <c r="P61">
        <f t="shared" si="2"/>
        <v>4</v>
      </c>
      <c r="Q61">
        <f t="shared" si="3"/>
        <v>2</v>
      </c>
      <c r="R61" s="32">
        <f>IF('AAA Summary'!$L$35=4, RANK(H61,H$8:H$83,1)+COUNTIF($H$8:H61,H61)-1, IF('AAA Summary'!$L$35=3, RANK(G61,G$8:G$83,1)+COUNTIF($G$8:G61,G61)-1, IF('AAA Summary'!$L$35=2, RANK(F61,F$8:F$83,1)+COUNTIF($F$8:F61,F61)-1, IF('AAA Summary'!$L$35=1, RANK(E61,E$8:E$83,1)+COUNTIF($E$8:E61,E61)-1))))</f>
        <v>70</v>
      </c>
      <c r="S61" s="66">
        <f>IF('AAA Summary'!$L$35=4, H61, IF('AAA Summary'!$L$35=3, G61, IF('AAA Summary'!$L$35=2, F61, IF('AAA Summary'!$L$35=1, E61))))</f>
        <v>1</v>
      </c>
      <c r="T61">
        <v>3</v>
      </c>
    </row>
    <row r="62" spans="1:20" x14ac:dyDescent="0.25">
      <c r="A62" s="10" t="s">
        <v>23</v>
      </c>
      <c r="B62" s="4" t="s">
        <v>24</v>
      </c>
      <c r="C62" s="6">
        <v>50</v>
      </c>
      <c r="D62" s="6">
        <v>33</v>
      </c>
      <c r="E62" s="9">
        <v>0.6</v>
      </c>
      <c r="F62" s="9">
        <v>1</v>
      </c>
      <c r="G62" s="9">
        <v>0.61</v>
      </c>
      <c r="H62" s="9">
        <v>0.7</v>
      </c>
      <c r="I62" s="10" t="s">
        <v>601</v>
      </c>
      <c r="J62" s="10" t="s">
        <v>602</v>
      </c>
      <c r="K62" s="10" t="s">
        <v>515</v>
      </c>
      <c r="L62" s="23">
        <v>0</v>
      </c>
      <c r="M62" s="10" t="s">
        <v>23</v>
      </c>
      <c r="N62">
        <f t="shared" si="4"/>
        <v>1</v>
      </c>
      <c r="O62">
        <f t="shared" si="1"/>
        <v>4</v>
      </c>
      <c r="P62">
        <f t="shared" si="2"/>
        <v>1</v>
      </c>
      <c r="Q62">
        <f t="shared" si="3"/>
        <v>1</v>
      </c>
      <c r="R62" s="32">
        <f>IF('AAA Summary'!$L$35=4, RANK(H62,H$8:H$83,1)+COUNTIF($H$8:H62,H62)-1, IF('AAA Summary'!$L$35=3, RANK(G62,G$8:G$83,1)+COUNTIF($G$8:G62,G62)-1, IF('AAA Summary'!$L$35=2, RANK(F62,F$8:F$83,1)+COUNTIF($F$8:F62,F62)-1, IF('AAA Summary'!$L$35=1, RANK(E62,E$8:E$83,1)+COUNTIF($E$8:E62,E62)-1))))</f>
        <v>5</v>
      </c>
      <c r="S62" s="66">
        <f>IF('AAA Summary'!$L$35=4, H62, IF('AAA Summary'!$L$35=3, G62, IF('AAA Summary'!$L$35=2, F62, IF('AAA Summary'!$L$35=1, E62))))</f>
        <v>0.6</v>
      </c>
      <c r="T62">
        <v>2</v>
      </c>
    </row>
    <row r="63" spans="1:20" x14ac:dyDescent="0.25">
      <c r="A63" s="10" t="s">
        <v>97</v>
      </c>
      <c r="B63" s="4" t="s">
        <v>98</v>
      </c>
      <c r="C63" s="6">
        <v>83</v>
      </c>
      <c r="D63" s="6">
        <v>46</v>
      </c>
      <c r="E63" s="9">
        <v>0.88</v>
      </c>
      <c r="F63" s="9">
        <v>0.99</v>
      </c>
      <c r="G63" s="9">
        <v>0.71</v>
      </c>
      <c r="H63" s="9">
        <v>0.75</v>
      </c>
      <c r="I63" s="10" t="s">
        <v>630</v>
      </c>
      <c r="J63" s="10" t="s">
        <v>547</v>
      </c>
      <c r="K63" s="10" t="s">
        <v>514</v>
      </c>
      <c r="L63" s="23">
        <v>1.6E-2</v>
      </c>
      <c r="M63" s="10" t="s">
        <v>97</v>
      </c>
      <c r="N63">
        <f t="shared" si="4"/>
        <v>1</v>
      </c>
      <c r="O63">
        <f t="shared" si="1"/>
        <v>3</v>
      </c>
      <c r="P63">
        <f t="shared" si="2"/>
        <v>1</v>
      </c>
      <c r="Q63">
        <f t="shared" si="3"/>
        <v>2</v>
      </c>
      <c r="R63" s="32">
        <f>IF('AAA Summary'!$L$35=4, RANK(H63,H$8:H$83,1)+COUNTIF($H$8:H63,H63)-1, IF('AAA Summary'!$L$35=3, RANK(G63,G$8:G$83,1)+COUNTIF($G$8:G63,G63)-1, IF('AAA Summary'!$L$35=2, RANK(F63,F$8:F$83,1)+COUNTIF($F$8:F63,F63)-1, IF('AAA Summary'!$L$35=1, RANK(E63,E$8:E$83,1)+COUNTIF($E$8:E63,E63)-1))))</f>
        <v>19</v>
      </c>
      <c r="S63" s="66">
        <f>IF('AAA Summary'!$L$35=4, H63, IF('AAA Summary'!$L$35=3, G63, IF('AAA Summary'!$L$35=2, F63, IF('AAA Summary'!$L$35=1, E63))))</f>
        <v>0.88</v>
      </c>
      <c r="T63">
        <v>3</v>
      </c>
    </row>
    <row r="64" spans="1:20" x14ac:dyDescent="0.25">
      <c r="A64" s="10" t="s">
        <v>60</v>
      </c>
      <c r="B64" s="4" t="s">
        <v>61</v>
      </c>
      <c r="C64" s="6">
        <v>28</v>
      </c>
      <c r="D64" s="6">
        <v>16</v>
      </c>
      <c r="E64" s="9">
        <v>0.89</v>
      </c>
      <c r="F64" s="9">
        <v>1</v>
      </c>
      <c r="G64" s="9">
        <v>0.8</v>
      </c>
      <c r="H64" s="9">
        <v>0.71</v>
      </c>
      <c r="I64" s="10" t="s">
        <v>614</v>
      </c>
      <c r="J64" s="10" t="s">
        <v>715</v>
      </c>
      <c r="K64" s="10" t="s">
        <v>279</v>
      </c>
      <c r="L64" s="23">
        <v>1.4E-2</v>
      </c>
      <c r="M64" s="10" t="s">
        <v>60</v>
      </c>
      <c r="N64">
        <f t="shared" si="4"/>
        <v>2</v>
      </c>
      <c r="O64">
        <f t="shared" si="1"/>
        <v>4</v>
      </c>
      <c r="P64">
        <f t="shared" si="2"/>
        <v>1</v>
      </c>
      <c r="Q64">
        <f t="shared" si="3"/>
        <v>1</v>
      </c>
      <c r="R64" s="32">
        <f>IF('AAA Summary'!$L$35=4, RANK(H64,H$8:H$83,1)+COUNTIF($H$8:H64,H64)-1, IF('AAA Summary'!$L$35=3, RANK(G64,G$8:G$83,1)+COUNTIF($G$8:G64,G64)-1, IF('AAA Summary'!$L$35=2, RANK(F64,F$8:F$83,1)+COUNTIF($F$8:F64,F64)-1, IF('AAA Summary'!$L$35=1, RANK(E64,E$8:E$83,1)+COUNTIF($E$8:E64,E64)-1))))</f>
        <v>22</v>
      </c>
      <c r="S64" s="66">
        <f>IF('AAA Summary'!$L$35=4, H64, IF('AAA Summary'!$L$35=3, G64, IF('AAA Summary'!$L$35=2, F64, IF('AAA Summary'!$L$35=1, E64))))</f>
        <v>0.89</v>
      </c>
      <c r="T64">
        <v>2</v>
      </c>
    </row>
    <row r="65" spans="1:20" x14ac:dyDescent="0.25">
      <c r="A65" s="10" t="s">
        <v>156</v>
      </c>
      <c r="B65" s="4" t="s">
        <v>157</v>
      </c>
      <c r="C65" s="6">
        <v>30</v>
      </c>
      <c r="D65" s="6">
        <v>19</v>
      </c>
      <c r="E65" s="9">
        <v>0.97</v>
      </c>
      <c r="F65" s="9">
        <v>0.97</v>
      </c>
      <c r="G65" s="9">
        <v>0.96</v>
      </c>
      <c r="H65" s="9">
        <v>0.87</v>
      </c>
      <c r="I65" s="10" t="s">
        <v>659</v>
      </c>
      <c r="J65" s="10" t="s">
        <v>660</v>
      </c>
      <c r="K65" s="10" t="s">
        <v>540</v>
      </c>
      <c r="L65" s="23">
        <v>0</v>
      </c>
      <c r="M65" s="10" t="s">
        <v>156</v>
      </c>
      <c r="N65">
        <f t="shared" si="4"/>
        <v>3</v>
      </c>
      <c r="O65">
        <f t="shared" si="1"/>
        <v>2</v>
      </c>
      <c r="P65">
        <f t="shared" si="2"/>
        <v>3</v>
      </c>
      <c r="Q65">
        <f t="shared" si="3"/>
        <v>2</v>
      </c>
      <c r="R65" s="32">
        <f>IF('AAA Summary'!$L$35=4, RANK(H65,H$8:H$83,1)+COUNTIF($H$8:H65,H65)-1, IF('AAA Summary'!$L$35=3, RANK(G65,G$8:G$83,1)+COUNTIF($G$8:G65,G65)-1, IF('AAA Summary'!$L$35=2, RANK(F65,F$8:F$83,1)+COUNTIF($F$8:F65,F65)-1, IF('AAA Summary'!$L$35=1, RANK(E65,E$8:E$83,1)+COUNTIF($E$8:E65,E65)-1))))</f>
        <v>45</v>
      </c>
      <c r="S65" s="66">
        <f>IF('AAA Summary'!$L$35=4, H65, IF('AAA Summary'!$L$35=3, G65, IF('AAA Summary'!$L$35=2, F65, IF('AAA Summary'!$L$35=1, E65))))</f>
        <v>0.97</v>
      </c>
      <c r="T65">
        <v>3</v>
      </c>
    </row>
    <row r="66" spans="1:20" x14ac:dyDescent="0.25">
      <c r="A66" s="10" t="s">
        <v>122</v>
      </c>
      <c r="B66" s="4" t="s">
        <v>123</v>
      </c>
      <c r="C66" s="6">
        <v>39</v>
      </c>
      <c r="D66" s="6">
        <v>17</v>
      </c>
      <c r="E66" s="9">
        <v>0.85</v>
      </c>
      <c r="F66" s="9">
        <v>0.92</v>
      </c>
      <c r="G66" s="9">
        <v>0.81</v>
      </c>
      <c r="H66" s="9">
        <v>0.92</v>
      </c>
      <c r="I66" s="10" t="s">
        <v>642</v>
      </c>
      <c r="J66" s="10" t="s">
        <v>643</v>
      </c>
      <c r="K66" s="10" t="s">
        <v>515</v>
      </c>
      <c r="L66" s="23">
        <v>0</v>
      </c>
      <c r="M66" s="10" t="s">
        <v>122</v>
      </c>
      <c r="N66">
        <f t="shared" si="4"/>
        <v>1</v>
      </c>
      <c r="O66">
        <f t="shared" si="1"/>
        <v>1</v>
      </c>
      <c r="P66">
        <f t="shared" si="2"/>
        <v>1</v>
      </c>
      <c r="Q66">
        <f t="shared" si="3"/>
        <v>3</v>
      </c>
      <c r="R66" s="32">
        <f>IF('AAA Summary'!$L$35=4, RANK(H66,H$8:H$83,1)+COUNTIF($H$8:H66,H66)-1, IF('AAA Summary'!$L$35=3, RANK(G66,G$8:G$83,1)+COUNTIF($G$8:G66,G66)-1, IF('AAA Summary'!$L$35=2, RANK(F66,F$8:F$83,1)+COUNTIF($F$8:F66,F66)-1, IF('AAA Summary'!$L$35=1, RANK(E66,E$8:E$83,1)+COUNTIF($E$8:E66,E66)-1))))</f>
        <v>17</v>
      </c>
      <c r="S66" s="66">
        <f>IF('AAA Summary'!$L$35=4, H66, IF('AAA Summary'!$L$35=3, G66, IF('AAA Summary'!$L$35=2, F66, IF('AAA Summary'!$L$35=1, E66))))</f>
        <v>0.85</v>
      </c>
      <c r="T66">
        <v>3</v>
      </c>
    </row>
    <row r="67" spans="1:20" x14ac:dyDescent="0.25">
      <c r="A67" s="10" t="s">
        <v>21</v>
      </c>
      <c r="B67" s="4" t="s">
        <v>22</v>
      </c>
      <c r="C67" s="6">
        <v>31</v>
      </c>
      <c r="D67" s="6">
        <v>18</v>
      </c>
      <c r="E67" s="9">
        <v>0.97</v>
      </c>
      <c r="F67" s="9">
        <v>0.97</v>
      </c>
      <c r="G67" s="9">
        <v>0.9</v>
      </c>
      <c r="H67" s="9">
        <v>0.81</v>
      </c>
      <c r="I67" s="10" t="s">
        <v>599</v>
      </c>
      <c r="J67" s="10" t="s">
        <v>600</v>
      </c>
      <c r="K67" s="10" t="s">
        <v>540</v>
      </c>
      <c r="L67" s="23">
        <v>1.2E-2</v>
      </c>
      <c r="M67" s="10" t="s">
        <v>21</v>
      </c>
      <c r="N67">
        <f t="shared" si="4"/>
        <v>3</v>
      </c>
      <c r="O67">
        <f t="shared" si="1"/>
        <v>2</v>
      </c>
      <c r="P67">
        <f t="shared" si="2"/>
        <v>2</v>
      </c>
      <c r="Q67">
        <f t="shared" si="3"/>
        <v>2</v>
      </c>
      <c r="R67" s="32">
        <f>IF('AAA Summary'!$L$35=4, RANK(H67,H$8:H$83,1)+COUNTIF($H$8:H67,H67)-1, IF('AAA Summary'!$L$35=3, RANK(G67,G$8:G$83,1)+COUNTIF($G$8:G67,G67)-1, IF('AAA Summary'!$L$35=2, RANK(F67,F$8:F$83,1)+COUNTIF($F$8:F67,F67)-1, IF('AAA Summary'!$L$35=1, RANK(E67,E$8:E$83,1)+COUNTIF($E$8:E67,E67)-1))))</f>
        <v>46</v>
      </c>
      <c r="S67" s="66">
        <f>IF('AAA Summary'!$L$35=4, H67, IF('AAA Summary'!$L$35=3, G67, IF('AAA Summary'!$L$35=2, F67, IF('AAA Summary'!$L$35=1, E67))))</f>
        <v>0.97</v>
      </c>
      <c r="T67">
        <v>3</v>
      </c>
    </row>
    <row r="68" spans="1:20" x14ac:dyDescent="0.25">
      <c r="A68" s="10" t="s">
        <v>68</v>
      </c>
      <c r="B68" s="4" t="s">
        <v>69</v>
      </c>
      <c r="C68" s="6">
        <v>90</v>
      </c>
      <c r="D68" s="6">
        <v>86</v>
      </c>
      <c r="E68" s="9">
        <v>0.7</v>
      </c>
      <c r="F68" s="9">
        <v>0.98</v>
      </c>
      <c r="G68" s="9">
        <v>0.69</v>
      </c>
      <c r="H68" s="9">
        <v>0.71</v>
      </c>
      <c r="I68" s="10" t="s">
        <v>616</v>
      </c>
      <c r="J68" s="10" t="s">
        <v>772</v>
      </c>
      <c r="K68" s="10" t="s">
        <v>271</v>
      </c>
      <c r="L68" s="23">
        <v>0</v>
      </c>
      <c r="M68" s="10" t="s">
        <v>68</v>
      </c>
      <c r="N68">
        <f t="shared" si="4"/>
        <v>1</v>
      </c>
      <c r="O68">
        <f t="shared" si="1"/>
        <v>2</v>
      </c>
      <c r="P68">
        <f t="shared" si="2"/>
        <v>1</v>
      </c>
      <c r="Q68">
        <f t="shared" si="3"/>
        <v>1</v>
      </c>
      <c r="R68" s="32">
        <f>IF('AAA Summary'!$L$35=4, RANK(H68,H$8:H$83,1)+COUNTIF($H$8:H68,H68)-1, IF('AAA Summary'!$L$35=3, RANK(G68,G$8:G$83,1)+COUNTIF($G$8:G68,G68)-1, IF('AAA Summary'!$L$35=2, RANK(F68,F$8:F$83,1)+COUNTIF($F$8:F68,F68)-1, IF('AAA Summary'!$L$35=1, RANK(E68,E$8:E$83,1)+COUNTIF($E$8:E68,E68)-1))))</f>
        <v>10</v>
      </c>
      <c r="S68" s="66">
        <f>IF('AAA Summary'!$L$35=4, H68, IF('AAA Summary'!$L$35=3, G68, IF('AAA Summary'!$L$35=2, F68, IF('AAA Summary'!$L$35=1, E68))))</f>
        <v>0.7</v>
      </c>
      <c r="T68">
        <v>3</v>
      </c>
    </row>
    <row r="69" spans="1:20" x14ac:dyDescent="0.25">
      <c r="A69" s="10" t="s">
        <v>4</v>
      </c>
      <c r="B69" s="4" t="s">
        <v>214</v>
      </c>
      <c r="C69" s="6">
        <v>68</v>
      </c>
      <c r="D69" s="6">
        <v>29</v>
      </c>
      <c r="E69" s="9">
        <v>1</v>
      </c>
      <c r="F69" s="9">
        <v>0.99</v>
      </c>
      <c r="G69" s="9">
        <v>0.92</v>
      </c>
      <c r="H69" s="9">
        <v>0.96</v>
      </c>
      <c r="I69" s="10" t="s">
        <v>722</v>
      </c>
      <c r="J69" s="10" t="s">
        <v>590</v>
      </c>
      <c r="K69" s="10" t="s">
        <v>591</v>
      </c>
      <c r="L69" s="23">
        <v>2.1999999999999999E-2</v>
      </c>
      <c r="M69" s="10" t="s">
        <v>4</v>
      </c>
      <c r="N69">
        <f t="shared" si="4"/>
        <v>4</v>
      </c>
      <c r="O69">
        <f t="shared" si="1"/>
        <v>3</v>
      </c>
      <c r="P69">
        <f t="shared" si="2"/>
        <v>3</v>
      </c>
      <c r="Q69">
        <f t="shared" si="3"/>
        <v>4</v>
      </c>
      <c r="R69" s="32">
        <f>IF('AAA Summary'!$L$35=4, RANK(H69,H$8:H$83,1)+COUNTIF($H$8:H69,H69)-1, IF('AAA Summary'!$L$35=3, RANK(G69,G$8:G$83,1)+COUNTIF($G$8:G69,G69)-1, IF('AAA Summary'!$L$35=2, RANK(F69,F$8:F$83,1)+COUNTIF($F$8:F69,F69)-1, IF('AAA Summary'!$L$35=1, RANK(E69,E$8:E$83,1)+COUNTIF($E$8:E69,E69)-1))))</f>
        <v>71</v>
      </c>
      <c r="S69" s="66">
        <f>IF('AAA Summary'!$L$35=4, H69, IF('AAA Summary'!$L$35=3, G69, IF('AAA Summary'!$L$35=2, F69, IF('AAA Summary'!$L$35=1, E69))))</f>
        <v>1</v>
      </c>
      <c r="T69">
        <v>3</v>
      </c>
    </row>
    <row r="70" spans="1:20" x14ac:dyDescent="0.25">
      <c r="A70" s="10" t="s">
        <v>25</v>
      </c>
      <c r="B70" s="4" t="s">
        <v>26</v>
      </c>
      <c r="C70" s="6">
        <v>56</v>
      </c>
      <c r="D70" s="6">
        <v>30</v>
      </c>
      <c r="E70" s="9">
        <v>0.98</v>
      </c>
      <c r="F70" s="9">
        <v>0.98</v>
      </c>
      <c r="G70" s="9">
        <v>0.98</v>
      </c>
      <c r="H70" s="9">
        <v>0.98</v>
      </c>
      <c r="I70" s="10" t="s">
        <v>603</v>
      </c>
      <c r="J70" s="10" t="s">
        <v>718</v>
      </c>
      <c r="K70" s="10" t="s">
        <v>515</v>
      </c>
      <c r="L70" s="23">
        <v>2.3E-2</v>
      </c>
      <c r="M70" s="10" t="s">
        <v>25</v>
      </c>
      <c r="N70">
        <f t="shared" si="4"/>
        <v>3</v>
      </c>
      <c r="O70">
        <f t="shared" si="1"/>
        <v>2</v>
      </c>
      <c r="P70">
        <f t="shared" si="2"/>
        <v>4</v>
      </c>
      <c r="Q70">
        <f t="shared" si="3"/>
        <v>4</v>
      </c>
      <c r="R70" s="32">
        <f>IF('AAA Summary'!$L$35=4, RANK(H70,H$8:H$83,1)+COUNTIF($H$8:H70,H70)-1, IF('AAA Summary'!$L$35=3, RANK(G70,G$8:G$83,1)+COUNTIF($G$8:G70,G70)-1, IF('AAA Summary'!$L$35=2, RANK(F70,F$8:F$83,1)+COUNTIF($F$8:F70,F70)-1, IF('AAA Summary'!$L$35=1, RANK(E70,E$8:E$83,1)+COUNTIF($E$8:E70,E70)-1))))</f>
        <v>52</v>
      </c>
      <c r="S70" s="66">
        <f>IF('AAA Summary'!$L$35=4, H70, IF('AAA Summary'!$L$35=3, G70, IF('AAA Summary'!$L$35=2, F70, IF('AAA Summary'!$L$35=1, E70))))</f>
        <v>0.98</v>
      </c>
      <c r="T70">
        <v>3</v>
      </c>
    </row>
    <row r="71" spans="1:20" x14ac:dyDescent="0.25">
      <c r="A71" s="10" t="s">
        <v>87</v>
      </c>
      <c r="B71" s="4" t="s">
        <v>88</v>
      </c>
      <c r="C71" s="6">
        <v>57</v>
      </c>
      <c r="D71" s="6">
        <v>32</v>
      </c>
      <c r="E71" s="9">
        <v>0.93</v>
      </c>
      <c r="F71" s="9">
        <v>0.96</v>
      </c>
      <c r="G71" s="9">
        <v>0.93</v>
      </c>
      <c r="H71" s="9">
        <v>0.77</v>
      </c>
      <c r="I71" s="10" t="s">
        <v>626</v>
      </c>
      <c r="J71" s="10" t="s">
        <v>613</v>
      </c>
      <c r="K71" s="10" t="s">
        <v>527</v>
      </c>
      <c r="L71" s="23">
        <v>0</v>
      </c>
      <c r="M71" s="10" t="s">
        <v>87</v>
      </c>
      <c r="N71">
        <f t="shared" si="4"/>
        <v>2</v>
      </c>
      <c r="O71">
        <f t="shared" si="1"/>
        <v>1</v>
      </c>
      <c r="P71">
        <f t="shared" si="2"/>
        <v>3</v>
      </c>
      <c r="Q71">
        <f t="shared" si="3"/>
        <v>2</v>
      </c>
      <c r="R71" s="32">
        <f>IF('AAA Summary'!$L$35=4, RANK(H71,H$8:H$83,1)+COUNTIF($H$8:H71,H71)-1, IF('AAA Summary'!$L$35=3, RANK(G71,G$8:G$83,1)+COUNTIF($G$8:G71,G71)-1, IF('AAA Summary'!$L$35=2, RANK(F71,F$8:F$83,1)+COUNTIF($F$8:F71,F71)-1, IF('AAA Summary'!$L$35=1, RANK(E71,E$8:E$83,1)+COUNTIF($E$8:E71,E71)-1))))</f>
        <v>35</v>
      </c>
      <c r="S71" s="66">
        <f>IF('AAA Summary'!$L$35=4, H71, IF('AAA Summary'!$L$35=3, G71, IF('AAA Summary'!$L$35=2, F71, IF('AAA Summary'!$L$35=1, E71))))</f>
        <v>0.93</v>
      </c>
      <c r="T71">
        <v>3</v>
      </c>
    </row>
    <row r="72" spans="1:20" x14ac:dyDescent="0.25">
      <c r="A72" s="10" t="s">
        <v>17</v>
      </c>
      <c r="B72" s="4" t="s">
        <v>18</v>
      </c>
      <c r="C72" s="6">
        <v>30</v>
      </c>
      <c r="D72" s="6">
        <v>21</v>
      </c>
      <c r="E72" s="9">
        <v>1</v>
      </c>
      <c r="F72" s="9">
        <v>1</v>
      </c>
      <c r="G72" s="9">
        <v>1</v>
      </c>
      <c r="H72" s="9">
        <v>0.97</v>
      </c>
      <c r="I72" s="10" t="s">
        <v>597</v>
      </c>
      <c r="J72" s="10" t="s">
        <v>598</v>
      </c>
      <c r="K72" s="10" t="s">
        <v>527</v>
      </c>
      <c r="L72" s="23">
        <v>0</v>
      </c>
      <c r="M72" s="10" t="s">
        <v>17</v>
      </c>
      <c r="N72">
        <f t="shared" si="4"/>
        <v>4</v>
      </c>
      <c r="O72">
        <f t="shared" ref="O72:O83" si="5">+IF(F72&lt;F$2,1,IF(F72&lt;F$3,2,IF(F72&lt;F$4,3,4)))</f>
        <v>4</v>
      </c>
      <c r="P72">
        <f t="shared" ref="P72:P83" si="6">+IF(G72&lt;G$2,1,IF(G72&lt;G$3,2,IF(G72&lt;G$4,3,4)))</f>
        <v>4</v>
      </c>
      <c r="Q72">
        <f t="shared" ref="Q72:Q83" si="7">+IF(H72&lt;H$2,1,IF(H72&lt;H$3,2,IF(H72&lt;H$4,3,4)))</f>
        <v>4</v>
      </c>
      <c r="R72" s="32">
        <f>IF('AAA Summary'!$L$35=4, RANK(H72,H$8:H$83,1)+COUNTIF($H$8:H72,H72)-1, IF('AAA Summary'!$L$35=3, RANK(G72,G$8:G$83,1)+COUNTIF($G$8:G72,G72)-1, IF('AAA Summary'!$L$35=2, RANK(F72,F$8:F$83,1)+COUNTIF($F$8:F72,F72)-1, IF('AAA Summary'!$L$35=1, RANK(E72,E$8:E$83,1)+COUNTIF($E$8:E72,E72)-1))))</f>
        <v>72</v>
      </c>
      <c r="S72" s="66">
        <f>IF('AAA Summary'!$L$35=4, H72, IF('AAA Summary'!$L$35=3, G72, IF('AAA Summary'!$L$35=2, F72, IF('AAA Summary'!$L$35=1, E72))))</f>
        <v>1</v>
      </c>
      <c r="T72">
        <v>3</v>
      </c>
    </row>
    <row r="73" spans="1:20" x14ac:dyDescent="0.25">
      <c r="A73" s="10" t="s">
        <v>132</v>
      </c>
      <c r="B73" s="4" t="s">
        <v>133</v>
      </c>
      <c r="C73" s="6">
        <v>26</v>
      </c>
      <c r="D73" s="6">
        <v>13</v>
      </c>
      <c r="E73" s="9">
        <v>0.96</v>
      </c>
      <c r="F73" s="9">
        <v>1</v>
      </c>
      <c r="G73" s="9">
        <v>0.96</v>
      </c>
      <c r="H73" s="9">
        <v>1</v>
      </c>
      <c r="I73" s="10" t="s">
        <v>651</v>
      </c>
      <c r="J73" s="10" t="s">
        <v>613</v>
      </c>
      <c r="K73" s="10" t="s">
        <v>268</v>
      </c>
      <c r="L73" s="23">
        <v>4.8000000000000001E-2</v>
      </c>
      <c r="M73" s="10" t="s">
        <v>132</v>
      </c>
      <c r="N73">
        <f t="shared" ref="N73:N83" si="8">+IF(E73&lt;E$2,1,IF(E73&lt;E$3,2,IF(E73&lt;E$4,3,4)))</f>
        <v>3</v>
      </c>
      <c r="O73">
        <f t="shared" si="5"/>
        <v>4</v>
      </c>
      <c r="P73">
        <f t="shared" si="6"/>
        <v>3</v>
      </c>
      <c r="Q73">
        <f t="shared" si="7"/>
        <v>4</v>
      </c>
      <c r="R73" s="32">
        <f>IF('AAA Summary'!$L$35=4, RANK(H73,H$8:H$83,1)+COUNTIF($H$8:H73,H73)-1, IF('AAA Summary'!$L$35=3, RANK(G73,G$8:G$83,1)+COUNTIF($G$8:G73,G73)-1, IF('AAA Summary'!$L$35=2, RANK(F73,F$8:F$83,1)+COUNTIF($F$8:F73,F73)-1, IF('AAA Summary'!$L$35=1, RANK(E73,E$8:E$83,1)+COUNTIF($E$8:E73,E73)-1))))</f>
        <v>42</v>
      </c>
      <c r="S73" s="66">
        <f>IF('AAA Summary'!$L$35=4, H73, IF('AAA Summary'!$L$35=3, G73, IF('AAA Summary'!$L$35=2, F73, IF('AAA Summary'!$L$35=1, E73))))</f>
        <v>0.96</v>
      </c>
      <c r="T73">
        <v>3</v>
      </c>
    </row>
    <row r="74" spans="1:20" x14ac:dyDescent="0.25">
      <c r="A74" s="10" t="s">
        <v>70</v>
      </c>
      <c r="B74" s="4" t="s">
        <v>71</v>
      </c>
      <c r="C74" s="6">
        <v>127</v>
      </c>
      <c r="D74" s="6">
        <v>69</v>
      </c>
      <c r="E74" s="9">
        <v>0.99</v>
      </c>
      <c r="F74" s="9">
        <v>0.98</v>
      </c>
      <c r="G74" s="9">
        <v>0.98</v>
      </c>
      <c r="H74" s="9">
        <v>0.94</v>
      </c>
      <c r="I74" s="10" t="s">
        <v>617</v>
      </c>
      <c r="J74" s="10" t="s">
        <v>618</v>
      </c>
      <c r="K74" s="10" t="s">
        <v>515</v>
      </c>
      <c r="L74" s="23">
        <v>2.3E-2</v>
      </c>
      <c r="M74" s="10" t="s">
        <v>70</v>
      </c>
      <c r="N74">
        <f t="shared" si="8"/>
        <v>3</v>
      </c>
      <c r="O74">
        <f t="shared" si="5"/>
        <v>2</v>
      </c>
      <c r="P74">
        <f t="shared" si="6"/>
        <v>4</v>
      </c>
      <c r="Q74">
        <f t="shared" si="7"/>
        <v>3</v>
      </c>
      <c r="R74" s="32">
        <f>IF('AAA Summary'!$L$35=4, RANK(H74,H$8:H$83,1)+COUNTIF($H$8:H74,H74)-1, IF('AAA Summary'!$L$35=3, RANK(G74,G$8:G$83,1)+COUNTIF($G$8:G74,G74)-1, IF('AAA Summary'!$L$35=2, RANK(F74,F$8:F$83,1)+COUNTIF($F$8:F74,F74)-1, IF('AAA Summary'!$L$35=1, RANK(E74,E$8:E$83,1)+COUNTIF($E$8:E74,E74)-1))))</f>
        <v>55</v>
      </c>
      <c r="S74" s="66">
        <f>IF('AAA Summary'!$L$35=4, H74, IF('AAA Summary'!$L$35=3, G74, IF('AAA Summary'!$L$35=2, F74, IF('AAA Summary'!$L$35=1, E74))))</f>
        <v>0.99</v>
      </c>
      <c r="T74">
        <v>3</v>
      </c>
    </row>
    <row r="75" spans="1:20" x14ac:dyDescent="0.25">
      <c r="A75" s="10" t="s">
        <v>58</v>
      </c>
      <c r="B75" s="4" t="s">
        <v>59</v>
      </c>
      <c r="C75" s="6">
        <v>98</v>
      </c>
      <c r="D75" s="6">
        <v>41</v>
      </c>
      <c r="E75" s="9">
        <v>0.92</v>
      </c>
      <c r="F75" s="9">
        <v>1</v>
      </c>
      <c r="G75" s="9">
        <v>0.91</v>
      </c>
      <c r="H75" s="9">
        <v>0.9</v>
      </c>
      <c r="I75" s="10" t="s">
        <v>732</v>
      </c>
      <c r="J75" s="10" t="s">
        <v>613</v>
      </c>
      <c r="K75" s="10" t="s">
        <v>527</v>
      </c>
      <c r="L75" s="23">
        <v>1.0999999999999999E-2</v>
      </c>
      <c r="M75" s="10" t="s">
        <v>58</v>
      </c>
      <c r="N75">
        <f t="shared" si="8"/>
        <v>2</v>
      </c>
      <c r="O75">
        <f t="shared" si="5"/>
        <v>4</v>
      </c>
      <c r="P75">
        <f t="shared" si="6"/>
        <v>3</v>
      </c>
      <c r="Q75">
        <f t="shared" si="7"/>
        <v>2</v>
      </c>
      <c r="R75" s="32">
        <f>IF('AAA Summary'!$L$35=4, RANK(H75,H$8:H$83,1)+COUNTIF($H$8:H75,H75)-1, IF('AAA Summary'!$L$35=3, RANK(G75,G$8:G$83,1)+COUNTIF($G$8:G75,G75)-1, IF('AAA Summary'!$L$35=2, RANK(F75,F$8:F$83,1)+COUNTIF($F$8:F75,F75)-1, IF('AAA Summary'!$L$35=1, RANK(E75,E$8:E$83,1)+COUNTIF($E$8:E75,E75)-1))))</f>
        <v>30</v>
      </c>
      <c r="S75" s="66">
        <f>IF('AAA Summary'!$L$35=4, H75, IF('AAA Summary'!$L$35=3, G75, IF('AAA Summary'!$L$35=2, F75, IF('AAA Summary'!$L$35=1, E75))))</f>
        <v>0.92</v>
      </c>
      <c r="T75">
        <v>3</v>
      </c>
    </row>
    <row r="76" spans="1:20" x14ac:dyDescent="0.25">
      <c r="A76" s="10" t="s">
        <v>107</v>
      </c>
      <c r="B76" s="4" t="s">
        <v>108</v>
      </c>
      <c r="C76" s="6">
        <v>80</v>
      </c>
      <c r="D76" s="6">
        <v>69</v>
      </c>
      <c r="E76" s="9">
        <v>0.98</v>
      </c>
      <c r="F76" s="9">
        <v>1</v>
      </c>
      <c r="G76" s="9">
        <v>0.97</v>
      </c>
      <c r="H76" s="9">
        <v>0.95</v>
      </c>
      <c r="I76" s="10" t="s">
        <v>736</v>
      </c>
      <c r="J76" s="10" t="s">
        <v>602</v>
      </c>
      <c r="K76" s="10" t="s">
        <v>527</v>
      </c>
      <c r="L76" s="23">
        <v>1.7000000000000001E-2</v>
      </c>
      <c r="M76" s="10" t="s">
        <v>107</v>
      </c>
      <c r="N76">
        <f t="shared" si="8"/>
        <v>3</v>
      </c>
      <c r="O76">
        <f t="shared" si="5"/>
        <v>4</v>
      </c>
      <c r="P76">
        <f t="shared" si="6"/>
        <v>4</v>
      </c>
      <c r="Q76">
        <f t="shared" si="7"/>
        <v>3</v>
      </c>
      <c r="R76" s="32">
        <f>IF('AAA Summary'!$L$35=4, RANK(H76,H$8:H$83,1)+COUNTIF($H$8:H76,H76)-1, IF('AAA Summary'!$L$35=3, RANK(G76,G$8:G$83,1)+COUNTIF($G$8:G76,G76)-1, IF('AAA Summary'!$L$35=2, RANK(F76,F$8:F$83,1)+COUNTIF($F$8:F76,F76)-1, IF('AAA Summary'!$L$35=1, RANK(E76,E$8:E$83,1)+COUNTIF($E$8:E76,E76)-1))))</f>
        <v>53</v>
      </c>
      <c r="S76" s="66">
        <f>IF('AAA Summary'!$L$35=4, H76, IF('AAA Summary'!$L$35=3, G76, IF('AAA Summary'!$L$35=2, F76, IF('AAA Summary'!$L$35=1, E76))))</f>
        <v>0.98</v>
      </c>
      <c r="T76">
        <v>3</v>
      </c>
    </row>
    <row r="77" spans="1:20" x14ac:dyDescent="0.25">
      <c r="A77" s="10" t="s">
        <v>77</v>
      </c>
      <c r="B77" s="4" t="s">
        <v>78</v>
      </c>
      <c r="C77" s="6">
        <v>46</v>
      </c>
      <c r="D77" s="6">
        <v>30</v>
      </c>
      <c r="E77" s="9">
        <v>0.98</v>
      </c>
      <c r="F77" s="9">
        <v>1</v>
      </c>
      <c r="G77" s="9">
        <v>0.95</v>
      </c>
      <c r="H77" s="9">
        <v>0.93</v>
      </c>
      <c r="I77" s="10" t="s">
        <v>624</v>
      </c>
      <c r="J77" s="10" t="s">
        <v>590</v>
      </c>
      <c r="K77" s="10" t="s">
        <v>267</v>
      </c>
      <c r="L77" s="23">
        <v>2.5000000000000001E-2</v>
      </c>
      <c r="M77" s="10" t="s">
        <v>77</v>
      </c>
      <c r="N77">
        <f t="shared" si="8"/>
        <v>3</v>
      </c>
      <c r="O77">
        <f t="shared" si="5"/>
        <v>4</v>
      </c>
      <c r="P77">
        <f t="shared" si="6"/>
        <v>3</v>
      </c>
      <c r="Q77">
        <f t="shared" si="7"/>
        <v>3</v>
      </c>
      <c r="R77" s="32">
        <f>IF('AAA Summary'!$L$35=4, RANK(H77,H$8:H$83,1)+COUNTIF($H$8:H77,H77)-1, IF('AAA Summary'!$L$35=3, RANK(G77,G$8:G$83,1)+COUNTIF($G$8:G77,G77)-1, IF('AAA Summary'!$L$35=2, RANK(F77,F$8:F$83,1)+COUNTIF($F$8:F77,F77)-1, IF('AAA Summary'!$L$35=1, RANK(E77,E$8:E$83,1)+COUNTIF($E$8:E77,E77)-1))))</f>
        <v>54</v>
      </c>
      <c r="S77" s="66">
        <f>IF('AAA Summary'!$L$35=4, H77, IF('AAA Summary'!$L$35=3, G77, IF('AAA Summary'!$L$35=2, F77, IF('AAA Summary'!$L$35=1, E77))))</f>
        <v>0.98</v>
      </c>
      <c r="T77">
        <v>3</v>
      </c>
    </row>
    <row r="78" spans="1:20" x14ac:dyDescent="0.25">
      <c r="A78" s="10" t="s">
        <v>117</v>
      </c>
      <c r="B78" s="1" t="s">
        <v>773</v>
      </c>
      <c r="C78" s="6">
        <v>68</v>
      </c>
      <c r="D78" s="6">
        <v>53</v>
      </c>
      <c r="E78" s="9">
        <v>1</v>
      </c>
      <c r="F78" s="9">
        <v>1</v>
      </c>
      <c r="G78" s="9">
        <v>0.98</v>
      </c>
      <c r="H78" s="9">
        <v>0.99</v>
      </c>
      <c r="I78" s="10" t="s">
        <v>738</v>
      </c>
      <c r="J78" s="10" t="s">
        <v>639</v>
      </c>
      <c r="K78" s="10" t="s">
        <v>262</v>
      </c>
      <c r="L78" s="23">
        <v>2.1000000000000001E-2</v>
      </c>
      <c r="M78" s="10" t="s">
        <v>117</v>
      </c>
      <c r="N78">
        <f t="shared" si="8"/>
        <v>4</v>
      </c>
      <c r="O78">
        <f t="shared" si="5"/>
        <v>4</v>
      </c>
      <c r="P78">
        <f t="shared" si="6"/>
        <v>4</v>
      </c>
      <c r="Q78">
        <f t="shared" si="7"/>
        <v>4</v>
      </c>
      <c r="R78" s="32">
        <f>IF('AAA Summary'!$L$35=4, RANK(H78,H$8:H$83,1)+COUNTIF($H$8:H78,H78)-1, IF('AAA Summary'!$L$35=3, RANK(G78,G$8:G$83,1)+COUNTIF($G$8:G78,G78)-1, IF('AAA Summary'!$L$35=2, RANK(F78,F$8:F$83,1)+COUNTIF($F$8:F78,F78)-1, IF('AAA Summary'!$L$35=1, RANK(E78,E$8:E$83,1)+COUNTIF($E$8:E78,E78)-1))))</f>
        <v>73</v>
      </c>
      <c r="S78" s="66">
        <f>IF('AAA Summary'!$L$35=4, H78, IF('AAA Summary'!$L$35=3, G78, IF('AAA Summary'!$L$35=2, F78, IF('AAA Summary'!$L$35=1, E78))))</f>
        <v>1</v>
      </c>
      <c r="T78">
        <v>3</v>
      </c>
    </row>
    <row r="79" spans="1:20" x14ac:dyDescent="0.25">
      <c r="A79" s="10" t="s">
        <v>134</v>
      </c>
      <c r="B79" s="4" t="s">
        <v>135</v>
      </c>
      <c r="C79" s="6">
        <v>60</v>
      </c>
      <c r="D79" s="6">
        <v>30</v>
      </c>
      <c r="E79" s="9">
        <v>0.6</v>
      </c>
      <c r="F79" s="9">
        <v>0.97</v>
      </c>
      <c r="G79" s="9">
        <v>0.56000000000000005</v>
      </c>
      <c r="H79" s="9">
        <v>0.35</v>
      </c>
      <c r="I79" s="10" t="s">
        <v>739</v>
      </c>
      <c r="J79" s="10" t="s">
        <v>652</v>
      </c>
      <c r="K79" s="10" t="s">
        <v>584</v>
      </c>
      <c r="L79" s="23">
        <v>5.0000000000000001E-3</v>
      </c>
      <c r="M79" s="10" t="s">
        <v>134</v>
      </c>
      <c r="N79">
        <f t="shared" si="8"/>
        <v>1</v>
      </c>
      <c r="O79">
        <f t="shared" si="5"/>
        <v>2</v>
      </c>
      <c r="P79">
        <f t="shared" si="6"/>
        <v>1</v>
      </c>
      <c r="Q79">
        <f t="shared" si="7"/>
        <v>1</v>
      </c>
      <c r="R79" s="32">
        <f>IF('AAA Summary'!$L$35=4, RANK(H79,H$8:H$83,1)+COUNTIF($H$8:H79,H79)-1, IF('AAA Summary'!$L$35=3, RANK(G79,G$8:G$83,1)+COUNTIF($G$8:G79,G79)-1, IF('AAA Summary'!$L$35=2, RANK(F79,F$8:F$83,1)+COUNTIF($F$8:F79,F79)-1, IF('AAA Summary'!$L$35=1, RANK(E79,E$8:E$83,1)+COUNTIF($E$8:E79,E79)-1))))</f>
        <v>6</v>
      </c>
      <c r="S79" s="66">
        <f>IF('AAA Summary'!$L$35=4, H79, IF('AAA Summary'!$L$35=3, G79, IF('AAA Summary'!$L$35=2, F79, IF('AAA Summary'!$L$35=1, E79))))</f>
        <v>0.6</v>
      </c>
      <c r="T79">
        <v>3</v>
      </c>
    </row>
    <row r="80" spans="1:20" x14ac:dyDescent="0.25">
      <c r="A80" s="10" t="s">
        <v>76</v>
      </c>
      <c r="B80" s="4" t="s">
        <v>215</v>
      </c>
      <c r="C80" s="6">
        <v>36</v>
      </c>
      <c r="D80" s="6">
        <v>21</v>
      </c>
      <c r="E80" s="9">
        <v>0.97</v>
      </c>
      <c r="F80" s="9">
        <v>1</v>
      </c>
      <c r="G80" s="9">
        <v>1</v>
      </c>
      <c r="H80" s="9">
        <v>1</v>
      </c>
      <c r="I80" s="10" t="s">
        <v>622</v>
      </c>
      <c r="J80" s="10" t="s">
        <v>623</v>
      </c>
      <c r="K80" s="10" t="s">
        <v>527</v>
      </c>
      <c r="L80" s="23">
        <v>2.1999999999999999E-2</v>
      </c>
      <c r="M80" s="10" t="s">
        <v>76</v>
      </c>
      <c r="N80">
        <f t="shared" si="8"/>
        <v>3</v>
      </c>
      <c r="O80">
        <f t="shared" si="5"/>
        <v>4</v>
      </c>
      <c r="P80">
        <f t="shared" si="6"/>
        <v>4</v>
      </c>
      <c r="Q80">
        <f t="shared" si="7"/>
        <v>4</v>
      </c>
      <c r="R80" s="32">
        <f>IF('AAA Summary'!$L$35=4, RANK(H80,H$8:H$83,1)+COUNTIF($H$8:H80,H80)-1, IF('AAA Summary'!$L$35=3, RANK(G80,G$8:G$83,1)+COUNTIF($G$8:G80,G80)-1, IF('AAA Summary'!$L$35=2, RANK(F80,F$8:F$83,1)+COUNTIF($F$8:F80,F80)-1, IF('AAA Summary'!$L$35=1, RANK(E80,E$8:E$83,1)+COUNTIF($E$8:E80,E80)-1))))</f>
        <v>47</v>
      </c>
      <c r="S80" s="66">
        <f>IF('AAA Summary'!$L$35=4, H80, IF('AAA Summary'!$L$35=3, G80, IF('AAA Summary'!$L$35=2, F80, IF('AAA Summary'!$L$35=1, E80))))</f>
        <v>0.97</v>
      </c>
      <c r="T80">
        <v>3</v>
      </c>
    </row>
    <row r="81" spans="1:20" x14ac:dyDescent="0.25">
      <c r="A81" s="10" t="s">
        <v>136</v>
      </c>
      <c r="B81" s="4" t="s">
        <v>137</v>
      </c>
      <c r="C81" s="6">
        <v>45</v>
      </c>
      <c r="D81" s="6">
        <v>38</v>
      </c>
      <c r="E81" s="9">
        <v>1</v>
      </c>
      <c r="F81" s="9">
        <v>0.98</v>
      </c>
      <c r="G81" s="9">
        <v>0.94</v>
      </c>
      <c r="H81" s="9">
        <v>0.91</v>
      </c>
      <c r="I81" s="10" t="s">
        <v>653</v>
      </c>
      <c r="J81" s="10" t="s">
        <v>595</v>
      </c>
      <c r="K81" s="10" t="s">
        <v>271</v>
      </c>
      <c r="L81" s="23">
        <v>1.2E-2</v>
      </c>
      <c r="M81" s="10" t="s">
        <v>136</v>
      </c>
      <c r="N81">
        <f t="shared" si="8"/>
        <v>4</v>
      </c>
      <c r="O81">
        <f t="shared" si="5"/>
        <v>2</v>
      </c>
      <c r="P81">
        <f t="shared" si="6"/>
        <v>3</v>
      </c>
      <c r="Q81">
        <f t="shared" si="7"/>
        <v>3</v>
      </c>
      <c r="R81" s="32">
        <f>IF('AAA Summary'!$L$35=4, RANK(H81,H$8:H$83,1)+COUNTIF($H$8:H81,H81)-1, IF('AAA Summary'!$L$35=3, RANK(G81,G$8:G$83,1)+COUNTIF($G$8:G81,G81)-1, IF('AAA Summary'!$L$35=2, RANK(F81,F$8:F$83,1)+COUNTIF($F$8:F81,F81)-1, IF('AAA Summary'!$L$35=1, RANK(E81,E$8:E$83,1)+COUNTIF($E$8:E81,E81)-1))))</f>
        <v>74</v>
      </c>
      <c r="S81" s="66">
        <f>IF('AAA Summary'!$L$35=4, H81, IF('AAA Summary'!$L$35=3, G81, IF('AAA Summary'!$L$35=2, F81, IF('AAA Summary'!$L$35=1, E81))))</f>
        <v>1</v>
      </c>
      <c r="T81">
        <v>3</v>
      </c>
    </row>
    <row r="82" spans="1:20" x14ac:dyDescent="0.25">
      <c r="A82" s="10" t="s">
        <v>140</v>
      </c>
      <c r="B82" s="4" t="s">
        <v>141</v>
      </c>
      <c r="C82" s="6">
        <v>73</v>
      </c>
      <c r="D82" s="6">
        <v>34</v>
      </c>
      <c r="E82" s="9">
        <v>1</v>
      </c>
      <c r="F82" s="9">
        <v>0.99</v>
      </c>
      <c r="G82" s="9">
        <v>0.95</v>
      </c>
      <c r="H82" s="9">
        <v>0.63</v>
      </c>
      <c r="I82" s="10" t="s">
        <v>654</v>
      </c>
      <c r="J82" s="10" t="s">
        <v>531</v>
      </c>
      <c r="K82" s="10" t="s">
        <v>278</v>
      </c>
      <c r="L82" s="23">
        <v>5.0000000000000001E-3</v>
      </c>
      <c r="M82" s="10" t="s">
        <v>140</v>
      </c>
      <c r="N82">
        <f t="shared" si="8"/>
        <v>4</v>
      </c>
      <c r="O82">
        <f t="shared" si="5"/>
        <v>3</v>
      </c>
      <c r="P82">
        <f t="shared" si="6"/>
        <v>3</v>
      </c>
      <c r="Q82">
        <f t="shared" si="7"/>
        <v>1</v>
      </c>
      <c r="R82" s="32">
        <f>IF('AAA Summary'!$L$35=4, RANK(H82,H$8:H$83,1)+COUNTIF($H$8:H82,H82)-1, IF('AAA Summary'!$L$35=3, RANK(G82,G$8:G$83,1)+COUNTIF($G$8:G82,G82)-1, IF('AAA Summary'!$L$35=2, RANK(F82,F$8:F$83,1)+COUNTIF($F$8:F82,F82)-1, IF('AAA Summary'!$L$35=1, RANK(E82,E$8:E$83,1)+COUNTIF($E$8:E82,E82)-1))))</f>
        <v>75</v>
      </c>
      <c r="S82" s="66">
        <f>IF('AAA Summary'!$L$35=4, H82, IF('AAA Summary'!$L$35=3, G82, IF('AAA Summary'!$L$35=2, F82, IF('AAA Summary'!$L$35=1, E82))))</f>
        <v>1</v>
      </c>
      <c r="T82">
        <v>3</v>
      </c>
    </row>
    <row r="83" spans="1:20" x14ac:dyDescent="0.25">
      <c r="A83" s="10" t="s">
        <v>35</v>
      </c>
      <c r="B83" s="4" t="s">
        <v>36</v>
      </c>
      <c r="C83" s="6">
        <v>53</v>
      </c>
      <c r="D83" s="6">
        <v>16</v>
      </c>
      <c r="E83" s="9">
        <v>0.89</v>
      </c>
      <c r="F83" s="9">
        <v>0.98</v>
      </c>
      <c r="G83" s="9">
        <v>0.93</v>
      </c>
      <c r="H83" s="9">
        <v>0.91</v>
      </c>
      <c r="I83" s="10" t="s">
        <v>605</v>
      </c>
      <c r="J83" s="10" t="s">
        <v>606</v>
      </c>
      <c r="K83" s="10" t="s">
        <v>387</v>
      </c>
      <c r="L83" s="23">
        <v>1.7999999999999999E-2</v>
      </c>
      <c r="M83" s="10" t="s">
        <v>35</v>
      </c>
      <c r="N83">
        <f t="shared" si="8"/>
        <v>2</v>
      </c>
      <c r="O83">
        <f t="shared" si="5"/>
        <v>2</v>
      </c>
      <c r="P83">
        <f t="shared" si="6"/>
        <v>3</v>
      </c>
      <c r="Q83">
        <f t="shared" si="7"/>
        <v>3</v>
      </c>
      <c r="R83" s="32">
        <f>IF('AAA Summary'!$L$35=4, RANK(H83,H$8:H$83,1)+COUNTIF($H$8:H83,H83)-1, IF('AAA Summary'!$L$35=3, RANK(G83,G$8:G$83,1)+COUNTIF($G$8:G83,G83)-1, IF('AAA Summary'!$L$35=2, RANK(F83,F$8:F$83,1)+COUNTIF($F$8:F83,F83)-1, IF('AAA Summary'!$L$35=1, RANK(E83,E$8:E$83,1)+COUNTIF($E$8:E83,E83)-1))))</f>
        <v>23</v>
      </c>
      <c r="S83" s="66">
        <f>IF('AAA Summary'!$L$35=4, H83, IF('AAA Summary'!$L$35=3, G83, IF('AAA Summary'!$L$35=2, F83, IF('AAA Summary'!$L$35=1, E83))))</f>
        <v>0.89</v>
      </c>
      <c r="T83">
        <v>3</v>
      </c>
    </row>
  </sheetData>
  <sortState ref="A2:M77">
    <sortCondition ref="B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AAA Summary</vt:lpstr>
      <vt:lpstr>CEA Summary</vt:lpstr>
      <vt:lpstr>Bypass Summary</vt:lpstr>
      <vt:lpstr>Angioplasty Summary</vt:lpstr>
      <vt:lpstr>Amputation Summary</vt:lpstr>
      <vt:lpstr>Trusts Overview</vt:lpstr>
      <vt:lpstr>Major Lower Limb Amputation</vt:lpstr>
      <vt:lpstr>Lower Limb Angioplasty</vt:lpstr>
      <vt:lpstr>Elective Infra-Renal AAA Repair</vt:lpstr>
      <vt:lpstr>AAA 2018 Report</vt:lpstr>
      <vt:lpstr>AAA 2017 Report</vt:lpstr>
      <vt:lpstr>Lower Limb Bypass</vt:lpstr>
      <vt:lpstr>Amp Funnel</vt:lpstr>
      <vt:lpstr>Bypass Funnel</vt:lpstr>
      <vt:lpstr>Angio Funnel</vt:lpstr>
      <vt:lpstr>Carotid Endarterectomy</vt:lpstr>
      <vt:lpstr>CEA Limits</vt:lpstr>
      <vt:lpstr>CEA Funnel</vt:lpstr>
      <vt:lpstr>AAA Limits</vt:lpstr>
      <vt:lpstr>AAA Funnel</vt:lpstr>
      <vt:lpstr>Repair of Complex AAA</vt:lpstr>
      <vt:lpstr>Repair of Ruptured AAA</vt:lpstr>
      <vt:lpstr>'AAA Summary'!Print_Area</vt:lpstr>
      <vt:lpstr>'Amputation Summary'!Print_Area</vt:lpstr>
      <vt:lpstr>'Angioplasty Summary'!Print_Area</vt:lpstr>
      <vt:lpstr>'Bypass Summary'!Print_Area</vt:lpstr>
      <vt:lpstr>'CEA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2019-09-16T10:41:18Z</dcterms:created>
  <dcterms:modified xsi:type="dcterms:W3CDTF">2020-01-30T10:53:06Z</dcterms:modified>
</cp:coreProperties>
</file>