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hidePivotFieldList="1"/>
  <xr:revisionPtr revIDLastSave="0" documentId="13_ncr:1_{F8D70DFB-9F98-4EF7-9484-FD47AA348095}" xr6:coauthVersionLast="47" xr6:coauthVersionMax="47" xr10:uidLastSave="{00000000-0000-0000-0000-000000000000}"/>
  <workbookProtection workbookAlgorithmName="SHA-512" workbookHashValue="T5sgG5KsWGizJyM6S+LixdvEfabLRufSai8PXFhpcYmdGcUFYpFEPYpF1Ud00FT9XvwzaZRzSdqkV/dTBz8sDA==" workbookSaltValue="IjcsinVM4rmZvu7enffCbQ==" workbookSpinCount="100000" lockStructure="1"/>
  <bookViews>
    <workbookView xWindow="-120" yWindow="-120" windowWidth="29040" windowHeight="15840" tabRatio="810" xr2:uid="{00000000-000D-0000-FFFF-FFFF00000000}"/>
  </bookViews>
  <sheets>
    <sheet name="Introduction" sheetId="40" r:id="rId1"/>
    <sheet name="Acknowledgements" sheetId="49" r:id="rId2"/>
    <sheet name="Notes" sheetId="50" r:id="rId3"/>
    <sheet name="CEA Quarterly Report" sheetId="44" r:id="rId4"/>
    <sheet name="AAA Quarterly Report" sheetId="41" r:id="rId5"/>
    <sheet name="LL Revasc Quarterly Report" sheetId="45" r:id="rId6"/>
    <sheet name="Major Amp Quarterly Report" sheetId="47" r:id="rId7"/>
    <sheet name="Calcs" sheetId="51" state="hidden" r:id="rId8"/>
    <sheet name="CEA Quarterly Results" sheetId="43" state="hidden" r:id="rId9"/>
    <sheet name="AAA Quarterly Results" sheetId="42" state="hidden" r:id="rId10"/>
    <sheet name="LL Revasc Quarterly Results" sheetId="46" state="hidden" r:id="rId11"/>
    <sheet name="Maj Amp Quarterly Results" sheetId="31" state="hidden" r:id="rId12"/>
  </sheets>
  <externalReferences>
    <externalReference r:id="rId13"/>
  </externalReferences>
  <definedNames>
    <definedName name="_xlnm._FilterDatabase" localSheetId="9" hidden="1">'AAA Quarterly Results'!$A$1:$BV$67</definedName>
    <definedName name="_xlnm._FilterDatabase" localSheetId="8" hidden="1">'CEA Quarterly Results'!$A$1:$AX$67</definedName>
    <definedName name="_xlnm._FilterDatabase" localSheetId="10" hidden="1">'LL Revasc Quarterly Results'!$A$1:$BW$76</definedName>
    <definedName name="_xlnm._FilterDatabase" localSheetId="11" hidden="1">'Maj Amp Quarterly Results'!$B$2:$B$60</definedName>
    <definedName name="end_date_england">[1]lists!$D$16</definedName>
    <definedName name="end_date_wales">[1]lists!$F$16</definedName>
    <definedName name="publication_quarter">[1]lists!$D$24</definedName>
    <definedName name="publication_year">[1]lists!$C$24</definedName>
    <definedName name="start_date_england">[1]lists!$C$16</definedName>
    <definedName name="start_date_wales">[1]lists!$E$16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1" i="51" l="1"/>
  <c r="C114" i="51" s="1"/>
  <c r="D101" i="51"/>
  <c r="E101" i="51"/>
  <c r="F101" i="51"/>
  <c r="F114" i="51" s="1"/>
  <c r="F115" i="51" s="1"/>
  <c r="G101" i="51"/>
  <c r="H101" i="51"/>
  <c r="I101" i="51"/>
  <c r="I114" i="51" s="1"/>
  <c r="J101" i="51"/>
  <c r="J114" i="51" s="1"/>
  <c r="K101" i="51"/>
  <c r="K114" i="51" s="1"/>
  <c r="L101" i="51"/>
  <c r="M101" i="51"/>
  <c r="N101" i="51"/>
  <c r="N114" i="51" s="1"/>
  <c r="N115" i="51" s="1"/>
  <c r="C102" i="51"/>
  <c r="D102" i="51"/>
  <c r="E102" i="51"/>
  <c r="F102" i="51"/>
  <c r="G102" i="51"/>
  <c r="H102" i="51"/>
  <c r="I102" i="51"/>
  <c r="J102" i="51"/>
  <c r="K102" i="51"/>
  <c r="L102" i="51"/>
  <c r="M102" i="51"/>
  <c r="N102" i="51"/>
  <c r="C107" i="51"/>
  <c r="D107" i="51"/>
  <c r="E107" i="51"/>
  <c r="F107" i="51"/>
  <c r="G107" i="51"/>
  <c r="H107" i="51"/>
  <c r="I107" i="51"/>
  <c r="J107" i="51"/>
  <c r="K107" i="51"/>
  <c r="L107" i="51"/>
  <c r="M107" i="51"/>
  <c r="N107" i="51"/>
  <c r="H114" i="51"/>
  <c r="H115" i="51" s="1"/>
  <c r="M114" i="51"/>
  <c r="M115" i="51" s="1"/>
  <c r="C75" i="51"/>
  <c r="C90" i="51" s="1"/>
  <c r="C91" i="51" s="1"/>
  <c r="D75" i="51"/>
  <c r="D90" i="51" s="1"/>
  <c r="E75" i="51"/>
  <c r="E90" i="51" s="1"/>
  <c r="F75" i="51"/>
  <c r="F90" i="51" s="1"/>
  <c r="G75" i="51"/>
  <c r="G90" i="51" s="1"/>
  <c r="H75" i="51"/>
  <c r="I75" i="51"/>
  <c r="J75" i="51"/>
  <c r="K75" i="51"/>
  <c r="K90" i="51" s="1"/>
  <c r="L75" i="51"/>
  <c r="M75" i="51"/>
  <c r="M90" i="51" s="1"/>
  <c r="N75" i="51"/>
  <c r="C76" i="51"/>
  <c r="D76" i="51"/>
  <c r="E76" i="51"/>
  <c r="F76" i="51"/>
  <c r="G76" i="51"/>
  <c r="H76" i="51"/>
  <c r="I76" i="51"/>
  <c r="J76" i="51"/>
  <c r="K76" i="51"/>
  <c r="L76" i="51"/>
  <c r="M76" i="51"/>
  <c r="N76" i="51"/>
  <c r="C77" i="51"/>
  <c r="D77" i="51"/>
  <c r="E77" i="51"/>
  <c r="F77" i="51"/>
  <c r="G77" i="51"/>
  <c r="H77" i="51"/>
  <c r="I77" i="51"/>
  <c r="J77" i="51"/>
  <c r="K77" i="51"/>
  <c r="L77" i="51"/>
  <c r="M77" i="51"/>
  <c r="N77" i="51"/>
  <c r="C78" i="51"/>
  <c r="D78" i="51"/>
  <c r="E78" i="51"/>
  <c r="F78" i="51"/>
  <c r="G78" i="51"/>
  <c r="H78" i="51"/>
  <c r="I78" i="51"/>
  <c r="J78" i="51"/>
  <c r="K78" i="51"/>
  <c r="L78" i="51"/>
  <c r="M78" i="51"/>
  <c r="N78" i="51"/>
  <c r="C79" i="51"/>
  <c r="D79" i="51"/>
  <c r="E79" i="51"/>
  <c r="F79" i="51"/>
  <c r="G79" i="51"/>
  <c r="H79" i="51"/>
  <c r="I79" i="51"/>
  <c r="J79" i="51"/>
  <c r="K79" i="51"/>
  <c r="L79" i="51"/>
  <c r="M79" i="51"/>
  <c r="N79" i="51"/>
  <c r="J81" i="51"/>
  <c r="J82" i="51" s="1"/>
  <c r="C83" i="51"/>
  <c r="D83" i="51"/>
  <c r="E83" i="51"/>
  <c r="F83" i="51"/>
  <c r="G83" i="51"/>
  <c r="H83" i="51"/>
  <c r="I83" i="51"/>
  <c r="J83" i="51"/>
  <c r="K83" i="51"/>
  <c r="L83" i="51"/>
  <c r="M83" i="51"/>
  <c r="N83" i="51"/>
  <c r="H90" i="51"/>
  <c r="L90" i="51"/>
  <c r="L91" i="51" s="1"/>
  <c r="N90" i="51"/>
  <c r="D29" i="51"/>
  <c r="E29" i="51"/>
  <c r="E44" i="51" s="1"/>
  <c r="F29" i="51"/>
  <c r="G29" i="51"/>
  <c r="G44" i="51" s="1"/>
  <c r="H29" i="51"/>
  <c r="H44" i="51" s="1"/>
  <c r="I29" i="51"/>
  <c r="J29" i="51"/>
  <c r="K29" i="51"/>
  <c r="K44" i="51" s="1"/>
  <c r="L29" i="51"/>
  <c r="L44" i="51" s="1"/>
  <c r="M29" i="51"/>
  <c r="N29" i="51"/>
  <c r="O29" i="51"/>
  <c r="D30" i="51"/>
  <c r="E30" i="51"/>
  <c r="F30" i="51"/>
  <c r="G30" i="51"/>
  <c r="H30" i="51"/>
  <c r="I30" i="51"/>
  <c r="J30" i="51"/>
  <c r="K30" i="51"/>
  <c r="L30" i="51"/>
  <c r="M30" i="51"/>
  <c r="N30" i="51"/>
  <c r="O30" i="51"/>
  <c r="D32" i="51"/>
  <c r="E32" i="51"/>
  <c r="F32" i="51"/>
  <c r="G32" i="51"/>
  <c r="H32" i="51"/>
  <c r="I32" i="51"/>
  <c r="J32" i="51"/>
  <c r="K32" i="51"/>
  <c r="L32" i="51"/>
  <c r="M32" i="51"/>
  <c r="N32" i="51"/>
  <c r="O32" i="51"/>
  <c r="D33" i="51"/>
  <c r="D34" i="51" s="1"/>
  <c r="E33" i="51"/>
  <c r="F33" i="51"/>
  <c r="G33" i="51"/>
  <c r="H33" i="51"/>
  <c r="I33" i="51"/>
  <c r="I34" i="51" s="1"/>
  <c r="J33" i="51"/>
  <c r="K33" i="51"/>
  <c r="L33" i="51"/>
  <c r="M33" i="51"/>
  <c r="N33" i="51"/>
  <c r="N34" i="51" s="1"/>
  <c r="O33" i="51"/>
  <c r="O34" i="51" s="1"/>
  <c r="D37" i="51"/>
  <c r="E37" i="51"/>
  <c r="F37" i="51"/>
  <c r="G37" i="51"/>
  <c r="H37" i="51"/>
  <c r="I37" i="51"/>
  <c r="J37" i="51"/>
  <c r="K37" i="51"/>
  <c r="L37" i="51"/>
  <c r="M37" i="51"/>
  <c r="N37" i="51"/>
  <c r="O37" i="51"/>
  <c r="F44" i="51"/>
  <c r="I44" i="51"/>
  <c r="N44" i="51"/>
  <c r="O44" i="51"/>
  <c r="O45" i="51" s="1"/>
  <c r="F60" i="51"/>
  <c r="F61" i="51"/>
  <c r="F62" i="51"/>
  <c r="F63" i="51"/>
  <c r="F64" i="51"/>
  <c r="F65" i="51"/>
  <c r="F66" i="51"/>
  <c r="F67" i="51"/>
  <c r="E68" i="51"/>
  <c r="F68" i="51"/>
  <c r="O12" i="51"/>
  <c r="N12" i="51"/>
  <c r="M12" i="51"/>
  <c r="L12" i="51"/>
  <c r="K12" i="51"/>
  <c r="J12" i="51"/>
  <c r="I12" i="51"/>
  <c r="H12" i="51"/>
  <c r="G12" i="51"/>
  <c r="F12" i="51"/>
  <c r="E12" i="51"/>
  <c r="D12" i="51"/>
  <c r="O8" i="51"/>
  <c r="N8" i="51"/>
  <c r="M8" i="51"/>
  <c r="L8" i="51"/>
  <c r="K8" i="51"/>
  <c r="J8" i="51"/>
  <c r="I8" i="51"/>
  <c r="H8" i="51"/>
  <c r="G8" i="51"/>
  <c r="F8" i="51"/>
  <c r="E8" i="51"/>
  <c r="D8" i="51"/>
  <c r="O7" i="51"/>
  <c r="O19" i="51" s="1"/>
  <c r="N7" i="51"/>
  <c r="N19" i="51" s="1"/>
  <c r="N20" i="51" s="1"/>
  <c r="M7" i="51"/>
  <c r="M19" i="51" s="1"/>
  <c r="M20" i="51" s="1"/>
  <c r="L7" i="51"/>
  <c r="L19" i="51" s="1"/>
  <c r="K7" i="51"/>
  <c r="J7" i="51"/>
  <c r="J19" i="51" s="1"/>
  <c r="J20" i="51" s="1"/>
  <c r="I7" i="51"/>
  <c r="I19" i="51" s="1"/>
  <c r="I20" i="51" s="1"/>
  <c r="H7" i="51"/>
  <c r="G7" i="51"/>
  <c r="F7" i="51"/>
  <c r="F19" i="51" s="1"/>
  <c r="F20" i="51" s="1"/>
  <c r="E7" i="51"/>
  <c r="E19" i="51" s="1"/>
  <c r="E20" i="51" s="1"/>
  <c r="D7" i="51"/>
  <c r="D19" i="51" s="1"/>
  <c r="O6" i="51"/>
  <c r="N6" i="51"/>
  <c r="M6" i="51"/>
  <c r="L6" i="51"/>
  <c r="K6" i="51"/>
  <c r="J6" i="51"/>
  <c r="I6" i="51"/>
  <c r="H6" i="51"/>
  <c r="G6" i="51"/>
  <c r="F6" i="51"/>
  <c r="E6" i="51"/>
  <c r="D6" i="51"/>
  <c r="J115" i="51" l="1"/>
  <c r="K108" i="51"/>
  <c r="K109" i="51" s="1"/>
  <c r="I115" i="51"/>
  <c r="G105" i="51"/>
  <c r="G106" i="51" s="1"/>
  <c r="E114" i="51"/>
  <c r="E115" i="51"/>
  <c r="J108" i="51"/>
  <c r="J109" i="51" s="1"/>
  <c r="J111" i="51" s="1"/>
  <c r="D105" i="51"/>
  <c r="D106" i="51" s="1"/>
  <c r="M108" i="51"/>
  <c r="M109" i="51" s="1"/>
  <c r="D108" i="51"/>
  <c r="K115" i="51"/>
  <c r="I105" i="51"/>
  <c r="I106" i="51" s="1"/>
  <c r="C115" i="51"/>
  <c r="K91" i="51"/>
  <c r="G91" i="51"/>
  <c r="F91" i="51"/>
  <c r="H91" i="51"/>
  <c r="N91" i="51"/>
  <c r="N84" i="51"/>
  <c r="N85" i="51" s="1"/>
  <c r="H84" i="51"/>
  <c r="H86" i="51" s="1"/>
  <c r="F84" i="51"/>
  <c r="F85" i="51" s="1"/>
  <c r="M91" i="51"/>
  <c r="H81" i="51"/>
  <c r="H82" i="51" s="1"/>
  <c r="D91" i="51"/>
  <c r="L45" i="51"/>
  <c r="H45" i="51"/>
  <c r="E91" i="51"/>
  <c r="G45" i="51"/>
  <c r="G84" i="51"/>
  <c r="G85" i="51" s="1"/>
  <c r="O35" i="51"/>
  <c r="O36" i="51" s="1"/>
  <c r="I90" i="51"/>
  <c r="I91" i="51" s="1"/>
  <c r="I81" i="51"/>
  <c r="I82" i="51" s="1"/>
  <c r="G114" i="51"/>
  <c r="G115" i="51" s="1"/>
  <c r="H105" i="51"/>
  <c r="H106" i="51" s="1"/>
  <c r="L108" i="51"/>
  <c r="L109" i="51" s="1"/>
  <c r="H108" i="51"/>
  <c r="E108" i="51"/>
  <c r="M105" i="51"/>
  <c r="M106" i="51" s="1"/>
  <c r="J105" i="51"/>
  <c r="J106" i="51" s="1"/>
  <c r="L10" i="51"/>
  <c r="L11" i="51" s="1"/>
  <c r="M13" i="51"/>
  <c r="M14" i="51" s="1"/>
  <c r="E84" i="51"/>
  <c r="E85" i="51" s="1"/>
  <c r="G81" i="51"/>
  <c r="G82" i="51" s="1"/>
  <c r="M81" i="51"/>
  <c r="M82" i="51" s="1"/>
  <c r="D81" i="51"/>
  <c r="D82" i="51" s="1"/>
  <c r="E34" i="51"/>
  <c r="G34" i="51"/>
  <c r="E45" i="51"/>
  <c r="I45" i="51"/>
  <c r="H34" i="51"/>
  <c r="J47" i="51"/>
  <c r="F47" i="51"/>
  <c r="I35" i="51"/>
  <c r="I36" i="51" s="1"/>
  <c r="N38" i="51"/>
  <c r="N39" i="51" s="1"/>
  <c r="F38" i="51"/>
  <c r="F39" i="51" s="1"/>
  <c r="M38" i="51"/>
  <c r="M39" i="51" s="1"/>
  <c r="M41" i="51" s="1"/>
  <c r="D20" i="51"/>
  <c r="L20" i="51"/>
  <c r="H13" i="51"/>
  <c r="O20" i="51"/>
  <c r="M110" i="51"/>
  <c r="D109" i="51"/>
  <c r="L105" i="51"/>
  <c r="L106" i="51" s="1"/>
  <c r="L114" i="51"/>
  <c r="L115" i="51" s="1"/>
  <c r="D114" i="51"/>
  <c r="D115" i="51" s="1"/>
  <c r="I108" i="51"/>
  <c r="K105" i="51"/>
  <c r="K106" i="51" s="1"/>
  <c r="E105" i="51"/>
  <c r="E106" i="51" s="1"/>
  <c r="G108" i="51"/>
  <c r="N108" i="51"/>
  <c r="N109" i="51" s="1"/>
  <c r="F108" i="51"/>
  <c r="N105" i="51"/>
  <c r="N106" i="51" s="1"/>
  <c r="F105" i="51"/>
  <c r="F106" i="51" s="1"/>
  <c r="H85" i="51"/>
  <c r="H87" i="51" s="1"/>
  <c r="L84" i="51"/>
  <c r="L85" i="51" s="1"/>
  <c r="D84" i="51"/>
  <c r="N81" i="51"/>
  <c r="N82" i="51" s="1"/>
  <c r="F81" i="51"/>
  <c r="F82" i="51" s="1"/>
  <c r="K84" i="51"/>
  <c r="E81" i="51"/>
  <c r="E82" i="51" s="1"/>
  <c r="J84" i="51"/>
  <c r="J86" i="51" s="1"/>
  <c r="L81" i="51"/>
  <c r="L82" i="51" s="1"/>
  <c r="M84" i="51"/>
  <c r="I84" i="51"/>
  <c r="K81" i="51"/>
  <c r="K82" i="51" s="1"/>
  <c r="J90" i="51"/>
  <c r="J91" i="51" s="1"/>
  <c r="M35" i="51"/>
  <c r="M36" i="51" s="1"/>
  <c r="E35" i="51"/>
  <c r="E36" i="51" s="1"/>
  <c r="M44" i="51"/>
  <c r="M45" i="51" s="1"/>
  <c r="D44" i="51"/>
  <c r="D45" i="51" s="1"/>
  <c r="K38" i="51"/>
  <c r="K39" i="51" s="1"/>
  <c r="G35" i="51"/>
  <c r="G36" i="51" s="1"/>
  <c r="I47" i="51"/>
  <c r="I48" i="51" s="1"/>
  <c r="K45" i="51"/>
  <c r="E38" i="51"/>
  <c r="E39" i="51" s="1"/>
  <c r="G38" i="51"/>
  <c r="G39" i="51" s="1"/>
  <c r="M34" i="51"/>
  <c r="N45" i="51"/>
  <c r="F45" i="51"/>
  <c r="L34" i="51"/>
  <c r="J34" i="51"/>
  <c r="H47" i="51"/>
  <c r="N47" i="51"/>
  <c r="M47" i="51"/>
  <c r="M48" i="51" s="1"/>
  <c r="K47" i="51"/>
  <c r="O38" i="51"/>
  <c r="L47" i="51"/>
  <c r="H35" i="51"/>
  <c r="H36" i="51" s="1"/>
  <c r="L13" i="51"/>
  <c r="L14" i="51" s="1"/>
  <c r="O47" i="51"/>
  <c r="G47" i="51"/>
  <c r="K34" i="51"/>
  <c r="E47" i="51"/>
  <c r="L38" i="51"/>
  <c r="N35" i="51"/>
  <c r="F35" i="51"/>
  <c r="J38" i="51"/>
  <c r="L35" i="51"/>
  <c r="L36" i="51" s="1"/>
  <c r="I38" i="51"/>
  <c r="K35" i="51"/>
  <c r="F34" i="51"/>
  <c r="H38" i="51"/>
  <c r="J35" i="51"/>
  <c r="J48" i="51" s="1"/>
  <c r="I52" i="51" s="1"/>
  <c r="J44" i="51"/>
  <c r="J45" i="51" s="1"/>
  <c r="H10" i="51"/>
  <c r="H11" i="51" s="1"/>
  <c r="I13" i="51"/>
  <c r="I14" i="51" s="1"/>
  <c r="J10" i="51"/>
  <c r="J11" i="51" s="1"/>
  <c r="K10" i="51"/>
  <c r="K11" i="51" s="1"/>
  <c r="J13" i="51"/>
  <c r="J14" i="51" s="1"/>
  <c r="E13" i="51"/>
  <c r="E14" i="51" s="1"/>
  <c r="G10" i="51"/>
  <c r="G11" i="51" s="1"/>
  <c r="O10" i="51"/>
  <c r="O11" i="51" s="1"/>
  <c r="F13" i="51"/>
  <c r="F14" i="51" s="1"/>
  <c r="O13" i="51"/>
  <c r="O14" i="51" s="1"/>
  <c r="H14" i="51"/>
  <c r="E10" i="51"/>
  <c r="E11" i="51" s="1"/>
  <c r="M10" i="51"/>
  <c r="M11" i="51" s="1"/>
  <c r="K13" i="51"/>
  <c r="F10" i="51"/>
  <c r="F11" i="51" s="1"/>
  <c r="N10" i="51"/>
  <c r="N11" i="51" s="1"/>
  <c r="G19" i="51"/>
  <c r="G20" i="51" s="1"/>
  <c r="H19" i="51"/>
  <c r="H20" i="51" s="1"/>
  <c r="N13" i="51"/>
  <c r="I10" i="51"/>
  <c r="I11" i="51" s="1"/>
  <c r="G13" i="51"/>
  <c r="K19" i="51"/>
  <c r="K20" i="51" s="1"/>
  <c r="J110" i="51" l="1"/>
  <c r="E110" i="51"/>
  <c r="H110" i="51"/>
  <c r="E109" i="51"/>
  <c r="D110" i="51"/>
  <c r="H109" i="51"/>
  <c r="H111" i="51" s="1"/>
  <c r="H116" i="51" s="1"/>
  <c r="D111" i="51"/>
  <c r="D116" i="51" s="1"/>
  <c r="G87" i="51"/>
  <c r="F87" i="51"/>
  <c r="N86" i="51"/>
  <c r="L16" i="51"/>
  <c r="L21" i="51" s="1"/>
  <c r="O48" i="51"/>
  <c r="E41" i="51"/>
  <c r="G86" i="51"/>
  <c r="M111" i="51"/>
  <c r="M116" i="51" s="1"/>
  <c r="L111" i="51"/>
  <c r="O40" i="51"/>
  <c r="J85" i="51"/>
  <c r="J87" i="51" s="1"/>
  <c r="L87" i="51"/>
  <c r="L92" i="51" s="1"/>
  <c r="G48" i="51"/>
  <c r="O39" i="51"/>
  <c r="O41" i="51" s="1"/>
  <c r="N48" i="51"/>
  <c r="I53" i="51" s="1"/>
  <c r="H48" i="51"/>
  <c r="F40" i="51"/>
  <c r="N40" i="51"/>
  <c r="G41" i="51"/>
  <c r="G46" i="51" s="1"/>
  <c r="E46" i="51"/>
  <c r="M46" i="51"/>
  <c r="L15" i="51"/>
  <c r="E16" i="51"/>
  <c r="E21" i="51" s="1"/>
  <c r="J15" i="51"/>
  <c r="I109" i="51"/>
  <c r="I110" i="51"/>
  <c r="N111" i="51"/>
  <c r="N116" i="51" s="1"/>
  <c r="K110" i="51"/>
  <c r="F110" i="51"/>
  <c r="F109" i="51"/>
  <c r="F111" i="51" s="1"/>
  <c r="K111" i="51"/>
  <c r="K116" i="51" s="1"/>
  <c r="G110" i="51"/>
  <c r="G109" i="51"/>
  <c r="L116" i="51"/>
  <c r="J116" i="51"/>
  <c r="N110" i="51"/>
  <c r="E111" i="51"/>
  <c r="E116" i="51" s="1"/>
  <c r="L110" i="51"/>
  <c r="G92" i="51"/>
  <c r="E87" i="51"/>
  <c r="E92" i="51" s="1"/>
  <c r="M85" i="51"/>
  <c r="M86" i="51"/>
  <c r="D85" i="51"/>
  <c r="D86" i="51"/>
  <c r="F92" i="51"/>
  <c r="I86" i="51"/>
  <c r="I85" i="51"/>
  <c r="L86" i="51"/>
  <c r="H92" i="51"/>
  <c r="J92" i="51"/>
  <c r="K86" i="51"/>
  <c r="K85" i="51"/>
  <c r="K87" i="51" s="1"/>
  <c r="E86" i="51"/>
  <c r="F86" i="51"/>
  <c r="N87" i="51"/>
  <c r="N92" i="51" s="1"/>
  <c r="E40" i="51"/>
  <c r="M40" i="51"/>
  <c r="G40" i="51"/>
  <c r="E48" i="51"/>
  <c r="D52" i="51"/>
  <c r="H52" i="51" s="1"/>
  <c r="E52" i="51" s="1"/>
  <c r="J36" i="51"/>
  <c r="F48" i="51"/>
  <c r="I51" i="51" s="1"/>
  <c r="H39" i="51"/>
  <c r="H40" i="51"/>
  <c r="N36" i="51"/>
  <c r="D53" i="51"/>
  <c r="L48" i="51"/>
  <c r="F36" i="51"/>
  <c r="F41" i="51" s="1"/>
  <c r="J51" i="51" s="1"/>
  <c r="F51" i="51" s="1"/>
  <c r="D51" i="51"/>
  <c r="K48" i="51"/>
  <c r="K36" i="51"/>
  <c r="K41" i="51" s="1"/>
  <c r="L39" i="51"/>
  <c r="L41" i="51" s="1"/>
  <c r="L40" i="51"/>
  <c r="H16" i="51"/>
  <c r="H21" i="51" s="1"/>
  <c r="H15" i="51"/>
  <c r="I40" i="51"/>
  <c r="I39" i="51"/>
  <c r="J40" i="51"/>
  <c r="J39" i="51"/>
  <c r="O15" i="51"/>
  <c r="K40" i="51"/>
  <c r="J16" i="51"/>
  <c r="J21" i="51" s="1"/>
  <c r="O16" i="51"/>
  <c r="O21" i="51" s="1"/>
  <c r="F16" i="51"/>
  <c r="F21" i="51" s="1"/>
  <c r="E15" i="51"/>
  <c r="I16" i="51"/>
  <c r="I21" i="51" s="1"/>
  <c r="N14" i="51"/>
  <c r="N16" i="51" s="1"/>
  <c r="N15" i="51"/>
  <c r="M15" i="51"/>
  <c r="I15" i="51"/>
  <c r="M16" i="51"/>
  <c r="M21" i="51" s="1"/>
  <c r="K15" i="51"/>
  <c r="K14" i="51"/>
  <c r="G15" i="51"/>
  <c r="G14" i="51"/>
  <c r="F15" i="51"/>
  <c r="G11" i="41"/>
  <c r="G10" i="41"/>
  <c r="G9" i="41"/>
  <c r="G8" i="41"/>
  <c r="BY3" i="42"/>
  <c r="BY4" i="42"/>
  <c r="BY5" i="42"/>
  <c r="BY6" i="42"/>
  <c r="BY7" i="42"/>
  <c r="BY8" i="42"/>
  <c r="BY9" i="42"/>
  <c r="BY10" i="42"/>
  <c r="BY11" i="42"/>
  <c r="BY12" i="42"/>
  <c r="BY13" i="42"/>
  <c r="BY14" i="42"/>
  <c r="BY15" i="42"/>
  <c r="BY16" i="42"/>
  <c r="BY17" i="42"/>
  <c r="BY18" i="42"/>
  <c r="BY19" i="42"/>
  <c r="BY20" i="42"/>
  <c r="BY21" i="42"/>
  <c r="BY22" i="42"/>
  <c r="BY23" i="42"/>
  <c r="BY24" i="42"/>
  <c r="BY25" i="42"/>
  <c r="BY26" i="42"/>
  <c r="BY27" i="42"/>
  <c r="BY28" i="42"/>
  <c r="BY29" i="42"/>
  <c r="BY30" i="42"/>
  <c r="BY31" i="42"/>
  <c r="BY32" i="42"/>
  <c r="BY33" i="42"/>
  <c r="BY34" i="42"/>
  <c r="BY35" i="42"/>
  <c r="BY36" i="42"/>
  <c r="BY37" i="42"/>
  <c r="BY38" i="42"/>
  <c r="BY39" i="42"/>
  <c r="BY40" i="42"/>
  <c r="BY41" i="42"/>
  <c r="BY42" i="42"/>
  <c r="BY43" i="42"/>
  <c r="BY44" i="42"/>
  <c r="BY45" i="42"/>
  <c r="BY46" i="42"/>
  <c r="BY47" i="42"/>
  <c r="BY48" i="42"/>
  <c r="BY49" i="42"/>
  <c r="BY50" i="42"/>
  <c r="BY51" i="42"/>
  <c r="BY52" i="42"/>
  <c r="BY53" i="42"/>
  <c r="BY54" i="42"/>
  <c r="BY55" i="42"/>
  <c r="BY56" i="42"/>
  <c r="BY57" i="42"/>
  <c r="BY58" i="42"/>
  <c r="BY59" i="42"/>
  <c r="BY60" i="42"/>
  <c r="BY61" i="42"/>
  <c r="BY62" i="42"/>
  <c r="BY63" i="42"/>
  <c r="BY64" i="42"/>
  <c r="BY65" i="42"/>
  <c r="BY66" i="42"/>
  <c r="BY67" i="42"/>
  <c r="BY2" i="42"/>
  <c r="F11" i="44"/>
  <c r="F10" i="44"/>
  <c r="F9" i="44"/>
  <c r="BA3" i="43"/>
  <c r="BA4" i="43"/>
  <c r="BA5" i="43"/>
  <c r="BA6" i="43"/>
  <c r="BA7" i="43"/>
  <c r="BA8" i="43"/>
  <c r="BA9" i="43"/>
  <c r="BA10" i="43"/>
  <c r="BA11" i="43"/>
  <c r="BA12" i="43"/>
  <c r="BA13" i="43"/>
  <c r="BA14" i="43"/>
  <c r="BA15" i="43"/>
  <c r="BA16" i="43"/>
  <c r="BA17" i="43"/>
  <c r="BA18" i="43"/>
  <c r="BA19" i="43"/>
  <c r="BA20" i="43"/>
  <c r="BA21" i="43"/>
  <c r="BA22" i="43"/>
  <c r="BA23" i="43"/>
  <c r="BA24" i="43"/>
  <c r="BA25" i="43"/>
  <c r="BA26" i="43"/>
  <c r="BA27" i="43"/>
  <c r="BA28" i="43"/>
  <c r="BA29" i="43"/>
  <c r="BA30" i="43"/>
  <c r="BA31" i="43"/>
  <c r="BA32" i="43"/>
  <c r="BA33" i="43"/>
  <c r="BA34" i="43"/>
  <c r="BA35" i="43"/>
  <c r="BA36" i="43"/>
  <c r="BA37" i="43"/>
  <c r="BA38" i="43"/>
  <c r="BA39" i="43"/>
  <c r="BA40" i="43"/>
  <c r="BA41" i="43"/>
  <c r="BA42" i="43"/>
  <c r="BA43" i="43"/>
  <c r="BA44" i="43"/>
  <c r="BA45" i="43"/>
  <c r="BA46" i="43"/>
  <c r="BA47" i="43"/>
  <c r="BA48" i="43"/>
  <c r="BA49" i="43"/>
  <c r="BA50" i="43"/>
  <c r="BA51" i="43"/>
  <c r="BA52" i="43"/>
  <c r="BA53" i="43"/>
  <c r="BA54" i="43"/>
  <c r="BA55" i="43"/>
  <c r="BA56" i="43"/>
  <c r="BA57" i="43"/>
  <c r="BA58" i="43"/>
  <c r="BA59" i="43"/>
  <c r="BA60" i="43"/>
  <c r="BA61" i="43"/>
  <c r="BA62" i="43"/>
  <c r="BA63" i="43"/>
  <c r="BA64" i="43"/>
  <c r="BA65" i="43"/>
  <c r="BA66" i="43"/>
  <c r="BA67" i="43"/>
  <c r="BA2" i="43"/>
  <c r="F8" i="44" s="1"/>
  <c r="F116" i="51" l="1"/>
  <c r="H53" i="51"/>
  <c r="E53" i="51" s="1"/>
  <c r="J41" i="51"/>
  <c r="J52" i="51" s="1"/>
  <c r="F52" i="51" s="1"/>
  <c r="O46" i="51"/>
  <c r="H51" i="51"/>
  <c r="E51" i="51" s="1"/>
  <c r="L46" i="51"/>
  <c r="G111" i="51"/>
  <c r="G116" i="51" s="1"/>
  <c r="I111" i="51"/>
  <c r="I116" i="51" s="1"/>
  <c r="D87" i="51"/>
  <c r="D92" i="51" s="1"/>
  <c r="M87" i="51"/>
  <c r="M92" i="51" s="1"/>
  <c r="I87" i="51"/>
  <c r="I92" i="51" s="1"/>
  <c r="K92" i="51"/>
  <c r="F46" i="51"/>
  <c r="H41" i="51"/>
  <c r="H46" i="51" s="1"/>
  <c r="N41" i="51"/>
  <c r="J53" i="51" s="1"/>
  <c r="F53" i="51" s="1"/>
  <c r="J46" i="51"/>
  <c r="I41" i="51"/>
  <c r="I46" i="51" s="1"/>
  <c r="K46" i="51"/>
  <c r="G16" i="51"/>
  <c r="G21" i="51" s="1"/>
  <c r="K16" i="51"/>
  <c r="K21" i="51" s="1"/>
  <c r="N21" i="51"/>
  <c r="F11" i="47"/>
  <c r="F10" i="47"/>
  <c r="F9" i="47"/>
  <c r="BA3" i="31"/>
  <c r="BA4" i="31"/>
  <c r="BA5" i="31"/>
  <c r="BA6" i="31"/>
  <c r="BA7" i="31"/>
  <c r="BA8" i="31"/>
  <c r="BA9" i="31"/>
  <c r="BA10" i="31"/>
  <c r="BA11" i="31"/>
  <c r="BA12" i="31"/>
  <c r="BA13" i="31"/>
  <c r="BA14" i="31"/>
  <c r="BA15" i="31"/>
  <c r="BA16" i="31"/>
  <c r="BA17" i="31"/>
  <c r="BA18" i="31"/>
  <c r="BA19" i="31"/>
  <c r="BA20" i="31"/>
  <c r="BA21" i="31"/>
  <c r="BA22" i="31"/>
  <c r="BA23" i="31"/>
  <c r="BA24" i="31"/>
  <c r="BA25" i="31"/>
  <c r="BA26" i="31"/>
  <c r="BA27" i="31"/>
  <c r="BA28" i="31"/>
  <c r="BA29" i="31"/>
  <c r="BA30" i="31"/>
  <c r="BA31" i="31"/>
  <c r="BA32" i="31"/>
  <c r="BA33" i="31"/>
  <c r="BA34" i="31"/>
  <c r="BA35" i="31"/>
  <c r="BA36" i="31"/>
  <c r="BA37" i="31"/>
  <c r="BA38" i="31"/>
  <c r="BA39" i="31"/>
  <c r="BA40" i="31"/>
  <c r="BA41" i="31"/>
  <c r="BA42" i="31"/>
  <c r="BA43" i="31"/>
  <c r="BA44" i="31"/>
  <c r="BA45" i="31"/>
  <c r="BA46" i="31"/>
  <c r="BA47" i="31"/>
  <c r="BA48" i="31"/>
  <c r="BA49" i="31"/>
  <c r="BA50" i="31"/>
  <c r="BA51" i="31"/>
  <c r="BA52" i="31"/>
  <c r="BA53" i="31"/>
  <c r="BA54" i="31"/>
  <c r="BA55" i="31"/>
  <c r="BA56" i="31"/>
  <c r="BA57" i="31"/>
  <c r="BA58" i="31"/>
  <c r="BA59" i="31"/>
  <c r="BA60" i="31"/>
  <c r="BA61" i="31"/>
  <c r="BA62" i="31"/>
  <c r="BA63" i="31"/>
  <c r="BA64" i="31"/>
  <c r="BA65" i="31"/>
  <c r="BA66" i="31"/>
  <c r="BA67" i="31"/>
  <c r="BA2" i="31"/>
  <c r="F8" i="47" s="1"/>
  <c r="N46" i="51" l="1"/>
  <c r="F11" i="45"/>
  <c r="F10" i="45"/>
  <c r="F9" i="45"/>
  <c r="BY3" i="46"/>
  <c r="BY4" i="46"/>
  <c r="BY5" i="46"/>
  <c r="BY6" i="46"/>
  <c r="BY7" i="46"/>
  <c r="BY8" i="46"/>
  <c r="BY9" i="46"/>
  <c r="BY10" i="46"/>
  <c r="BY11" i="46"/>
  <c r="BY12" i="46"/>
  <c r="BY13" i="46"/>
  <c r="BY14" i="46"/>
  <c r="BY15" i="46"/>
  <c r="BY16" i="46"/>
  <c r="BY17" i="46"/>
  <c r="BY18" i="46"/>
  <c r="BY19" i="46"/>
  <c r="BY20" i="46"/>
  <c r="BY21" i="46"/>
  <c r="BY22" i="46"/>
  <c r="BY23" i="46"/>
  <c r="BY24" i="46"/>
  <c r="BY25" i="46"/>
  <c r="BY26" i="46"/>
  <c r="BY27" i="46"/>
  <c r="BY28" i="46"/>
  <c r="BY29" i="46"/>
  <c r="BY30" i="46"/>
  <c r="BY31" i="46"/>
  <c r="BY32" i="46"/>
  <c r="BY33" i="46"/>
  <c r="BY34" i="46"/>
  <c r="BY35" i="46"/>
  <c r="BY36" i="46"/>
  <c r="BY37" i="46"/>
  <c r="BY38" i="46"/>
  <c r="BY39" i="46"/>
  <c r="BY40" i="46"/>
  <c r="BY41" i="46"/>
  <c r="BY42" i="46"/>
  <c r="BY43" i="46"/>
  <c r="BY44" i="46"/>
  <c r="BY45" i="46"/>
  <c r="BY46" i="46"/>
  <c r="BY47" i="46"/>
  <c r="BY48" i="46"/>
  <c r="BY49" i="46"/>
  <c r="BY50" i="46"/>
  <c r="BY51" i="46"/>
  <c r="BY52" i="46"/>
  <c r="BY53" i="46"/>
  <c r="BY54" i="46"/>
  <c r="BY55" i="46"/>
  <c r="BY56" i="46"/>
  <c r="BY57" i="46"/>
  <c r="BY58" i="46"/>
  <c r="BY59" i="46"/>
  <c r="BY60" i="46"/>
  <c r="BY61" i="46"/>
  <c r="BY62" i="46"/>
  <c r="BY63" i="46"/>
  <c r="BY64" i="46"/>
  <c r="BY65" i="46"/>
  <c r="BY66" i="46"/>
  <c r="BY67" i="46"/>
  <c r="BY68" i="46"/>
  <c r="BY69" i="46"/>
  <c r="BY70" i="46"/>
  <c r="BY71" i="46"/>
  <c r="BY72" i="46"/>
  <c r="BY73" i="46"/>
  <c r="BY74" i="46"/>
  <c r="BY75" i="46"/>
  <c r="BY76" i="46"/>
  <c r="BY2" i="46"/>
  <c r="F8" i="45" s="1"/>
  <c r="C9" i="47" l="1"/>
  <c r="C11" i="47"/>
  <c r="C10" i="47"/>
  <c r="C10" i="41" l="1"/>
  <c r="D10" i="41"/>
  <c r="C9" i="41"/>
  <c r="C11" i="45"/>
  <c r="D9" i="47"/>
  <c r="D10" i="47"/>
  <c r="D11" i="47"/>
  <c r="C10" i="45"/>
  <c r="C9" i="45"/>
  <c r="D9" i="45"/>
  <c r="D10" i="45"/>
  <c r="C11" i="41"/>
  <c r="E10" i="41"/>
  <c r="E11" i="41"/>
  <c r="E9" i="41"/>
  <c r="C10" i="44"/>
  <c r="C9" i="44"/>
  <c r="C11" i="44"/>
  <c r="D9" i="41" l="1"/>
  <c r="D11" i="41"/>
  <c r="D11" i="45"/>
  <c r="D11" i="44"/>
  <c r="D9" i="44"/>
  <c r="D10" i="44"/>
</calcChain>
</file>

<file path=xl/sharedStrings.xml><?xml version="1.0" encoding="utf-8"?>
<sst xmlns="http://schemas.openxmlformats.org/spreadsheetml/2006/main" count="1809" uniqueCount="590">
  <si>
    <t>7A1</t>
  </si>
  <si>
    <t>Betsi Cadwaladr University Health Board</t>
  </si>
  <si>
    <t>7A3</t>
  </si>
  <si>
    <t>7A4</t>
  </si>
  <si>
    <t>Cardiff and Vale University Health Board</t>
  </si>
  <si>
    <t>R0A</t>
  </si>
  <si>
    <t>Manchester University NHS Foundation Trust</t>
  </si>
  <si>
    <t>R1H</t>
  </si>
  <si>
    <t>Barts Health NHS Trust</t>
  </si>
  <si>
    <t>R1K</t>
  </si>
  <si>
    <t>RA9</t>
  </si>
  <si>
    <t>Torbay and South Devon NHS Foundation Trust</t>
  </si>
  <si>
    <t>RAE</t>
  </si>
  <si>
    <t>Bradford Teaching Hospitals NHS Foundation Trust</t>
  </si>
  <si>
    <t>RAJ</t>
  </si>
  <si>
    <t>RAL</t>
  </si>
  <si>
    <t>Royal Free London NHS Foundation Trust</t>
  </si>
  <si>
    <t>RBN</t>
  </si>
  <si>
    <t>RCB</t>
  </si>
  <si>
    <t>York Teaching Hospital NHS Foundation Trust</t>
  </si>
  <si>
    <t>RDE</t>
  </si>
  <si>
    <t>RDU</t>
  </si>
  <si>
    <t>Frimley Health NHS Foundation Trust</t>
  </si>
  <si>
    <t>REF</t>
  </si>
  <si>
    <t>Royal Cornwall Hospitals NHS Trust</t>
  </si>
  <si>
    <t>REM</t>
  </si>
  <si>
    <t>RF4</t>
  </si>
  <si>
    <t>RGR</t>
  </si>
  <si>
    <t>West Suffolk NHS Foundation Trust</t>
  </si>
  <si>
    <t>RGT</t>
  </si>
  <si>
    <t>Cambridge University Hospitals NHS Foundation Trust</t>
  </si>
  <si>
    <t>RH8</t>
  </si>
  <si>
    <t>RHM</t>
  </si>
  <si>
    <t>University Hospital Southampton NHS Foundation Trust</t>
  </si>
  <si>
    <t>RHQ</t>
  </si>
  <si>
    <t>Sheffield Teaching Hospitals NHS Foundation Trust</t>
  </si>
  <si>
    <t>RHW</t>
  </si>
  <si>
    <t>Royal Berkshire NHS Foundation Trust</t>
  </si>
  <si>
    <t>RJ1</t>
  </si>
  <si>
    <t>Guy's and St Thomas' NHS Foundation Trust</t>
  </si>
  <si>
    <t>RJ7</t>
  </si>
  <si>
    <t>St George's University Hospitals NHS Foundation Trust</t>
  </si>
  <si>
    <t>RJE</t>
  </si>
  <si>
    <t>University Hospital of North Midlands NHS Trust</t>
  </si>
  <si>
    <t>RJR</t>
  </si>
  <si>
    <t>Countess of Chester Hospital NHS Foundation Trust</t>
  </si>
  <si>
    <t>RJZ</t>
  </si>
  <si>
    <t>King's College Hospital NHS Foundation Trust</t>
  </si>
  <si>
    <t>RK9</t>
  </si>
  <si>
    <t>RKB</t>
  </si>
  <si>
    <t>University Hospitals Coventry and Warwickshire NHS Trust</t>
  </si>
  <si>
    <t>RM1</t>
  </si>
  <si>
    <t>Norfolk and Norwich University Hospitals NHS Foundation Trust</t>
  </si>
  <si>
    <t>RNA</t>
  </si>
  <si>
    <t>The Dudley Group NHS Foundation Trust</t>
  </si>
  <si>
    <t>RNS</t>
  </si>
  <si>
    <t>Northampton General Hospital NHS Trust</t>
  </si>
  <si>
    <t>RP5</t>
  </si>
  <si>
    <t>RPA</t>
  </si>
  <si>
    <t>Medway NHS Foundation Trust</t>
  </si>
  <si>
    <t>RQW</t>
  </si>
  <si>
    <t>Princess Alexandra Hospital NHS Trust</t>
  </si>
  <si>
    <t>RR8</t>
  </si>
  <si>
    <t>Leeds Teaching Hospitals NHS Trust</t>
  </si>
  <si>
    <t>RRK</t>
  </si>
  <si>
    <t>University Hospitals Birmingham NHS Foundation Trust</t>
  </si>
  <si>
    <t>RRV</t>
  </si>
  <si>
    <t>University College London Hospitals NHS Foundation Trust</t>
  </si>
  <si>
    <t>RT3</t>
  </si>
  <si>
    <t>Royal Brompton &amp; Harefield NHS Foundation Trust</t>
  </si>
  <si>
    <t>RTD</t>
  </si>
  <si>
    <t>Newcastle upon Tyne Hospitals NHS Foundation Trust</t>
  </si>
  <si>
    <t>RTE</t>
  </si>
  <si>
    <t>Gloucestershire Hospitals NHS Foundation Trust</t>
  </si>
  <si>
    <t>RTG</t>
  </si>
  <si>
    <t>RTH</t>
  </si>
  <si>
    <t>RTR</t>
  </si>
  <si>
    <t>South Tees Hospitals NHS Foundation Trust</t>
  </si>
  <si>
    <t>RVJ</t>
  </si>
  <si>
    <t>North Bristol NHS Trust</t>
  </si>
  <si>
    <t>RVV</t>
  </si>
  <si>
    <t>East Kent Hospitals University NHS Foundation Trust</t>
  </si>
  <si>
    <t>RWA</t>
  </si>
  <si>
    <t>RWD</t>
  </si>
  <si>
    <t>United Lincolnshire Hospitals NHS Trust</t>
  </si>
  <si>
    <t>RWE</t>
  </si>
  <si>
    <t>University Hospitals of Leicester NHS Trust</t>
  </si>
  <si>
    <t>RWG</t>
  </si>
  <si>
    <t>RWH</t>
  </si>
  <si>
    <t>East and North Hertfordshire NHS Trust</t>
  </si>
  <si>
    <t>RWP</t>
  </si>
  <si>
    <t>Worcestershire Acute Hospitals NHS Trust</t>
  </si>
  <si>
    <t>RX1</t>
  </si>
  <si>
    <t>Nottingham University Hospitals NHS Trust</t>
  </si>
  <si>
    <t>RXN</t>
  </si>
  <si>
    <t>Lancashire Teaching Hospitals NHS Foundation Trust</t>
  </si>
  <si>
    <t>RXR</t>
  </si>
  <si>
    <t>East Lancashire Hospitals NHS Trust</t>
  </si>
  <si>
    <t>RXW</t>
  </si>
  <si>
    <t>Shrewsbury and Telford Hospital NHS Trust</t>
  </si>
  <si>
    <t>RYJ</t>
  </si>
  <si>
    <t>Imperial College Healthcare NHS Trust</t>
  </si>
  <si>
    <t>SG999</t>
  </si>
  <si>
    <t>NHS Greater Glasgow and Clyde</t>
  </si>
  <si>
    <t>SH999</t>
  </si>
  <si>
    <t>NHS Highland</t>
  </si>
  <si>
    <t>SL999</t>
  </si>
  <si>
    <t>NHS Lanarkshire</t>
  </si>
  <si>
    <t>SN999</t>
  </si>
  <si>
    <t>NHS Grampian</t>
  </si>
  <si>
    <t>SS999</t>
  </si>
  <si>
    <t>NHS Lothian</t>
  </si>
  <si>
    <t>ST999</t>
  </si>
  <si>
    <t>NHS Tayside</t>
  </si>
  <si>
    <t>SV999</t>
  </si>
  <si>
    <t>NHS Forth Valley</t>
  </si>
  <si>
    <t>ZT001</t>
  </si>
  <si>
    <t>Belfast Health and Social Care Trust</t>
  </si>
  <si>
    <t>Trust code</t>
  </si>
  <si>
    <t>Swansea Bay University Health Board</t>
  </si>
  <si>
    <t>University Hospitals Plymouth NHS Trust</t>
  </si>
  <si>
    <t>East Suffolk and North Essex NHS Foundation Trust</t>
  </si>
  <si>
    <t>N/A</t>
  </si>
  <si>
    <t>University Hospitals of Derby and Burton NHS Foundation Trust</t>
  </si>
  <si>
    <t>Select Trust</t>
  </si>
  <si>
    <t>Q1</t>
  </si>
  <si>
    <t>Q3</t>
  </si>
  <si>
    <t>Barking, Havering and Redbridge University Hospitals NHS Trust</t>
  </si>
  <si>
    <t>Doncaster and Bassetlaw Teaching Hospitals NHS Foundation Trust</t>
  </si>
  <si>
    <t>Hull University Teaching Hospitals NHS Trust</t>
  </si>
  <si>
    <t>Liverpool University Hospitals NHS Foundation Trust</t>
  </si>
  <si>
    <t>London North West University Healthcare NHS Trust</t>
  </si>
  <si>
    <t>Oxford University Hospitals NHS Foundation Trust</t>
  </si>
  <si>
    <t>RTP</t>
  </si>
  <si>
    <t>Surrey and Sussex Healthcare NHS Trust</t>
  </si>
  <si>
    <t>RRF</t>
  </si>
  <si>
    <t>Wrightington, Wigan And Leigh NHS Foundation Trust</t>
  </si>
  <si>
    <t>R0B</t>
  </si>
  <si>
    <t>South Tyneside and Sunderland NHS Foundation Trust</t>
  </si>
  <si>
    <t>R0D</t>
  </si>
  <si>
    <t>University Hospitals Dorset NHS Foundation Trust</t>
  </si>
  <si>
    <t>Mid and South Essex NHS Foundation Trust</t>
  </si>
  <si>
    <t>RBQ</t>
  </si>
  <si>
    <t>Liverpool Heart And Chest NHS Foundation Trust</t>
  </si>
  <si>
    <t>RH5</t>
  </si>
  <si>
    <t>Somerset NHS Foundation Trust</t>
  </si>
  <si>
    <t>North Cumbria Integrated Care NHS Foundation Trust</t>
  </si>
  <si>
    <t>RYR</t>
  </si>
  <si>
    <t>University Hospital Sussex NHS Foundation Trust</t>
  </si>
  <si>
    <t>SY999</t>
  </si>
  <si>
    <t>NHS Dumfries and Galloway</t>
  </si>
  <si>
    <t>RC9</t>
  </si>
  <si>
    <t>Bedfordshire Hospitals NHS Foundation Trust</t>
  </si>
  <si>
    <t>RM3</t>
  </si>
  <si>
    <t>Northern Care Alliance NHS Foundation Trust</t>
  </si>
  <si>
    <t>RNN</t>
  </si>
  <si>
    <t>West Hertfordshire Teaching Hospitals NHS Trust</t>
  </si>
  <si>
    <t>Trust name</t>
  </si>
  <si>
    <t>% of Patients Receiving Surgery Within 8 Weeks of Assessment</t>
  </si>
  <si>
    <t>Royal Devon University Healthcare NHS Foundation Trust</t>
  </si>
  <si>
    <t>USER GUIDE</t>
  </si>
  <si>
    <t>These cells give an instruction of what the cell on the right is to be used for</t>
  </si>
  <si>
    <t xml:space="preserve">These cells contain dropdown menus where the user can select NHS Trust or Performance Indicator of interest </t>
  </si>
  <si>
    <t>The purpose of the National Vascular Registry (NVR) is to measure the quality and outcomes of care for adult patients who undergo major vascular procedures in NHS hospitals, and to support vascular services to improve the quality of care for these patients.</t>
  </si>
  <si>
    <t>TrustCode</t>
  </si>
  <si>
    <t>2020_Q3_CEAs</t>
  </si>
  <si>
    <t>2020_Q3_Symp</t>
  </si>
  <si>
    <t>2020_Q3_SympCEA14Days</t>
  </si>
  <si>
    <t>2020_Q4_CEAs</t>
  </si>
  <si>
    <t>2020_Q4_Symp</t>
  </si>
  <si>
    <t>2020_Q4_SympCEA14Days</t>
  </si>
  <si>
    <t>2021_Q1_CEAs</t>
  </si>
  <si>
    <t>2021_Q1_Symp</t>
  </si>
  <si>
    <t>2021_Q1_SympCEA14Days</t>
  </si>
  <si>
    <t>2021_Q2_CEAs</t>
  </si>
  <si>
    <t>2021_Q2_Symp</t>
  </si>
  <si>
    <t>2021_Q2_SympCEA14Days</t>
  </si>
  <si>
    <t>2021_Q3_CEAs</t>
  </si>
  <si>
    <t>2021_Q3_Symp</t>
  </si>
  <si>
    <t>2021_Q3_SympCEA14Days</t>
  </si>
  <si>
    <t>2021_Q4_CEAs</t>
  </si>
  <si>
    <t>2021_Q4_Symp</t>
  </si>
  <si>
    <t>2021_Q4_SympCEA14Days</t>
  </si>
  <si>
    <t>2022_Q1_CEAs</t>
  </si>
  <si>
    <t>2022_Q1_Symp</t>
  </si>
  <si>
    <t>2022_Q1_SympCEA14Days</t>
  </si>
  <si>
    <t>2022_Q2_CEAs</t>
  </si>
  <si>
    <t>2022_Q2_Symp</t>
  </si>
  <si>
    <t>2022_Q2_SympCEA14Days</t>
  </si>
  <si>
    <t>2022_Q3_CEAs</t>
  </si>
  <si>
    <t>2022_Q3_Symp</t>
  </si>
  <si>
    <t>2022_Q3_SympCEA14Days</t>
  </si>
  <si>
    <t>2022_Q4_CEAs</t>
  </si>
  <si>
    <t>2022_Q4_Symp</t>
  </si>
  <si>
    <t>2022_Q4_SympCEA14Days</t>
  </si>
  <si>
    <t>TrustName</t>
  </si>
  <si>
    <t>2020_Q3_%≤14Days</t>
  </si>
  <si>
    <t>2020_Q4_%≤14Days</t>
  </si>
  <si>
    <t>2021_Q1_%≤14Days</t>
  </si>
  <si>
    <t>2021_Q2_%≤14Days</t>
  </si>
  <si>
    <t>2021_Q3_%≤14Days</t>
  </si>
  <si>
    <t>2021_Q4_%≤14Days</t>
  </si>
  <si>
    <t>2022_Q1_%≤14Days</t>
  </si>
  <si>
    <t>2022_Q2_%≤14Days</t>
  </si>
  <si>
    <t>2022_Q3_%≤14Days</t>
  </si>
  <si>
    <t>2022_Q4_%≤14Days</t>
  </si>
  <si>
    <t>Q2</t>
  </si>
  <si>
    <t>Q4</t>
  </si>
  <si>
    <t>Total CEAs</t>
  </si>
  <si>
    <t>Symptomatic CEAs (right axis)</t>
  </si>
  <si>
    <t>NICE Guideline Target</t>
  </si>
  <si>
    <t>2020_Q3_AAAs</t>
  </si>
  <si>
    <t>2020_Q4_AAAs</t>
  </si>
  <si>
    <t>2021_Q1_AAAs</t>
  </si>
  <si>
    <t>2021_Q2_AAAs</t>
  </si>
  <si>
    <t>2021_Q3_AAAs</t>
  </si>
  <si>
    <t>2021_Q4_AAAs</t>
  </si>
  <si>
    <t>2022_Q1_AAAs</t>
  </si>
  <si>
    <t>2022_Q2_AAAs</t>
  </si>
  <si>
    <t>2022_Q3_AAAs</t>
  </si>
  <si>
    <t>2022_Q4_AAAs</t>
  </si>
  <si>
    <t>Elective Infra-renal AAA Repairs</t>
  </si>
  <si>
    <t>NAAASP Target</t>
  </si>
  <si>
    <t>2020_Q3_Open</t>
  </si>
  <si>
    <t>2020_Q3_EVAR</t>
  </si>
  <si>
    <t>2020_Q3_AssprocDenom</t>
  </si>
  <si>
    <t>2020_Q3_AssProc56</t>
  </si>
  <si>
    <t>2020_Q4_Open</t>
  </si>
  <si>
    <t>2020_Q4_EVAR</t>
  </si>
  <si>
    <t>2020_Q4_AssprocDenom</t>
  </si>
  <si>
    <t>2020_Q4_AssProc56</t>
  </si>
  <si>
    <t>2021_Q1_Open</t>
  </si>
  <si>
    <t>2021_Q1_EVAR</t>
  </si>
  <si>
    <t>2021_Q1_AssprocDenom</t>
  </si>
  <si>
    <t>2021_Q1_AssProc56</t>
  </si>
  <si>
    <t>2021_Q2_Open</t>
  </si>
  <si>
    <t>2021_Q2_EVAR</t>
  </si>
  <si>
    <t>2021_Q2_AssprocDenom</t>
  </si>
  <si>
    <t>2021_Q2_AssProc56</t>
  </si>
  <si>
    <t>2021_Q3_Open</t>
  </si>
  <si>
    <t>2021_Q3_EVAR</t>
  </si>
  <si>
    <t>2021_Q3_AssprocDenom</t>
  </si>
  <si>
    <t>2021_Q3_AssProc56</t>
  </si>
  <si>
    <t>2021_Q4_Open</t>
  </si>
  <si>
    <t>2021_Q4_EVAR</t>
  </si>
  <si>
    <t>2021_Q4_AssprocDenom</t>
  </si>
  <si>
    <t>2021_Q4_AssProc56</t>
  </si>
  <si>
    <t>2022_Q1_Open</t>
  </si>
  <si>
    <t>2022_Q1_EVAR</t>
  </si>
  <si>
    <t>2022_Q1_AssprocDenom</t>
  </si>
  <si>
    <t>2022_Q1_AssProc56</t>
  </si>
  <si>
    <t>2022_Q2_Open</t>
  </si>
  <si>
    <t>2022_Q2_EVAR</t>
  </si>
  <si>
    <t>2022_Q2_AssprocDenom</t>
  </si>
  <si>
    <t>2022_Q2_AssProc56</t>
  </si>
  <si>
    <t>2022_Q3_Open</t>
  </si>
  <si>
    <t>2022_Q3_EVAR</t>
  </si>
  <si>
    <t>2022_Q3_AssprocDenom</t>
  </si>
  <si>
    <t>2022_Q3_AssProc56</t>
  </si>
  <si>
    <t>2022_Q4_Open</t>
  </si>
  <si>
    <t>2022_Q4_EVAR</t>
  </si>
  <si>
    <t>2022_Q4_AssprocDenom</t>
  </si>
  <si>
    <t>2022_Q4_AssProc56</t>
  </si>
  <si>
    <r>
      <t>2020_Q3_%AssProc</t>
    </r>
    <r>
      <rPr>
        <b/>
        <sz val="11"/>
        <color theme="1"/>
        <rFont val="Calibri"/>
        <family val="2"/>
      </rPr>
      <t>≤</t>
    </r>
    <r>
      <rPr>
        <b/>
        <sz val="11"/>
        <color theme="1"/>
        <rFont val="Calibri"/>
        <family val="2"/>
        <scheme val="minor"/>
      </rPr>
      <t>56</t>
    </r>
  </si>
  <si>
    <r>
      <t>2020_Q4_%AssProc</t>
    </r>
    <r>
      <rPr>
        <b/>
        <sz val="11"/>
        <color theme="1"/>
        <rFont val="Calibri"/>
        <family val="2"/>
      </rPr>
      <t>≤</t>
    </r>
    <r>
      <rPr>
        <b/>
        <sz val="11"/>
        <color theme="1"/>
        <rFont val="Calibri"/>
        <family val="2"/>
        <scheme val="minor"/>
      </rPr>
      <t>56</t>
    </r>
  </si>
  <si>
    <r>
      <t>2021_Q1_%AssProc</t>
    </r>
    <r>
      <rPr>
        <b/>
        <sz val="11"/>
        <color theme="1"/>
        <rFont val="Calibri"/>
        <family val="2"/>
      </rPr>
      <t>≤</t>
    </r>
    <r>
      <rPr>
        <b/>
        <sz val="11"/>
        <color theme="1"/>
        <rFont val="Calibri"/>
        <family val="2"/>
        <scheme val="minor"/>
      </rPr>
      <t>56</t>
    </r>
  </si>
  <si>
    <r>
      <t>2021_Q2_%AssProc</t>
    </r>
    <r>
      <rPr>
        <b/>
        <sz val="11"/>
        <color theme="1"/>
        <rFont val="Calibri"/>
        <family val="2"/>
      </rPr>
      <t>≤</t>
    </r>
    <r>
      <rPr>
        <b/>
        <sz val="11"/>
        <color theme="1"/>
        <rFont val="Calibri"/>
        <family val="2"/>
        <scheme val="minor"/>
      </rPr>
      <t>56</t>
    </r>
  </si>
  <si>
    <r>
      <t>2021_Q3_%AssProc</t>
    </r>
    <r>
      <rPr>
        <b/>
        <sz val="11"/>
        <color theme="1"/>
        <rFont val="Calibri"/>
        <family val="2"/>
      </rPr>
      <t>≤</t>
    </r>
    <r>
      <rPr>
        <b/>
        <sz val="11"/>
        <color theme="1"/>
        <rFont val="Calibri"/>
        <family val="2"/>
        <scheme val="minor"/>
      </rPr>
      <t>56</t>
    </r>
  </si>
  <si>
    <r>
      <t>2021_Q4_%AssProc</t>
    </r>
    <r>
      <rPr>
        <b/>
        <sz val="11"/>
        <color theme="1"/>
        <rFont val="Calibri"/>
        <family val="2"/>
      </rPr>
      <t>≤</t>
    </r>
    <r>
      <rPr>
        <b/>
        <sz val="11"/>
        <color theme="1"/>
        <rFont val="Calibri"/>
        <family val="2"/>
        <scheme val="minor"/>
      </rPr>
      <t>56</t>
    </r>
  </si>
  <si>
    <r>
      <t>2022_Q1_%AssProc</t>
    </r>
    <r>
      <rPr>
        <b/>
        <sz val="11"/>
        <color theme="1"/>
        <rFont val="Calibri"/>
        <family val="2"/>
      </rPr>
      <t>≤</t>
    </r>
    <r>
      <rPr>
        <b/>
        <sz val="11"/>
        <color theme="1"/>
        <rFont val="Calibri"/>
        <family val="2"/>
        <scheme val="minor"/>
      </rPr>
      <t>56</t>
    </r>
  </si>
  <si>
    <r>
      <t>2022_Q2_%AssProc</t>
    </r>
    <r>
      <rPr>
        <b/>
        <sz val="11"/>
        <color theme="1"/>
        <rFont val="Calibri"/>
        <family val="2"/>
      </rPr>
      <t>≤</t>
    </r>
    <r>
      <rPr>
        <b/>
        <sz val="11"/>
        <color theme="1"/>
        <rFont val="Calibri"/>
        <family val="2"/>
        <scheme val="minor"/>
      </rPr>
      <t>56</t>
    </r>
  </si>
  <si>
    <t>Number of Open Repairs</t>
  </si>
  <si>
    <t>Number of EVARs</t>
  </si>
  <si>
    <t>2020_Q3Endo</t>
  </si>
  <si>
    <t>2020_Q3Open</t>
  </si>
  <si>
    <t>2020_Q3Hybrid</t>
  </si>
  <si>
    <t>2020_Q3CLTIDenominator</t>
  </si>
  <si>
    <t>2020_Q3EmergCTLI≤5Days</t>
  </si>
  <si>
    <t>2020_Q4Endo</t>
  </si>
  <si>
    <t>2020_Q4Open</t>
  </si>
  <si>
    <t>2020_Q4Hybrid</t>
  </si>
  <si>
    <t>2020_Q4CLTIDenominator</t>
  </si>
  <si>
    <t>2020_Q4EmergCTLI≤5Days</t>
  </si>
  <si>
    <t>2021_Q1Endo</t>
  </si>
  <si>
    <t>2021_Q1Open</t>
  </si>
  <si>
    <t>2021_Q1Hybrid</t>
  </si>
  <si>
    <t>2021_Q1CLTIDenominator</t>
  </si>
  <si>
    <t>2021_Q1EmergCTLI≤5Days</t>
  </si>
  <si>
    <t>2021_Q2Endo</t>
  </si>
  <si>
    <t>2021_Q2Open</t>
  </si>
  <si>
    <t>2021_Q2Hybrid</t>
  </si>
  <si>
    <t>2021_Q2CLTIDenominator</t>
  </si>
  <si>
    <t>2021_Q2EmergCTLI≤5Days</t>
  </si>
  <si>
    <t>2021_Q3Endo</t>
  </si>
  <si>
    <t>2021_Q3Open</t>
  </si>
  <si>
    <t>2021_Q3Hybrid</t>
  </si>
  <si>
    <t>2021_Q3CLTIDenominator</t>
  </si>
  <si>
    <t>2021_Q3EmergCTLI≤5Days</t>
  </si>
  <si>
    <t>2021_Q4Endo</t>
  </si>
  <si>
    <t>2021_Q4Open</t>
  </si>
  <si>
    <t>2021_Q4Hybrid</t>
  </si>
  <si>
    <t>2021_Q4CLTIDenominator</t>
  </si>
  <si>
    <t>2021_Q4EmergCTLI≤5Days</t>
  </si>
  <si>
    <t>2022_Q1Endo</t>
  </si>
  <si>
    <t>2022_Q1Open</t>
  </si>
  <si>
    <t>2022_Q1Hybrid</t>
  </si>
  <si>
    <t>2022_Q1CLTIDenominator</t>
  </si>
  <si>
    <t>2022_Q1EmergCTLI≤5Days</t>
  </si>
  <si>
    <t>2022_Q2Endo</t>
  </si>
  <si>
    <t>2022_Q2Open</t>
  </si>
  <si>
    <t>2022_Q2Hybrid</t>
  </si>
  <si>
    <t>2022_Q2CLTIDenominator</t>
  </si>
  <si>
    <t>2022_Q2EmergCTLI≤5Days</t>
  </si>
  <si>
    <t>2022_Q3Endo</t>
  </si>
  <si>
    <t>2022_Q3Open</t>
  </si>
  <si>
    <t>2022_Q3Hybrid</t>
  </si>
  <si>
    <t>2022_Q3CLTIDenominator</t>
  </si>
  <si>
    <t>2022_Q3EmergCTLI≤5Days</t>
  </si>
  <si>
    <t>2022_Q4Endo</t>
  </si>
  <si>
    <t>2022_Q4Open</t>
  </si>
  <si>
    <t>2022_Q4Hybrid</t>
  </si>
  <si>
    <t>2022_Q4CLTIDenominator</t>
  </si>
  <si>
    <t>2022_Q4EmergCTLI≤5Days</t>
  </si>
  <si>
    <t>2020_Q3%EmergCTLI≤5Days</t>
  </si>
  <si>
    <t>2020_Q4%EmergCTLI≤5Days</t>
  </si>
  <si>
    <t>2021_Q1%EmergCTLI≤5Days</t>
  </si>
  <si>
    <t>2021_Q2%EmergCTLI≤5Days</t>
  </si>
  <si>
    <t>2021_Q3%EmergCTLI≤5Days</t>
  </si>
  <si>
    <t>2021_Q4%EmergCTLI≤5Days</t>
  </si>
  <si>
    <t>2022_Q1%EmergCTLI≤5Days</t>
  </si>
  <si>
    <t>2022_Q2%EmergCTLI≤5Days</t>
  </si>
  <si>
    <t>2022_Q3%EmergCTLI≤5Days</t>
  </si>
  <si>
    <t>2022_Q4%EmergCTLI≤5Days</t>
  </si>
  <si>
    <t>Total Number of Endovascular Procedures</t>
  </si>
  <si>
    <t>Total Number of Open Procedures</t>
  </si>
  <si>
    <t>Total Number of Hybrid Procedure</t>
  </si>
  <si>
    <t>Emergency CLTI Wating Time Cases</t>
  </si>
  <si>
    <t>2020_Q3_AKA</t>
  </si>
  <si>
    <t>2020_Q4_AKA</t>
  </si>
  <si>
    <t>2021_Q1_AKA</t>
  </si>
  <si>
    <t>2021_Q2_AKA</t>
  </si>
  <si>
    <t>2021_Q3_AKA</t>
  </si>
  <si>
    <t>2021_Q4_AKA</t>
  </si>
  <si>
    <t>2022_Q1_AKA</t>
  </si>
  <si>
    <t>2022_Q2_AKA</t>
  </si>
  <si>
    <t>2022_Q3_AKA</t>
  </si>
  <si>
    <t>2022_Q4_AKA</t>
  </si>
  <si>
    <t>2020_Q3_BKA</t>
  </si>
  <si>
    <t>2020_Q4_BKA</t>
  </si>
  <si>
    <t>2021_Q1_BKA</t>
  </si>
  <si>
    <t>2021_Q2_BKA</t>
  </si>
  <si>
    <t>2021_Q3_BKA</t>
  </si>
  <si>
    <t>2021_Q4_BKA</t>
  </si>
  <si>
    <t>2022_Q1_BKA</t>
  </si>
  <si>
    <t>2022_Q2_BKA</t>
  </si>
  <si>
    <t>2022_Q3_BKA</t>
  </si>
  <si>
    <t>2022_Q4_BKA</t>
  </si>
  <si>
    <t>Major Amputations (right axis)</t>
  </si>
  <si>
    <t>1-year MA Sympt</t>
  </si>
  <si>
    <t># Symptomatic CEAs Performed Within 14 Days</t>
  </si>
  <si>
    <t>1-year MA Sympt within 14 days</t>
  </si>
  <si>
    <t>1-year MA % Sympt within 14 days</t>
  </si>
  <si>
    <t>Acronym</t>
  </si>
  <si>
    <t>Description</t>
  </si>
  <si>
    <t xml:space="preserve">Q3 </t>
  </si>
  <si>
    <t>AAA</t>
  </si>
  <si>
    <t>EVAR</t>
  </si>
  <si>
    <t>Registered charity no: 1127049</t>
  </si>
  <si>
    <t>This quarterly report was prepared by</t>
  </si>
  <si>
    <t>The National Vascular Registry is commissioned by the Healthcare Quality Improvement Partnership (HQIP) as part of the National Clinical Audit and Patient Outcomes Programme (NCAPOP). HQIP is led by a consortium of the Academy of Medical Royal Colleges, the Royal College of Nursing, and National Voices. Its aim is to promote quality improvement in patient outcomes, and in particular, to increase the impact that clinical audit, outcome review programmes and registries have on healthcare quality in England and Wales. HQIP holds the contract to commission, manage, and develop the National Clinical Audit and Patient Outcomes Programme (NCAPOP), comprising around 40 projects covering care provided to people with a wide range of medical, surgical and mental health conditions. The programme is funded by NHS England, the Welsh Government and, with some individual projects, other devolved administrations and crown dependencies.</t>
  </si>
  <si>
    <t>Registered charity no: 1084852</t>
  </si>
  <si>
    <t>Registered charity no: 1102769</t>
  </si>
  <si>
    <t>Registered charity no: 212808</t>
  </si>
  <si>
    <r>
      <t xml:space="preserve">The </t>
    </r>
    <r>
      <rPr>
        <b/>
        <sz val="11"/>
        <color theme="1"/>
        <rFont val="Calibri"/>
        <family val="2"/>
      </rPr>
      <t>British Society of Interventional Radiology</t>
    </r>
    <r>
      <rPr>
        <sz val="11"/>
        <color theme="1"/>
        <rFont val="Calibri"/>
        <family val="2"/>
      </rPr>
      <t xml:space="preserve"> </t>
    </r>
    <r>
      <rPr>
        <sz val="11"/>
        <color rgb="FF000000"/>
        <rFont val="Calibri"/>
        <family val="2"/>
      </rPr>
      <t xml:space="preserve">is the specialist society that represents interventional radiologists. It is again, one of the key partners leading the audit. </t>
    </r>
  </si>
  <si>
    <r>
      <t xml:space="preserve">The </t>
    </r>
    <r>
      <rPr>
        <b/>
        <sz val="11"/>
        <color theme="1"/>
        <rFont val="Calibri"/>
        <family val="2"/>
      </rPr>
      <t>Vascular Society of Great Britain and Ireland</t>
    </r>
    <r>
      <rPr>
        <sz val="11"/>
        <color theme="1"/>
        <rFont val="Calibri"/>
        <family val="2"/>
      </rPr>
      <t xml:space="preserve"> </t>
    </r>
    <r>
      <rPr>
        <sz val="11"/>
        <color rgb="FF000000"/>
        <rFont val="Calibri"/>
        <family val="2"/>
      </rPr>
      <t xml:space="preserve">is the specialist society that represents vascular surgeons. It is one of the key partners leading the audit. </t>
    </r>
  </si>
  <si>
    <t>Citation for this document:</t>
  </si>
  <si>
    <t>National Vascular Registry. Quarterly Report Q1 2024. London: Royal College of Surgeons of England, 2024</t>
  </si>
  <si>
    <t>© 2024 Healthcare Quality Improvement Partnership (HQIP)</t>
  </si>
  <si>
    <r>
      <t xml:space="preserve">The </t>
    </r>
    <r>
      <rPr>
        <b/>
        <sz val="11"/>
        <color theme="1"/>
        <rFont val="Calibri"/>
        <family val="2"/>
      </rPr>
      <t>Royal College of Surgeons of England</t>
    </r>
    <r>
      <rPr>
        <sz val="11"/>
        <color theme="1"/>
        <rFont val="Calibri"/>
        <family val="2"/>
      </rPr>
      <t xml:space="preserve"> </t>
    </r>
    <r>
      <rPr>
        <sz val="11"/>
        <color rgb="FF000000"/>
        <rFont val="Calibri"/>
        <family val="2"/>
      </rPr>
      <t>is an independent professional body committed to enabling surgeons to achieve and maintain the highest standards of surgical practice and patient care. As part of this, it supports Audit and the evaluation of clinical effectiveness for surgery.</t>
    </r>
  </si>
  <si>
    <t>This report was prepared by members of the NVR project team:</t>
  </si>
  <si>
    <t>Team members at the Clinical Effectiveness Unit, RCS England</t>
  </si>
  <si>
    <t>• Mr Sam Waton, NVR Project Manager</t>
  </si>
  <si>
    <t>• Dr Amundeep Johal, Senior Statistician</t>
  </si>
  <si>
    <t>• Dr Qiuju Li, Research Fellow in Medical Statistics</t>
  </si>
  <si>
    <t>• Prof David Cromwell, CEU Director</t>
  </si>
  <si>
    <t>Dr Robin Williams, Consultant Interventional Radiologist, British Society of Interventional Radiology (BSIR)</t>
  </si>
  <si>
    <t>CEA</t>
  </si>
  <si>
    <t>Carotid endarterecetomy</t>
  </si>
  <si>
    <t xml:space="preserve">No. of patients with symptomatic disease having CEA </t>
  </si>
  <si>
    <t>Calculation rows</t>
  </si>
  <si>
    <t>Graphing rows</t>
  </si>
  <si>
    <t>National Vascular Registry</t>
  </si>
  <si>
    <t>2024 Q1 Quarterly Report</t>
  </si>
  <si>
    <t>2x4 MA</t>
  </si>
  <si>
    <t>2x4 MA sympt CEA</t>
  </si>
  <si>
    <t>2x4 MA sympt CEA within 14 days</t>
  </si>
  <si>
    <t>1-year MA AAA</t>
  </si>
  <si>
    <t>2x4 MA AAA</t>
  </si>
  <si>
    <t># AAAs within 56 days</t>
  </si>
  <si>
    <t>1-year MA AAA within 56 days</t>
  </si>
  <si>
    <t>2x4 MA AAA within 56 days</t>
  </si>
  <si>
    <t>1-year MA % AAA within 56 days</t>
  </si>
  <si>
    <t>NAAASP</t>
  </si>
  <si>
    <t>Elective Infra-renal AAA Repairs (right axis)</t>
  </si>
  <si>
    <t>1-year MA CLTI</t>
  </si>
  <si>
    <t>2x4 MA CLTI</t>
  </si>
  <si>
    <t># Revascs within 5 days</t>
  </si>
  <si>
    <t>1-year MA Revasc within 5 days</t>
  </si>
  <si>
    <t>2x4 MA Revasc within 5 days</t>
  </si>
  <si>
    <t>1-year MA % Revasc within 5 days</t>
  </si>
  <si>
    <t>2020_Q3_MajAmp</t>
  </si>
  <si>
    <t>2020_Q4_MajAmp</t>
  </si>
  <si>
    <t>2021_Q1_MajAmp</t>
  </si>
  <si>
    <t>2021_Q2_MajAmp</t>
  </si>
  <si>
    <t>2021_Q3_MajAmp</t>
  </si>
  <si>
    <t>2021_Q4_MajAmp</t>
  </si>
  <si>
    <t>2022_Q1_MajAmp</t>
  </si>
  <si>
    <t>2022_Q2_MajAmp</t>
  </si>
  <si>
    <t>2022_Q3_MajAmp</t>
  </si>
  <si>
    <t>2022_Q4_MajAmp</t>
  </si>
  <si>
    <t>Major Amputations</t>
  </si>
  <si>
    <t>Prof Arun Pherwani, Consultant Vascular Surgeon, Vascular Society of Great Britain and Ireland (VSGBI)</t>
  </si>
  <si>
    <t xml:space="preserve">This spreadsheet includes the national and organisational level results for emergency (non-elective) and elective procedures for the following patient groups:
1. patients with peripheral arterial disease (PAD) who undergo either (a) lower limb angioplasty/stent, (b) lower limb bypass surgery, or (c) major lower limb amputation
2. patients who have an elective infra-renal repair procedure for abdominal aortic aneurysm (AAA)
3. patients who undergo carotid endarterectomy.
</t>
  </si>
  <si>
    <t>Year 1</t>
  </si>
  <si>
    <t>Year 2</t>
  </si>
  <si>
    <t>Year 3</t>
  </si>
  <si>
    <t>Reporting Year (4 consecutive quarters)</t>
  </si>
  <si>
    <t>First quarter of the year (Jan-Mar)</t>
  </si>
  <si>
    <t>Second quarter of the year (Apr-Jun)</t>
  </si>
  <si>
    <t>Third quarter of the year (Jul-Sep)</t>
  </si>
  <si>
    <t>Fourth quarter of the year (Oct-Dec)</t>
  </si>
  <si>
    <t>Metrics Presented</t>
  </si>
  <si>
    <t>Number of symptomatic CEAs</t>
  </si>
  <si>
    <t>Number of CEAs on entered on the NVR recorded as symptomatic with the symptom date recorded</t>
  </si>
  <si>
    <t>Number of elective infra-renal AAA repairs</t>
  </si>
  <si>
    <t>Number of elective infra-renal AAA repairs on entered on the NVR</t>
  </si>
  <si>
    <t>Emergency CLTI Cases (right axis)</t>
  </si>
  <si>
    <t>Number of major amputations on the NVR</t>
  </si>
  <si>
    <t>Emergency CLTI Cases</t>
  </si>
  <si>
    <t>Number of emergency lower limb revascularisations for CLTI on the NVR (open surgical, endovascular and hybrid)</t>
  </si>
  <si>
    <t>The 1-year moving average of the % treated within 5 days. This has been presented to show the overall trend.</t>
  </si>
  <si>
    <t>CLTI</t>
  </si>
  <si>
    <t>Chronic Limb Threatening Ischaemia</t>
  </si>
  <si>
    <t>% EVAR</t>
  </si>
  <si>
    <t>1-year MA %EVAR</t>
  </si>
  <si>
    <t>1-year MA #EVAR</t>
  </si>
  <si>
    <t>Small Numbers and Missing Data</t>
  </si>
  <si>
    <t>The results for any quarter where the numerator or denominator is less than 5 are not shown in the table on the right. The diamond for the % of patients for that quarter is also not shown. Provided the numbers in 4 consecutive quarters are large enough, the moving average values are still shown.</t>
  </si>
  <si>
    <t>• Ms Panagiota Birmpili, NVR Clinical Research Fellow</t>
  </si>
  <si>
    <t>Date on which data were extracted from NVR system:</t>
  </si>
  <si>
    <t>Date quarterly report released:</t>
  </si>
  <si>
    <t>Abdominal Aortic Aneurysm</t>
  </si>
  <si>
    <t>Endovascular aneurysm repair</t>
  </si>
  <si>
    <t>1-year moving average % Sympt within 14 days</t>
  </si>
  <si>
    <t>Select Trust:</t>
  </si>
  <si>
    <t>2023_Q1_AKA</t>
  </si>
  <si>
    <t>2023_Q1_BKA</t>
  </si>
  <si>
    <t>2023_Q1_MajAmp</t>
  </si>
  <si>
    <t>2023_Q2_AKA</t>
  </si>
  <si>
    <t>2023_Q2_BKA</t>
  </si>
  <si>
    <t>2023_Q2_MajAmp</t>
  </si>
  <si>
    <t>2023_Q1_CEAs</t>
  </si>
  <si>
    <t>2023_Q1_Symp</t>
  </si>
  <si>
    <t>2023_Q1_SympCEA14Days</t>
  </si>
  <si>
    <t>2023_Q1_%≤14Days</t>
  </si>
  <si>
    <t>2023_Q2_CEAs</t>
  </si>
  <si>
    <t>2023_Q2_Symp</t>
  </si>
  <si>
    <t>2023_Q2_SympCEA14Days</t>
  </si>
  <si>
    <t>2023_Q2_%≤14Days</t>
  </si>
  <si>
    <t>2023_Q1_AAAs</t>
  </si>
  <si>
    <t>2023_Q1_Open</t>
  </si>
  <si>
    <t>2023_Q1_EVAR</t>
  </si>
  <si>
    <t>2023_Q1_AssprocDenom</t>
  </si>
  <si>
    <t>2023_Q1_AssProc56</t>
  </si>
  <si>
    <t>2023_Q2_AAAs</t>
  </si>
  <si>
    <t>2023_Q2_Open</t>
  </si>
  <si>
    <t>2023_Q2_EVAR</t>
  </si>
  <si>
    <t>2023_Q2_AssprocDenom</t>
  </si>
  <si>
    <t>2023_Q2_AssProc56</t>
  </si>
  <si>
    <t>2023_Q1Endo</t>
  </si>
  <si>
    <t>2023_Q1Open</t>
  </si>
  <si>
    <t>2023_Q1Hybrid</t>
  </si>
  <si>
    <t>2023_Q1CLTIDenominator</t>
  </si>
  <si>
    <t>2023_Q1EmergCTLI≤5Days</t>
  </si>
  <si>
    <t>2023_Q1%EmergCTLI≤5Days</t>
  </si>
  <si>
    <t>2023_Q2Endo</t>
  </si>
  <si>
    <t>2023_Q2Open</t>
  </si>
  <si>
    <t>2023_Q2Hybrid</t>
  </si>
  <si>
    <t>2023_Q2CLTIDenominator</t>
  </si>
  <si>
    <t>2023_Q2EmergCTLI≤5Days</t>
  </si>
  <si>
    <t>2023_Q2%EmergCTLI≤5Days</t>
  </si>
  <si>
    <t>Mersey and West Lancashire Teaching Hospitals NHS Trust</t>
  </si>
  <si>
    <t>Records are included if a repair type, opcs code and admissionmode are correctly entered. Records with "FALSE" submission are included.</t>
  </si>
  <si>
    <t>Repair type can be open or revision open</t>
  </si>
  <si>
    <t>Endovascular repairs (EVAR) included only elective admissions with primary OPCS codes (L27.1, L27.5, L27.6, L27.8, L27.9, L28.1, L28.5, L28.6, L28.8, L28.9)</t>
  </si>
  <si>
    <t>Repair type can be EVAR or revision EVAR or a complex repair with an iliac procedure</t>
  </si>
  <si>
    <t xml:space="preserve">Records are included if carotid procedure type are entered as direct endarterectomy, endarterectomy with patch or eversion endarterectomy. </t>
  </si>
  <si>
    <t>Records with "FALSE" submission are included. Records with missing carotid procedure type are excluded.</t>
  </si>
  <si>
    <t>Lower Limb Revascularisation</t>
  </si>
  <si>
    <t>Records are included if a procedure type, presenting problem, Fontaine Score and admissionmode are correctly entered. Records with "FALSE" submission are included.</t>
  </si>
  <si>
    <t>Patients with a presenting problem of acute limb ischaemia, trauma or aneurysm are excluded. As are those with a Fontaine score of 1 or 2.</t>
  </si>
  <si>
    <t>Where multiple revascularisation procedures occurred within the same hospital admission, only the first procedure is included.</t>
  </si>
  <si>
    <t>Major Lower Limb Amputation</t>
  </si>
  <si>
    <t>Records are included if a side of indcation and level of amputation are correctly entered. Records with "FALSE" submission are included.</t>
  </si>
  <si>
    <t>Bilateral major amputations and those performed for trauma are excluded.</t>
  </si>
  <si>
    <t>Through knee amputations are included as part of the Below knee group.</t>
  </si>
  <si>
    <t>Open repairs include only elective admissions with a primary OPCS code (L19.4, L19.5, L19.6 or L19.8)</t>
  </si>
  <si>
    <t>Proportion of patients treated within 14 days of symptoms</t>
  </si>
  <si>
    <t>Proportion of patients treated within 14 days of symptoms within the UK</t>
  </si>
  <si>
    <t>Proportion of symptomatic CEAs performed within 14 days</t>
  </si>
  <si>
    <t>The 1-year moving average of the proportion of symptomatic CEAs performed within 14 days. This has been presented to show the overall trend.</t>
  </si>
  <si>
    <t>Proportion of these procedures where the number of days between symptom and CEA was 14 or less</t>
  </si>
  <si>
    <t>Proportion of Symptomatic CEAs Performed Within 14 Days</t>
  </si>
  <si>
    <t>The results for any quarter where the numerator or denominator is less than 5 are not shown in the table on the right. The diamond for the proportion of patients for that quarter is also not shown. Provided the numbers in 4 consecutive quarters are large enough, the moving average values are still shown.</t>
  </si>
  <si>
    <t>Proportion of Patients Receiving Surgery Within 8 Weeks of Assessment</t>
  </si>
  <si>
    <t>Proportion of Patients Receiving Surgery Within 8 Weeks of Assessment UK</t>
  </si>
  <si>
    <t>Proportion of these procedures where the number of days between assessment and procedure was 56  (8 weeks) or less</t>
  </si>
  <si>
    <t>1-year MA proportion within 8 weeks</t>
  </si>
  <si>
    <t>The 1-year moving average of the proportion of AAAs performed within 56 days (8 weeks). This has been presented to show the overall trend.</t>
  </si>
  <si>
    <t>1-year moving average proportion of AAA within 8 weeks</t>
  </si>
  <si>
    <t>Proportion of CLTI treated within 5 days</t>
  </si>
  <si>
    <t>Proportion of CLTI treated within 5 days UK</t>
  </si>
  <si>
    <t>The proportion of these revascularisations that were treated within 5 days of admission</t>
  </si>
  <si>
    <t>1-year MA proportion of revasc within 5 days</t>
  </si>
  <si>
    <t>1-year moving average proportion of revasc within 5 days</t>
  </si>
  <si>
    <t>Country</t>
  </si>
  <si>
    <t>England</t>
  </si>
  <si>
    <t>Wales</t>
  </si>
  <si>
    <t>Scotland</t>
  </si>
  <si>
    <t>Text</t>
  </si>
  <si>
    <t>TextforBox</t>
  </si>
  <si>
    <t>Northern Ireland</t>
  </si>
  <si>
    <t>CLTI%5DaysYr1_Nation</t>
  </si>
  <si>
    <t>CLTI%5DaysYr2_Nation</t>
  </si>
  <si>
    <t>CLTI%5DaysYr3_Nation</t>
  </si>
  <si>
    <t>Upper CQUIN Target</t>
  </si>
  <si>
    <t>Lower CQUIN Target</t>
  </si>
  <si>
    <t>CEA%14DaysYr1_Nation</t>
  </si>
  <si>
    <t>CEA%14DaysYr2_Nation</t>
  </si>
  <si>
    <t>CEA%14DaysYr3_Nation</t>
  </si>
  <si>
    <t>Proportion of patients treated within 14 days of symptoms within</t>
  </si>
  <si>
    <t>%56DaysYr1_Nation</t>
  </si>
  <si>
    <t>%56DaysYr2_Nation</t>
  </si>
  <si>
    <t>%56DaysYr3_Nation</t>
  </si>
  <si>
    <r>
      <t xml:space="preserve">Included records are based on procedures undertaken between </t>
    </r>
    <r>
      <rPr>
        <b/>
        <sz val="11"/>
        <color theme="1"/>
        <rFont val="Calibri"/>
        <family val="2"/>
      </rPr>
      <t>01/07/2020 to 30/06/2023</t>
    </r>
  </si>
  <si>
    <r>
      <t xml:space="preserve">Included records are based on procedures undertaken between </t>
    </r>
    <r>
      <rPr>
        <b/>
        <sz val="11"/>
        <color theme="1"/>
        <rFont val="Calibri"/>
        <family val="2"/>
      </rPr>
      <t>01/07/2020 to 30/06/2023.</t>
    </r>
  </si>
  <si>
    <r>
      <t xml:space="preserve">Included lower limb angioplasty and bypass (including linked bypass) records are based on procedures undertaken between </t>
    </r>
    <r>
      <rPr>
        <b/>
        <sz val="11"/>
        <color theme="1"/>
        <rFont val="Calibri"/>
        <family val="2"/>
      </rPr>
      <t>01/07/2020 to 30/06/2023</t>
    </r>
    <r>
      <rPr>
        <sz val="11"/>
        <color theme="1"/>
        <rFont val="Calibri"/>
        <family val="2"/>
      </rPr>
      <t xml:space="preserve"> with non-elective admission modes</t>
    </r>
  </si>
  <si>
    <r>
      <t xml:space="preserve">Included records are based on procedures undertaken between </t>
    </r>
    <r>
      <rPr>
        <b/>
        <sz val="11"/>
        <color theme="1"/>
        <rFont val="Calibri"/>
        <family val="2"/>
      </rPr>
      <t>01/07/2020 to 30/06/2023</t>
    </r>
    <r>
      <rPr>
        <sz val="11"/>
        <color theme="1"/>
        <rFont val="Calibri"/>
        <family val="2"/>
      </rPr>
      <t>.</t>
    </r>
  </si>
  <si>
    <t xml:space="preserve">This quarterly report provides an overview of key metrics for patients who had a procedure between 01/07/2020 and 30/06/2023. </t>
  </si>
  <si>
    <t>July 2020 - June 2021</t>
  </si>
  <si>
    <t>July 2021 - June 2022</t>
  </si>
  <si>
    <t>July 2022 - June 2023</t>
  </si>
  <si>
    <t>Proportion of BKA</t>
  </si>
  <si>
    <t>Proportion of BKA UK</t>
  </si>
  <si>
    <t>%BKAYr1_Nation</t>
  </si>
  <si>
    <t>%BKAYr2_Nation</t>
  </si>
  <si>
    <t>%BKAYr3_Nation</t>
  </si>
  <si>
    <t>The proportion of these major amputations where the level of amputation was below the knee (through-knee amputations included in the below knee group)</t>
  </si>
  <si>
    <t>The 1-year moving average of the proportion of BKA. This has been presented to show the overall trend.</t>
  </si>
  <si>
    <t>Proportion of  BKA</t>
  </si>
  <si>
    <t>1-year MA proportion of BKA</t>
  </si>
  <si>
    <t>BKA</t>
  </si>
  <si>
    <t>Below knee amputation</t>
  </si>
  <si>
    <t>%BKA</t>
  </si>
  <si>
    <t>%BKA Target</t>
  </si>
  <si>
    <t>2x4 MABKA</t>
  </si>
  <si>
    <t># BKAs</t>
  </si>
  <si>
    <t>1-year MA BKA</t>
  </si>
  <si>
    <t>2x4 MA BKA</t>
  </si>
  <si>
    <t>1-year MA % BKA</t>
  </si>
  <si>
    <t>BKA Target</t>
  </si>
  <si>
    <t>2020_Q3_%BKA</t>
  </si>
  <si>
    <t>2020_Q4_%BKA</t>
  </si>
  <si>
    <t>2021_Q1_%BKA</t>
  </si>
  <si>
    <t>2021_Q2_%BKA</t>
  </si>
  <si>
    <t>2021_Q3_%BKA</t>
  </si>
  <si>
    <t>2021_Q4_%BKA</t>
  </si>
  <si>
    <t>2022_Q1_%BKA</t>
  </si>
  <si>
    <t>2022_Q2_%BKA</t>
  </si>
  <si>
    <t>2022_Q3_%BKA</t>
  </si>
  <si>
    <t>2022_Q4_%BKA</t>
  </si>
  <si>
    <t>2023_Q1_%BKA</t>
  </si>
  <si>
    <t>2023_Q2_%BKA</t>
  </si>
  <si>
    <t>1-year moving average proportion of BKA</t>
  </si>
  <si>
    <t># open repairs</t>
  </si>
  <si>
    <t>%Evar</t>
  </si>
  <si>
    <t>0-35%</t>
  </si>
  <si>
    <t>35-70%</t>
  </si>
  <si>
    <t>70-100%</t>
  </si>
  <si>
    <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</si>
</sst>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font>
    <font>
      <sz val="11"/>
      <color theme="1"/>
      <name val="Calibri"/>
      <family val="2"/>
      <scheme val="minor"/>
    </font>
    <font>
      <b/>
      <sz val="11"/>
      <color theme="1"/>
      <name val="Calibri"/>
      <family val="2"/>
    </font>
    <font>
      <b/>
      <sz val="11"/>
      <color rgb="FF000000"/>
      <name val="Calibri"/>
      <family val="2"/>
    </font>
    <font>
      <b/>
      <sz val="12"/>
      <color theme="1"/>
      <name val="Calibri"/>
      <family val="2"/>
      <scheme val="minor"/>
    </font>
    <font>
      <b/>
      <sz val="12"/>
      <color theme="1"/>
      <name val="Calibri"/>
      <family val="2"/>
    </font>
    <font>
      <sz val="10"/>
      <name val="Arial"/>
      <family val="2"/>
    </font>
    <font>
      <b/>
      <sz val="11"/>
      <color theme="1"/>
      <name val="Calibri"/>
      <family val="2"/>
      <scheme val="minor"/>
    </font>
    <font>
      <b/>
      <sz val="14"/>
      <color theme="1"/>
      <name val="Calibri"/>
      <family val="2"/>
    </font>
    <font>
      <b/>
      <sz val="14"/>
      <color theme="1"/>
      <name val="Calibri"/>
      <family val="2"/>
      <scheme val="minor"/>
    </font>
    <font>
      <sz val="11"/>
      <color theme="1"/>
      <name val="Calibri"/>
      <family val="2"/>
    </font>
    <font>
      <sz val="11"/>
      <color rgb="FF000000"/>
      <name val="Calibri"/>
      <family val="2"/>
    </font>
    <font>
      <b/>
      <sz val="16"/>
      <color theme="1"/>
      <name val="Calibri"/>
      <family val="2"/>
    </font>
    <font>
      <sz val="11"/>
      <color theme="0" tint="-0.14999847407452621"/>
      <name val="Calibri"/>
      <family val="2"/>
    </font>
    <font>
      <b/>
      <sz val="11"/>
      <color theme="0" tint="-0.14999847407452621"/>
      <name val="Calibri"/>
      <family val="2"/>
    </font>
    <font>
      <sz val="11"/>
      <name val="Calibri"/>
      <family val="2"/>
    </font>
    <font>
      <b/>
      <sz val="11"/>
      <name val="Calibri"/>
      <family val="2"/>
    </font>
  </fonts>
  <fills count="5">
    <fill>
      <patternFill patternType="none"/>
    </fill>
    <fill>
      <patternFill patternType="gray125"/>
    </fill>
    <fill>
      <patternFill patternType="solid">
        <fgColor theme="5"/>
        <bgColor indexed="64"/>
      </patternFill>
    </fill>
    <fill>
      <patternFill patternType="solid">
        <fgColor rgb="FFFFC000"/>
        <bgColor indexed="64"/>
      </patternFill>
    </fill>
    <fill>
      <patternFill patternType="solid">
        <fgColor rgb="FFFFFF00"/>
        <bgColor indexed="64"/>
      </patternFill>
    </fill>
  </fills>
  <borders count="14">
    <border>
      <left/>
      <right/>
      <top/>
      <bottom/>
      <diagonal/>
    </border>
    <border>
      <left style="medium">
        <color theme="4" tint="0.59996337778862885"/>
      </left>
      <right style="medium">
        <color theme="4" tint="0.59996337778862885"/>
      </right>
      <top style="medium">
        <color theme="4" tint="0.59996337778862885"/>
      </top>
      <bottom style="medium">
        <color theme="4" tint="0.59996337778862885"/>
      </bottom>
      <diagonal/>
    </border>
    <border>
      <left style="medium">
        <color theme="4" tint="0.59996337778862885"/>
      </left>
      <right/>
      <top style="medium">
        <color theme="4" tint="0.59996337778862885"/>
      </top>
      <bottom style="medium">
        <color theme="4" tint="0.59996337778862885"/>
      </bottom>
      <diagonal/>
    </border>
    <border>
      <left style="medium">
        <color theme="4" tint="0.59996337778862885"/>
      </left>
      <right/>
      <top style="medium">
        <color theme="4" tint="0.59996337778862885"/>
      </top>
      <bottom/>
      <diagonal/>
    </border>
    <border>
      <left/>
      <right/>
      <top/>
      <bottom style="medium">
        <color indexed="64"/>
      </bottom>
      <diagonal/>
    </border>
    <border>
      <left/>
      <right/>
      <top style="medium">
        <color theme="4" tint="0.59996337778862885"/>
      </top>
      <bottom/>
      <diagonal/>
    </border>
    <border>
      <left/>
      <right style="medium">
        <color theme="4" tint="0.59996337778862885"/>
      </right>
      <top style="medium">
        <color theme="4" tint="0.59996337778862885"/>
      </top>
      <bottom/>
      <diagonal/>
    </border>
    <border>
      <left style="medium">
        <color theme="4" tint="0.59996337778862885"/>
      </left>
      <right/>
      <top/>
      <bottom/>
      <diagonal/>
    </border>
    <border>
      <left/>
      <right style="medium">
        <color theme="4" tint="0.59996337778862885"/>
      </right>
      <top/>
      <bottom/>
      <diagonal/>
    </border>
    <border>
      <left style="medium">
        <color theme="4" tint="0.59996337778862885"/>
      </left>
      <right/>
      <top/>
      <bottom style="medium">
        <color theme="4" tint="0.59996337778862885"/>
      </bottom>
      <diagonal/>
    </border>
    <border>
      <left/>
      <right/>
      <top/>
      <bottom style="medium">
        <color theme="4" tint="0.59996337778862885"/>
      </bottom>
      <diagonal/>
    </border>
    <border>
      <left/>
      <right style="medium">
        <color theme="4" tint="0.59996337778862885"/>
      </right>
      <top/>
      <bottom style="medium">
        <color theme="4" tint="0.59996337778862885"/>
      </bottom>
      <diagonal/>
    </border>
    <border>
      <left/>
      <right/>
      <top style="medium">
        <color theme="4" tint="0.59996337778862885"/>
      </top>
      <bottom style="medium">
        <color theme="4" tint="0.59996337778862885"/>
      </bottom>
      <diagonal/>
    </border>
    <border>
      <left/>
      <right style="medium">
        <color theme="4" tint="0.59996337778862885"/>
      </right>
      <top style="medium">
        <color theme="4" tint="0.59996337778862885"/>
      </top>
      <bottom style="medium">
        <color theme="4" tint="0.59996337778862885"/>
      </bottom>
      <diagonal/>
    </border>
  </borders>
  <cellStyleXfs count="5">
    <xf numFmtId="0" fontId="0" fillId="0" borderId="0"/>
    <xf numFmtId="0" fontId="6" fillId="0" borderId="0"/>
    <xf numFmtId="0" fontId="6" fillId="0" borderId="0"/>
    <xf numFmtId="0" fontId="1" fillId="0" borderId="0"/>
    <xf numFmtId="9" fontId="10" fillId="0" borderId="0" applyFont="0" applyFill="0" applyBorder="0" applyAlignment="0" applyProtection="0"/>
  </cellStyleXfs>
  <cellXfs count="86">
    <xf numFmtId="0" fontId="0" fillId="0" borderId="0" xfId="0"/>
    <xf numFmtId="0" fontId="4" fillId="2" borderId="0" xfId="0" applyFont="1" applyFill="1"/>
    <xf numFmtId="0" fontId="0" fillId="0" borderId="0" xfId="0" applyAlignment="1">
      <alignment horizontal="left"/>
    </xf>
    <xf numFmtId="0" fontId="3" fillId="0" borderId="0" xfId="1" applyFont="1" applyAlignment="1">
      <alignment horizontal="center" vertical="center" wrapText="1"/>
    </xf>
    <xf numFmtId="9" fontId="0" fillId="0" borderId="0" xfId="0" applyNumberFormat="1"/>
    <xf numFmtId="0" fontId="0" fillId="0" borderId="0" xfId="0" applyAlignment="1">
      <alignment wrapText="1"/>
    </xf>
    <xf numFmtId="0" fontId="8" fillId="0" borderId="0" xfId="0" applyFont="1"/>
    <xf numFmtId="0" fontId="0" fillId="3" borderId="0" xfId="0" applyFill="1"/>
    <xf numFmtId="0" fontId="9" fillId="0" borderId="0" xfId="0" applyFont="1"/>
    <xf numFmtId="0" fontId="2" fillId="0" borderId="0" xfId="0" applyFont="1"/>
    <xf numFmtId="0" fontId="3" fillId="0" borderId="0" xfId="1" applyFont="1" applyAlignment="1">
      <alignment horizontal="center" vertical="center"/>
    </xf>
    <xf numFmtId="0" fontId="7" fillId="0" borderId="0" xfId="0" applyFont="1"/>
    <xf numFmtId="0" fontId="7" fillId="0" borderId="0" xfId="3" pivotButton="1" applyFont="1"/>
    <xf numFmtId="0" fontId="1" fillId="0" borderId="0" xfId="3"/>
    <xf numFmtId="0" fontId="7" fillId="0" borderId="0" xfId="3" applyFont="1"/>
    <xf numFmtId="0" fontId="1" fillId="0" borderId="0" xfId="3" applyAlignment="1">
      <alignment horizontal="left"/>
    </xf>
    <xf numFmtId="9" fontId="1" fillId="0" borderId="0" xfId="3" applyNumberFormat="1"/>
    <xf numFmtId="0" fontId="0" fillId="0" borderId="4" xfId="0" applyBorder="1"/>
    <xf numFmtId="0" fontId="5" fillId="0" borderId="0" xfId="0" applyFont="1"/>
    <xf numFmtId="0" fontId="12" fillId="0" borderId="0" xfId="0" applyFont="1"/>
    <xf numFmtId="0" fontId="0" fillId="0" borderId="0" xfId="0" applyAlignment="1">
      <alignment horizontal="right"/>
    </xf>
    <xf numFmtId="0" fontId="0" fillId="0" borderId="0" xfId="0" applyAlignment="1">
      <alignment horizontal="right" wrapText="1"/>
    </xf>
    <xf numFmtId="0" fontId="13" fillId="0" borderId="0" xfId="0" applyFont="1"/>
    <xf numFmtId="14" fontId="0" fillId="0" borderId="0" xfId="0" applyNumberFormat="1"/>
    <xf numFmtId="0" fontId="15" fillId="0" borderId="0" xfId="0" applyFont="1"/>
    <xf numFmtId="0" fontId="0" fillId="0" borderId="0" xfId="0" applyProtection="1">
      <protection locked="0"/>
    </xf>
    <xf numFmtId="0" fontId="13" fillId="0" borderId="0" xfId="0" applyFont="1" applyProtection="1">
      <protection locked="0"/>
    </xf>
    <xf numFmtId="0" fontId="2" fillId="0" borderId="0" xfId="0" applyFont="1" applyAlignment="1">
      <alignment wrapText="1"/>
    </xf>
    <xf numFmtId="9" fontId="10" fillId="0" borderId="1" xfId="4" applyFont="1" applyBorder="1" applyAlignment="1" applyProtection="1">
      <alignment horizontal="center"/>
    </xf>
    <xf numFmtId="9" fontId="2" fillId="0" borderId="0" xfId="0" applyNumberFormat="1" applyFont="1"/>
    <xf numFmtId="9" fontId="7" fillId="0" borderId="0" xfId="0" applyNumberFormat="1" applyFont="1"/>
    <xf numFmtId="0" fontId="15" fillId="0" borderId="0" xfId="2" applyFont="1"/>
    <xf numFmtId="9" fontId="7" fillId="0" borderId="0" xfId="3" applyNumberFormat="1" applyFont="1"/>
    <xf numFmtId="0" fontId="10" fillId="0" borderId="0" xfId="0" applyFont="1"/>
    <xf numFmtId="0" fontId="15" fillId="0" borderId="0" xfId="0" applyFont="1" applyProtection="1">
      <protection locked="0"/>
    </xf>
    <xf numFmtId="0" fontId="15" fillId="0" borderId="0" xfId="0" applyFont="1" applyAlignment="1">
      <alignment horizontal="center"/>
    </xf>
    <xf numFmtId="0" fontId="16" fillId="0" borderId="0" xfId="0" applyFont="1" applyAlignment="1">
      <alignment horizontal="right" vertical="center" wrapText="1"/>
    </xf>
    <xf numFmtId="0" fontId="16" fillId="0" borderId="0" xfId="0" applyFont="1" applyAlignment="1">
      <alignment horizontal="right"/>
    </xf>
    <xf numFmtId="9" fontId="15" fillId="0" borderId="0" xfId="0" applyNumberFormat="1" applyFont="1"/>
    <xf numFmtId="0" fontId="15" fillId="0" borderId="0" xfId="0" applyFont="1" applyAlignment="1">
      <alignment horizontal="right"/>
    </xf>
    <xf numFmtId="9" fontId="15" fillId="0" borderId="0" xfId="4" applyFont="1" applyBorder="1" applyProtection="1"/>
    <xf numFmtId="0" fontId="15" fillId="4" borderId="0" xfId="0" applyFont="1" applyFill="1" applyAlignment="1">
      <alignment horizontal="right"/>
    </xf>
    <xf numFmtId="0" fontId="16" fillId="0" borderId="0" xfId="0" applyFont="1" applyAlignment="1">
      <alignment horizontal="right" vertical="center"/>
    </xf>
    <xf numFmtId="9" fontId="15" fillId="0" borderId="0" xfId="4" applyFont="1" applyBorder="1"/>
    <xf numFmtId="0" fontId="15" fillId="4" borderId="0" xfId="0" applyFont="1" applyFill="1"/>
    <xf numFmtId="9" fontId="15" fillId="4" borderId="0" xfId="0" applyNumberFormat="1" applyFont="1" applyFill="1"/>
    <xf numFmtId="10" fontId="15" fillId="4" borderId="0" xfId="0" applyNumberFormat="1" applyFont="1" applyFill="1"/>
    <xf numFmtId="0" fontId="16" fillId="0" borderId="0" xfId="0" applyFont="1" applyProtection="1">
      <protection locked="0"/>
    </xf>
    <xf numFmtId="0" fontId="16" fillId="0" borderId="0" xfId="0" applyFont="1"/>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wrapText="1"/>
    </xf>
    <xf numFmtId="0" fontId="3" fillId="0" borderId="1" xfId="0" applyFont="1" applyBorder="1" applyAlignment="1">
      <alignment horizontal="left" wrapText="1"/>
    </xf>
    <xf numFmtId="0" fontId="0" fillId="0" borderId="1" xfId="0" applyBorder="1" applyAlignment="1">
      <alignment horizontal="center"/>
    </xf>
    <xf numFmtId="9" fontId="0" fillId="0" borderId="1" xfId="0" applyNumberFormat="1" applyBorder="1" applyAlignment="1">
      <alignment horizontal="center"/>
    </xf>
    <xf numFmtId="9" fontId="11" fillId="0" borderId="1" xfId="0" applyNumberFormat="1" applyFont="1" applyBorder="1" applyAlignment="1">
      <alignment horizontal="center" wrapText="1"/>
    </xf>
    <xf numFmtId="0" fontId="0" fillId="0" borderId="0" xfId="0" applyAlignment="1">
      <alignment horizontal="center"/>
    </xf>
    <xf numFmtId="0" fontId="0" fillId="0" borderId="0" xfId="0" applyAlignment="1">
      <alignment vertical="top" wrapText="1"/>
    </xf>
    <xf numFmtId="0" fontId="16" fillId="0" borderId="3" xfId="0" applyFont="1" applyBorder="1"/>
    <xf numFmtId="0" fontId="15" fillId="0" borderId="5" xfId="0" applyFont="1" applyBorder="1"/>
    <xf numFmtId="0" fontId="15" fillId="0" borderId="6" xfId="0" applyFont="1" applyBorder="1"/>
    <xf numFmtId="0" fontId="4" fillId="2" borderId="0" xfId="0" applyFont="1" applyFill="1" applyAlignment="1">
      <alignment vertical="center"/>
    </xf>
    <xf numFmtId="0" fontId="3" fillId="0" borderId="2" xfId="0" applyFont="1" applyBorder="1" applyAlignment="1">
      <alignment horizontal="left" wrapText="1"/>
    </xf>
    <xf numFmtId="0" fontId="2" fillId="0" borderId="1" xfId="0" applyFont="1" applyBorder="1" applyAlignment="1">
      <alignment horizontal="center"/>
    </xf>
    <xf numFmtId="0" fontId="2" fillId="0" borderId="3" xfId="0" applyFont="1" applyBorder="1" applyAlignment="1">
      <alignment horizontal="right" wrapText="1"/>
    </xf>
    <xf numFmtId="0" fontId="2" fillId="0" borderId="1" xfId="0" applyFont="1" applyBorder="1" applyAlignment="1">
      <alignment horizontal="right" wrapText="1"/>
    </xf>
    <xf numFmtId="0" fontId="3" fillId="0" borderId="1" xfId="0" applyFont="1" applyBorder="1" applyAlignment="1">
      <alignment horizontal="center" wrapText="1"/>
    </xf>
    <xf numFmtId="0" fontId="0" fillId="0" borderId="2" xfId="0" applyBorder="1" applyAlignment="1">
      <alignment horizontal="center"/>
    </xf>
    <xf numFmtId="0" fontId="14" fillId="0" borderId="0" xfId="0" applyFont="1"/>
    <xf numFmtId="0" fontId="0" fillId="0" borderId="1" xfId="0" applyBorder="1"/>
    <xf numFmtId="0" fontId="15" fillId="0" borderId="0" xfId="0" applyFont="1" applyAlignment="1">
      <alignment vertical="top" wrapText="1"/>
    </xf>
    <xf numFmtId="0" fontId="15" fillId="0" borderId="7" xfId="0" applyFont="1" applyBorder="1" applyAlignment="1">
      <alignment horizontal="left" vertical="top" wrapText="1"/>
    </xf>
    <xf numFmtId="0" fontId="15" fillId="0" borderId="0" xfId="0" applyFont="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0" fillId="0" borderId="1" xfId="0" applyBorder="1" applyAlignment="1">
      <alignment horizontal="left" wrapText="1"/>
    </xf>
    <xf numFmtId="0" fontId="0" fillId="0" borderId="1" xfId="0" applyBorder="1" applyAlignment="1">
      <alignment horizontal="left" vertical="top" wrapText="1"/>
    </xf>
    <xf numFmtId="0" fontId="5" fillId="3" borderId="0" xfId="0" applyFont="1" applyFill="1" applyAlignment="1" applyProtection="1">
      <alignment horizontal="center"/>
      <protection locked="0"/>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 fillId="3" borderId="0" xfId="0" applyFont="1" applyFill="1" applyAlignment="1" applyProtection="1">
      <alignment horizontal="center" vertical="center"/>
      <protection locked="0"/>
    </xf>
    <xf numFmtId="0" fontId="15" fillId="0" borderId="0" xfId="0" applyFont="1" applyAlignment="1">
      <alignment horizontal="center"/>
    </xf>
    <xf numFmtId="0" fontId="16" fillId="0" borderId="0" xfId="0" applyFont="1" applyAlignment="1">
      <alignment horizontal="center" vertical="center" wrapText="1"/>
    </xf>
  </cellXfs>
  <cellStyles count="5">
    <cellStyle name="Normal" xfId="0" builtinId="0"/>
    <cellStyle name="Normal 2" xfId="2" xr:uid="{00000000-0005-0000-0000-000001000000}"/>
    <cellStyle name="Normal 3" xfId="1" xr:uid="{00000000-0005-0000-0000-000002000000}"/>
    <cellStyle name="Normal 4"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'CEA Quarterly Report'!$C$5</c:f>
          <c:strCache>
            <c:ptCount val="1"/>
            <c:pt idx="0">
              <c:v>Barking, Havering and Redbridge University Hospitals NHS Trust</c:v>
            </c:pt>
          </c:strCache>
        </c:strRef>
      </c:tx>
      <c:layout>
        <c:manualLayout>
          <c:xMode val="edge"/>
          <c:yMode val="edge"/>
          <c:x val="0.40224652437747299"/>
          <c:y val="1.1678833906750796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Calcs!$C$7</c:f>
              <c:strCache>
                <c:ptCount val="1"/>
                <c:pt idx="0">
                  <c:v>Symptomatic CEAs (right axis)</c:v>
                </c:pt>
              </c:strCache>
            </c:strRef>
          </c:tx>
          <c:spPr>
            <a:solidFill>
              <a:schemeClr val="bg1">
                <a:lumMod val="85000"/>
              </a:schemeClr>
            </a:solidFill>
            <a:ln>
              <a:noFill/>
            </a:ln>
            <a:effectLst/>
          </c:spPr>
          <c:invertIfNegative val="0"/>
          <c:cat>
            <c:multiLvlStrRef>
              <c:f>Calcs!$D$4:$O$5</c:f>
              <c:multiLvlStrCache>
                <c:ptCount val="12"/>
                <c:lvl>
                  <c:pt idx="0">
                    <c:v>Q3</c:v>
                  </c:pt>
                  <c:pt idx="1">
                    <c:v>Q4</c:v>
                  </c:pt>
                  <c:pt idx="2">
                    <c:v>Q1</c:v>
                  </c:pt>
                  <c:pt idx="3">
                    <c:v>Q2</c:v>
                  </c:pt>
                  <c:pt idx="4">
                    <c:v>Q3</c:v>
                  </c:pt>
                  <c:pt idx="5">
                    <c:v>Q4</c:v>
                  </c:pt>
                  <c:pt idx="6">
                    <c:v>Q1</c:v>
                  </c:pt>
                  <c:pt idx="7">
                    <c:v>Q2</c:v>
                  </c:pt>
                  <c:pt idx="8">
                    <c:v>Q3</c:v>
                  </c:pt>
                  <c:pt idx="9">
                    <c:v>Q4</c:v>
                  </c:pt>
                  <c:pt idx="10">
                    <c:v>Q1</c:v>
                  </c:pt>
                  <c:pt idx="11">
                    <c:v>Q4</c:v>
                  </c:pt>
                </c:lvl>
                <c:lvl>
                  <c:pt idx="0">
                    <c:v>2020</c:v>
                  </c:pt>
                  <c:pt idx="2">
                    <c:v>2021</c:v>
                  </c:pt>
                  <c:pt idx="6">
                    <c:v>2022</c:v>
                  </c:pt>
                  <c:pt idx="10">
                    <c:v>2023</c:v>
                  </c:pt>
                </c:lvl>
              </c:multiLvlStrCache>
            </c:multiLvlStrRef>
          </c:cat>
          <c:val>
            <c:numRef>
              <c:f>Calcs!$D$19:$O$19</c:f>
              <c:numCache>
                <c:formatCode>General</c:formatCode>
                <c:ptCount val="12"/>
                <c:pt idx="0">
                  <c:v>10</c:v>
                </c:pt>
                <c:pt idx="1">
                  <c:v>8</c:v>
                </c:pt>
                <c:pt idx="2">
                  <c:v>10</c:v>
                </c:pt>
                <c:pt idx="3">
                  <c:v>7</c:v>
                </c:pt>
                <c:pt idx="4">
                  <c:v>#N/A</c:v>
                </c:pt>
                <c:pt idx="5">
                  <c:v>8</c:v>
                </c:pt>
                <c:pt idx="6">
                  <c:v>#N/A</c:v>
                </c:pt>
                <c:pt idx="7">
                  <c:v>#N/A</c:v>
                </c:pt>
                <c:pt idx="8">
                  <c:v>13</c:v>
                </c:pt>
                <c:pt idx="9">
                  <c:v>7</c:v>
                </c:pt>
                <c:pt idx="10">
                  <c:v>10</c:v>
                </c:pt>
                <c:pt idx="11">
                  <c:v>10</c:v>
                </c:pt>
              </c:numCache>
            </c:numRef>
          </c:val>
          <c:extLst>
            <c:ext xmlns:c16="http://schemas.microsoft.com/office/drawing/2014/chart" uri="{C3380CC4-5D6E-409C-BE32-E72D297353CC}">
              <c16:uniqueId val="{00000001-BF47-4E06-8526-198C664B53A3}"/>
            </c:ext>
          </c:extLst>
        </c:ser>
        <c:dLbls>
          <c:showLegendKey val="0"/>
          <c:showVal val="0"/>
          <c:showCatName val="0"/>
          <c:showSerName val="0"/>
          <c:showPercent val="0"/>
          <c:showBubbleSize val="0"/>
        </c:dLbls>
        <c:gapWidth val="219"/>
        <c:overlap val="-27"/>
        <c:axId val="907610192"/>
        <c:axId val="894846704"/>
      </c:barChart>
      <c:lineChart>
        <c:grouping val="standard"/>
        <c:varyColors val="0"/>
        <c:ser>
          <c:idx val="2"/>
          <c:order val="1"/>
          <c:tx>
            <c:strRef>
              <c:f>Calcs!$C$8</c:f>
              <c:strCache>
                <c:ptCount val="1"/>
                <c:pt idx="0">
                  <c:v>Proportion of Symptomatic CEAs Performed Within 14 Days</c:v>
                </c:pt>
              </c:strCache>
            </c:strRef>
          </c:tx>
          <c:spPr>
            <a:ln w="25400" cap="rnd">
              <a:noFill/>
              <a:round/>
            </a:ln>
            <a:effectLst/>
          </c:spPr>
          <c:marker>
            <c:symbol val="diamond"/>
            <c:size val="11"/>
            <c:spPr>
              <a:solidFill>
                <a:schemeClr val="accent1"/>
              </a:solidFill>
              <a:ln w="9525">
                <a:solidFill>
                  <a:schemeClr val="accent1"/>
                </a:solidFill>
              </a:ln>
              <a:effectLst/>
            </c:spPr>
          </c:marker>
          <c:cat>
            <c:multiLvlStrRef>
              <c:f>Calcs!$D$4:$O$5</c:f>
              <c:multiLvlStrCache>
                <c:ptCount val="12"/>
                <c:lvl>
                  <c:pt idx="0">
                    <c:v>Q3</c:v>
                  </c:pt>
                  <c:pt idx="1">
                    <c:v>Q4</c:v>
                  </c:pt>
                  <c:pt idx="2">
                    <c:v>Q1</c:v>
                  </c:pt>
                  <c:pt idx="3">
                    <c:v>Q2</c:v>
                  </c:pt>
                  <c:pt idx="4">
                    <c:v>Q3</c:v>
                  </c:pt>
                  <c:pt idx="5">
                    <c:v>Q4</c:v>
                  </c:pt>
                  <c:pt idx="6">
                    <c:v>Q1</c:v>
                  </c:pt>
                  <c:pt idx="7">
                    <c:v>Q2</c:v>
                  </c:pt>
                  <c:pt idx="8">
                    <c:v>Q3</c:v>
                  </c:pt>
                  <c:pt idx="9">
                    <c:v>Q4</c:v>
                  </c:pt>
                  <c:pt idx="10">
                    <c:v>Q1</c:v>
                  </c:pt>
                  <c:pt idx="11">
                    <c:v>Q4</c:v>
                  </c:pt>
                </c:lvl>
                <c:lvl>
                  <c:pt idx="0">
                    <c:v>2020</c:v>
                  </c:pt>
                  <c:pt idx="2">
                    <c:v>2021</c:v>
                  </c:pt>
                  <c:pt idx="6">
                    <c:v>2022</c:v>
                  </c:pt>
                  <c:pt idx="10">
                    <c:v>2023</c:v>
                  </c:pt>
                </c:lvl>
              </c:multiLvlStrCache>
            </c:multiLvlStrRef>
          </c:cat>
          <c:val>
            <c:numRef>
              <c:f>Calcs!$D$20:$O$20</c:f>
              <c:numCache>
                <c:formatCode>0%</c:formatCode>
                <c:ptCount val="12"/>
                <c:pt idx="0">
                  <c:v>#N/A</c:v>
                </c:pt>
                <c:pt idx="1">
                  <c:v>#N/A</c:v>
                </c:pt>
                <c:pt idx="2">
                  <c:v>#N/A</c:v>
                </c:pt>
                <c:pt idx="3">
                  <c:v>0.71428570000000002</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BF47-4E06-8526-198C664B53A3}"/>
            </c:ext>
          </c:extLst>
        </c:ser>
        <c:ser>
          <c:idx val="3"/>
          <c:order val="2"/>
          <c:tx>
            <c:strRef>
              <c:f>Calcs!$C$21</c:f>
              <c:strCache>
                <c:ptCount val="1"/>
                <c:pt idx="0">
                  <c:v>1-year moving average % Sympt within 14 days</c:v>
                </c:pt>
              </c:strCache>
            </c:strRef>
          </c:tx>
          <c:spPr>
            <a:ln w="25400" cap="rnd">
              <a:solidFill>
                <a:schemeClr val="accent1">
                  <a:lumMod val="50000"/>
                </a:schemeClr>
              </a:solidFill>
              <a:round/>
            </a:ln>
            <a:effectLst/>
          </c:spPr>
          <c:marker>
            <c:symbol val="x"/>
            <c:size val="5"/>
            <c:spPr>
              <a:solidFill>
                <a:schemeClr val="accent1">
                  <a:lumMod val="50000"/>
                </a:schemeClr>
              </a:solidFill>
              <a:ln w="9525">
                <a:solidFill>
                  <a:schemeClr val="accent1">
                    <a:lumMod val="50000"/>
                  </a:schemeClr>
                </a:solidFill>
              </a:ln>
              <a:effectLst/>
            </c:spPr>
          </c:marker>
          <c:cat>
            <c:multiLvlStrRef>
              <c:f>Calcs!$D$4:$O$5</c:f>
              <c:multiLvlStrCache>
                <c:ptCount val="12"/>
                <c:lvl>
                  <c:pt idx="0">
                    <c:v>Q3</c:v>
                  </c:pt>
                  <c:pt idx="1">
                    <c:v>Q4</c:v>
                  </c:pt>
                  <c:pt idx="2">
                    <c:v>Q1</c:v>
                  </c:pt>
                  <c:pt idx="3">
                    <c:v>Q2</c:v>
                  </c:pt>
                  <c:pt idx="4">
                    <c:v>Q3</c:v>
                  </c:pt>
                  <c:pt idx="5">
                    <c:v>Q4</c:v>
                  </c:pt>
                  <c:pt idx="6">
                    <c:v>Q1</c:v>
                  </c:pt>
                  <c:pt idx="7">
                    <c:v>Q2</c:v>
                  </c:pt>
                  <c:pt idx="8">
                    <c:v>Q3</c:v>
                  </c:pt>
                  <c:pt idx="9">
                    <c:v>Q4</c:v>
                  </c:pt>
                  <c:pt idx="10">
                    <c:v>Q1</c:v>
                  </c:pt>
                  <c:pt idx="11">
                    <c:v>Q4</c:v>
                  </c:pt>
                </c:lvl>
                <c:lvl>
                  <c:pt idx="0">
                    <c:v>2020</c:v>
                  </c:pt>
                  <c:pt idx="2">
                    <c:v>2021</c:v>
                  </c:pt>
                  <c:pt idx="6">
                    <c:v>2022</c:v>
                  </c:pt>
                  <c:pt idx="10">
                    <c:v>2023</c:v>
                  </c:pt>
                </c:lvl>
              </c:multiLvlStrCache>
            </c:multiLvlStrRef>
          </c:cat>
          <c:val>
            <c:numRef>
              <c:f>Calcs!$D$21:$O$21</c:f>
              <c:numCache>
                <c:formatCode>0%</c:formatCode>
                <c:ptCount val="12"/>
                <c:pt idx="1">
                  <c:v>0.46031746031746029</c:v>
                </c:pt>
                <c:pt idx="2">
                  <c:v>0.47619047619047616</c:v>
                </c:pt>
                <c:pt idx="3">
                  <c:v>0.4107142857142857</c:v>
                </c:pt>
                <c:pt idx="4">
                  <c:v>0.34</c:v>
                </c:pt>
                <c:pt idx="5">
                  <c:v>0.29268292682926828</c:v>
                </c:pt>
                <c:pt idx="6">
                  <c:v>0.29166666666666669</c:v>
                </c:pt>
                <c:pt idx="7">
                  <c:v>0.31578947368421051</c:v>
                </c:pt>
                <c:pt idx="8">
                  <c:v>0.33870967741935482</c:v>
                </c:pt>
                <c:pt idx="9">
                  <c:v>0.3108108108108108</c:v>
                </c:pt>
                <c:pt idx="10">
                  <c:v>0.26865671641791045</c:v>
                </c:pt>
                <c:pt idx="11">
                  <c:v>0.27659574468085107</c:v>
                </c:pt>
              </c:numCache>
            </c:numRef>
          </c:val>
          <c:smooth val="0"/>
          <c:extLst>
            <c:ext xmlns:c16="http://schemas.microsoft.com/office/drawing/2014/chart" uri="{C3380CC4-5D6E-409C-BE32-E72D297353CC}">
              <c16:uniqueId val="{00000000-69F3-4086-86F6-4E6142EB979A}"/>
            </c:ext>
          </c:extLst>
        </c:ser>
        <c:ser>
          <c:idx val="0"/>
          <c:order val="3"/>
          <c:tx>
            <c:strRef>
              <c:f>Calcs!$C$18</c:f>
              <c:strCache>
                <c:ptCount val="1"/>
                <c:pt idx="0">
                  <c:v>NICE Guideline Target</c:v>
                </c:pt>
              </c:strCache>
            </c:strRef>
          </c:tx>
          <c:spPr>
            <a:ln w="19050" cap="rnd">
              <a:solidFill>
                <a:srgbClr val="FF0000"/>
              </a:solidFill>
              <a:prstDash val="sysDash"/>
              <a:round/>
            </a:ln>
            <a:effectLst/>
          </c:spPr>
          <c:marker>
            <c:symbol val="none"/>
          </c:marker>
          <c:cat>
            <c:multiLvlStrRef>
              <c:f>Calcs!$D$4:$O$5</c:f>
              <c:multiLvlStrCache>
                <c:ptCount val="12"/>
                <c:lvl>
                  <c:pt idx="0">
                    <c:v>Q3</c:v>
                  </c:pt>
                  <c:pt idx="1">
                    <c:v>Q4</c:v>
                  </c:pt>
                  <c:pt idx="2">
                    <c:v>Q1</c:v>
                  </c:pt>
                  <c:pt idx="3">
                    <c:v>Q2</c:v>
                  </c:pt>
                  <c:pt idx="4">
                    <c:v>Q3</c:v>
                  </c:pt>
                  <c:pt idx="5">
                    <c:v>Q4</c:v>
                  </c:pt>
                  <c:pt idx="6">
                    <c:v>Q1</c:v>
                  </c:pt>
                  <c:pt idx="7">
                    <c:v>Q2</c:v>
                  </c:pt>
                  <c:pt idx="8">
                    <c:v>Q3</c:v>
                  </c:pt>
                  <c:pt idx="9">
                    <c:v>Q4</c:v>
                  </c:pt>
                  <c:pt idx="10">
                    <c:v>Q1</c:v>
                  </c:pt>
                  <c:pt idx="11">
                    <c:v>Q4</c:v>
                  </c:pt>
                </c:lvl>
                <c:lvl>
                  <c:pt idx="0">
                    <c:v>2020</c:v>
                  </c:pt>
                  <c:pt idx="2">
                    <c:v>2021</c:v>
                  </c:pt>
                  <c:pt idx="6">
                    <c:v>2022</c:v>
                  </c:pt>
                  <c:pt idx="10">
                    <c:v>2023</c:v>
                  </c:pt>
                </c:lvl>
              </c:multiLvlStrCache>
            </c:multiLvlStrRef>
          </c:cat>
          <c:val>
            <c:numRef>
              <c:f>Calcs!$D$18:$O$18</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3-BF47-4E06-8526-198C664B53A3}"/>
            </c:ext>
          </c:extLst>
        </c:ser>
        <c:dLbls>
          <c:showLegendKey val="0"/>
          <c:showVal val="0"/>
          <c:showCatName val="0"/>
          <c:showSerName val="0"/>
          <c:showPercent val="0"/>
          <c:showBubbleSize val="0"/>
        </c:dLbls>
        <c:marker val="1"/>
        <c:smooth val="0"/>
        <c:axId val="907612112"/>
        <c:axId val="894845712"/>
      </c:lineChart>
      <c:catAx>
        <c:axId val="90761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94845712"/>
        <c:crosses val="autoZero"/>
        <c:auto val="1"/>
        <c:lblAlgn val="ctr"/>
        <c:lblOffset val="100"/>
        <c:noMultiLvlLbl val="0"/>
      </c:catAx>
      <c:valAx>
        <c:axId val="894845712"/>
        <c:scaling>
          <c:orientation val="minMax"/>
          <c:max val="1"/>
        </c:scaling>
        <c:delete val="0"/>
        <c:axPos val="l"/>
        <c:majorGridlines>
          <c:spPr>
            <a:ln w="9525" cap="flat" cmpd="sng" algn="ctr">
              <a:solidFill>
                <a:schemeClr val="tx1">
                  <a:lumMod val="15000"/>
                  <a:lumOff val="85000"/>
                </a:schemeClr>
              </a:solidFill>
              <a:round/>
            </a:ln>
            <a:effectLst/>
          </c:spPr>
        </c:majorGridlines>
        <c:title>
          <c:tx>
            <c:strRef>
              <c:f>Calcs!$C$8</c:f>
              <c:strCache>
                <c:ptCount val="1"/>
                <c:pt idx="0">
                  <c:v>Proportion of Symptomatic CEAs Performed Within 14 Days</c:v>
                </c:pt>
              </c:strCache>
            </c:strRef>
          </c:tx>
          <c:layout>
            <c:manualLayout>
              <c:xMode val="edge"/>
              <c:yMode val="edge"/>
              <c:x val="0.26759454137073518"/>
              <c:y val="0.1772185235057404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solidFill>
                <a:latin typeface="+mn-lt"/>
                <a:ea typeface="+mn-ea"/>
                <a:cs typeface="+mn-cs"/>
              </a:defRPr>
            </a:pPr>
            <a:endParaRPr lang="en-US"/>
          </a:p>
        </c:txPr>
        <c:crossAx val="907612112"/>
        <c:crosses val="autoZero"/>
        <c:crossBetween val="between"/>
      </c:valAx>
      <c:valAx>
        <c:axId val="894846704"/>
        <c:scaling>
          <c:orientation val="minMax"/>
        </c:scaling>
        <c:delete val="0"/>
        <c:axPos val="r"/>
        <c:title>
          <c:tx>
            <c:strRef>
              <c:f>Calcs!$C$7</c:f>
              <c:strCache>
                <c:ptCount val="1"/>
                <c:pt idx="0">
                  <c:v>Symptomatic CEAs (right axis)</c:v>
                </c:pt>
              </c:strCache>
            </c:strRef>
          </c:tx>
          <c:overlay val="0"/>
          <c:spPr>
            <a:noFill/>
            <a:ln>
              <a:noFill/>
            </a:ln>
            <a:effectLst/>
          </c:spPr>
          <c:txPr>
            <a:bodyPr rot="-5400000" spcFirstLastPara="1" vertOverflow="ellipsis" vert="horz" wrap="square" anchor="ctr" anchorCtr="1"/>
            <a:lstStyle/>
            <a:p>
              <a:pPr>
                <a:defRPr sz="1200" b="0" i="0" u="none" strike="noStrike" kern="1200" baseline="0">
                  <a:solidFill>
                    <a:schemeClr val="bg2">
                      <a:lumMod val="50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907610192"/>
        <c:crosses val="max"/>
        <c:crossBetween val="between"/>
      </c:valAx>
      <c:catAx>
        <c:axId val="907610192"/>
        <c:scaling>
          <c:orientation val="minMax"/>
        </c:scaling>
        <c:delete val="1"/>
        <c:axPos val="b"/>
        <c:numFmt formatCode="General" sourceLinked="1"/>
        <c:majorTickMark val="none"/>
        <c:minorTickMark val="none"/>
        <c:tickLblPos val="nextTo"/>
        <c:crossAx val="8948467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'AAA Quarterly Report'!$C$5</c:f>
          <c:strCache>
            <c:ptCount val="1"/>
            <c:pt idx="0">
              <c:v>Barking, Havering and Redbridge University Hospitals NHS Trust</c:v>
            </c:pt>
          </c:strCache>
        </c:strRef>
      </c:tx>
      <c:layout>
        <c:manualLayout>
          <c:xMode val="edge"/>
          <c:yMode val="edge"/>
          <c:x val="0.38506448352684081"/>
          <c:y val="1.75652109905994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Calcs!$C$44</c:f>
              <c:strCache>
                <c:ptCount val="1"/>
                <c:pt idx="0">
                  <c:v>Elective Infra-renal AAA Repairs (right axis)</c:v>
                </c:pt>
              </c:strCache>
            </c:strRef>
          </c:tx>
          <c:spPr>
            <a:solidFill>
              <a:schemeClr val="bg1">
                <a:lumMod val="85000"/>
              </a:schemeClr>
            </a:solidFill>
            <a:ln>
              <a:noFill/>
            </a:ln>
            <a:effectLst/>
          </c:spPr>
          <c:invertIfNegative val="0"/>
          <c:cat>
            <c:multiLvlStrRef>
              <c:f>Calcs!$D$27:$O$28</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Calcs!$D$44:$O$44</c:f>
              <c:numCache>
                <c:formatCode>General</c:formatCode>
                <c:ptCount val="12"/>
                <c:pt idx="0">
                  <c:v>#N/A</c:v>
                </c:pt>
                <c:pt idx="1">
                  <c:v>7</c:v>
                </c:pt>
                <c:pt idx="2">
                  <c:v>#N/A</c:v>
                </c:pt>
                <c:pt idx="3">
                  <c:v>6</c:v>
                </c:pt>
                <c:pt idx="4">
                  <c:v>#N/A</c:v>
                </c:pt>
                <c:pt idx="5">
                  <c:v>5</c:v>
                </c:pt>
                <c:pt idx="6">
                  <c:v>10</c:v>
                </c:pt>
                <c:pt idx="7">
                  <c:v>5</c:v>
                </c:pt>
                <c:pt idx="8">
                  <c:v>#N/A</c:v>
                </c:pt>
                <c:pt idx="9">
                  <c:v>#N/A</c:v>
                </c:pt>
                <c:pt idx="10">
                  <c:v>#N/A</c:v>
                </c:pt>
                <c:pt idx="11">
                  <c:v>11</c:v>
                </c:pt>
              </c:numCache>
            </c:numRef>
          </c:val>
          <c:extLst>
            <c:ext xmlns:c16="http://schemas.microsoft.com/office/drawing/2014/chart" uri="{C3380CC4-5D6E-409C-BE32-E72D297353CC}">
              <c16:uniqueId val="{00000000-3053-44AE-9D8C-F03A9E328AD4}"/>
            </c:ext>
          </c:extLst>
        </c:ser>
        <c:dLbls>
          <c:showLegendKey val="0"/>
          <c:showVal val="0"/>
          <c:showCatName val="0"/>
          <c:showSerName val="0"/>
          <c:showPercent val="0"/>
          <c:showBubbleSize val="0"/>
        </c:dLbls>
        <c:gapWidth val="219"/>
        <c:overlap val="-27"/>
        <c:axId val="907610192"/>
        <c:axId val="894846704"/>
      </c:barChart>
      <c:lineChart>
        <c:grouping val="standard"/>
        <c:varyColors val="0"/>
        <c:ser>
          <c:idx val="2"/>
          <c:order val="1"/>
          <c:tx>
            <c:strRef>
              <c:f>Calcs!$C$30</c:f>
              <c:strCache>
                <c:ptCount val="1"/>
                <c:pt idx="0">
                  <c:v>Proportion of Patients Receiving Surgery Within 8 Weeks of Assessment</c:v>
                </c:pt>
              </c:strCache>
            </c:strRef>
          </c:tx>
          <c:spPr>
            <a:ln w="25400" cap="rnd">
              <a:noFill/>
              <a:round/>
            </a:ln>
            <a:effectLst/>
          </c:spPr>
          <c:marker>
            <c:symbol val="diamond"/>
            <c:size val="10"/>
            <c:spPr>
              <a:solidFill>
                <a:schemeClr val="accent1"/>
              </a:solidFill>
              <a:ln w="9525">
                <a:solidFill>
                  <a:schemeClr val="accent1"/>
                </a:solidFill>
              </a:ln>
              <a:effectLst/>
            </c:spPr>
          </c:marker>
          <c:cat>
            <c:multiLvlStrRef>
              <c:f>Calcs!$D$27:$O$28</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Calcs!$D$45:$O$45</c:f>
              <c:numCache>
                <c:formatCode>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3053-44AE-9D8C-F03A9E328AD4}"/>
            </c:ext>
          </c:extLst>
        </c:ser>
        <c:ser>
          <c:idx val="3"/>
          <c:order val="2"/>
          <c:tx>
            <c:strRef>
              <c:f>Calcs!$C$46</c:f>
              <c:strCache>
                <c:ptCount val="1"/>
                <c:pt idx="0">
                  <c:v>1-year moving average proportion of AAA within 8 weeks</c:v>
                </c:pt>
              </c:strCache>
            </c:strRef>
          </c:tx>
          <c:spPr>
            <a:ln w="25400" cap="rnd">
              <a:solidFill>
                <a:schemeClr val="accent1">
                  <a:lumMod val="50000"/>
                </a:schemeClr>
              </a:solidFill>
              <a:round/>
            </a:ln>
            <a:effectLst/>
          </c:spPr>
          <c:marker>
            <c:symbol val="square"/>
            <c:size val="5"/>
            <c:spPr>
              <a:solidFill>
                <a:schemeClr val="tx2">
                  <a:lumMod val="50000"/>
                </a:schemeClr>
              </a:solidFill>
              <a:ln w="9525">
                <a:solidFill>
                  <a:schemeClr val="accent1">
                    <a:lumMod val="50000"/>
                  </a:schemeClr>
                </a:solidFill>
              </a:ln>
              <a:effectLst/>
            </c:spPr>
          </c:marker>
          <c:val>
            <c:numRef>
              <c:f>Calcs!$D$46:$O$46</c:f>
              <c:numCache>
                <c:formatCode>0%</c:formatCode>
                <c:ptCount val="12"/>
                <c:pt idx="1">
                  <c:v>0.47058823529411764</c:v>
                </c:pt>
                <c:pt idx="2">
                  <c:v>0.45</c:v>
                </c:pt>
                <c:pt idx="3">
                  <c:v>0.47368421052631576</c:v>
                </c:pt>
                <c:pt idx="4">
                  <c:v>0.45238095238095238</c:v>
                </c:pt>
                <c:pt idx="5">
                  <c:v>0.40425531914893614</c:v>
                </c:pt>
                <c:pt idx="6">
                  <c:v>0.34782608695652173</c:v>
                </c:pt>
                <c:pt idx="7">
                  <c:v>0.28888888888888886</c:v>
                </c:pt>
                <c:pt idx="8">
                  <c:v>0.27027027027027029</c:v>
                </c:pt>
                <c:pt idx="9">
                  <c:v>0.27777777777777779</c:v>
                </c:pt>
                <c:pt idx="10">
                  <c:v>0.30769230769230771</c:v>
                </c:pt>
                <c:pt idx="11">
                  <c:v>#N/A</c:v>
                </c:pt>
              </c:numCache>
            </c:numRef>
          </c:val>
          <c:smooth val="0"/>
          <c:extLst>
            <c:ext xmlns:c16="http://schemas.microsoft.com/office/drawing/2014/chart" uri="{C3380CC4-5D6E-409C-BE32-E72D297353CC}">
              <c16:uniqueId val="{00000001-3AFC-4FFC-A3FA-1330C182E831}"/>
            </c:ext>
          </c:extLst>
        </c:ser>
        <c:ser>
          <c:idx val="0"/>
          <c:order val="3"/>
          <c:tx>
            <c:strRef>
              <c:f>Calcs!$C$31</c:f>
              <c:strCache>
                <c:ptCount val="1"/>
                <c:pt idx="0">
                  <c:v>NAAASP Target</c:v>
                </c:pt>
              </c:strCache>
            </c:strRef>
          </c:tx>
          <c:spPr>
            <a:ln w="15875" cap="rnd">
              <a:solidFill>
                <a:srgbClr val="FF0000"/>
              </a:solidFill>
              <a:prstDash val="dash"/>
              <a:round/>
            </a:ln>
            <a:effectLst/>
          </c:spPr>
          <c:marker>
            <c:symbol val="none"/>
          </c:marker>
          <c:cat>
            <c:multiLvlStrRef>
              <c:f>Calcs!$D$27:$O$28</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Calcs!$D$31:$O$31</c:f>
              <c:numCache>
                <c:formatCode>0%</c:formatCode>
                <c:ptCount val="12"/>
                <c:pt idx="0">
                  <c:v>0.8</c:v>
                </c:pt>
                <c:pt idx="1">
                  <c:v>0.8</c:v>
                </c:pt>
                <c:pt idx="2">
                  <c:v>0.8</c:v>
                </c:pt>
                <c:pt idx="3">
                  <c:v>0.8</c:v>
                </c:pt>
                <c:pt idx="4">
                  <c:v>0.8</c:v>
                </c:pt>
                <c:pt idx="5">
                  <c:v>0.8</c:v>
                </c:pt>
                <c:pt idx="6">
                  <c:v>0.8</c:v>
                </c:pt>
                <c:pt idx="7">
                  <c:v>0.8</c:v>
                </c:pt>
                <c:pt idx="8">
                  <c:v>0.8</c:v>
                </c:pt>
                <c:pt idx="9">
                  <c:v>0.8</c:v>
                </c:pt>
                <c:pt idx="10">
                  <c:v>0.8</c:v>
                </c:pt>
                <c:pt idx="11">
                  <c:v>0.8</c:v>
                </c:pt>
              </c:numCache>
            </c:numRef>
          </c:val>
          <c:smooth val="0"/>
          <c:extLst>
            <c:ext xmlns:c16="http://schemas.microsoft.com/office/drawing/2014/chart" uri="{C3380CC4-5D6E-409C-BE32-E72D297353CC}">
              <c16:uniqueId val="{00000002-3053-44AE-9D8C-F03A9E328AD4}"/>
            </c:ext>
          </c:extLst>
        </c:ser>
        <c:dLbls>
          <c:showLegendKey val="0"/>
          <c:showVal val="0"/>
          <c:showCatName val="0"/>
          <c:showSerName val="0"/>
          <c:showPercent val="0"/>
          <c:showBubbleSize val="0"/>
        </c:dLbls>
        <c:marker val="1"/>
        <c:smooth val="0"/>
        <c:axId val="907612112"/>
        <c:axId val="894845712"/>
      </c:lineChart>
      <c:catAx>
        <c:axId val="90761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4845712"/>
        <c:crosses val="autoZero"/>
        <c:auto val="1"/>
        <c:lblAlgn val="ctr"/>
        <c:lblOffset val="100"/>
        <c:noMultiLvlLbl val="0"/>
      </c:catAx>
      <c:valAx>
        <c:axId val="894845712"/>
        <c:scaling>
          <c:orientation val="minMax"/>
          <c:max val="1"/>
        </c:scaling>
        <c:delete val="0"/>
        <c:axPos val="l"/>
        <c:majorGridlines>
          <c:spPr>
            <a:ln w="9525" cap="flat" cmpd="sng" algn="ctr">
              <a:solidFill>
                <a:schemeClr val="tx1">
                  <a:lumMod val="15000"/>
                  <a:lumOff val="85000"/>
                </a:schemeClr>
              </a:solidFill>
              <a:round/>
            </a:ln>
            <a:effectLst/>
          </c:spPr>
        </c:majorGridlines>
        <c:title>
          <c:tx>
            <c:strRef>
              <c:f>Calcs!$C$30</c:f>
              <c:strCache>
                <c:ptCount val="1"/>
                <c:pt idx="0">
                  <c:v>Proportion of Patients Receiving Surgery Within 8 Weeks of Assessment</c:v>
                </c:pt>
              </c:strCache>
            </c:strRef>
          </c:tx>
          <c:layout>
            <c:manualLayout>
              <c:xMode val="edge"/>
              <c:yMode val="edge"/>
              <c:x val="0.25685248862479987"/>
              <c:y val="6.823075584235019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solidFill>
                <a:latin typeface="+mn-lt"/>
                <a:ea typeface="+mn-ea"/>
                <a:cs typeface="+mn-cs"/>
              </a:defRPr>
            </a:pPr>
            <a:endParaRPr lang="en-US"/>
          </a:p>
        </c:txPr>
        <c:crossAx val="907612112"/>
        <c:crosses val="autoZero"/>
        <c:crossBetween val="between"/>
      </c:valAx>
      <c:valAx>
        <c:axId val="894846704"/>
        <c:scaling>
          <c:orientation val="minMax"/>
        </c:scaling>
        <c:delete val="0"/>
        <c:axPos val="r"/>
        <c:title>
          <c:tx>
            <c:strRef>
              <c:f>Calcs!$C$29</c:f>
              <c:strCache>
                <c:ptCount val="1"/>
                <c:pt idx="0">
                  <c:v>Elective Infra-renal AAA Repairs</c:v>
                </c:pt>
              </c:strCache>
            </c:strRef>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2">
                    <a:lumMod val="50000"/>
                  </a:schemeClr>
                </a:solidFill>
                <a:latin typeface="+mn-lt"/>
                <a:ea typeface="+mn-ea"/>
                <a:cs typeface="+mn-cs"/>
              </a:defRPr>
            </a:pPr>
            <a:endParaRPr lang="en-US"/>
          </a:p>
        </c:txPr>
        <c:crossAx val="907610192"/>
        <c:crosses val="max"/>
        <c:crossBetween val="between"/>
      </c:valAx>
      <c:catAx>
        <c:axId val="907610192"/>
        <c:scaling>
          <c:orientation val="minMax"/>
        </c:scaling>
        <c:delete val="1"/>
        <c:axPos val="b"/>
        <c:numFmt formatCode="General" sourceLinked="1"/>
        <c:majorTickMark val="none"/>
        <c:minorTickMark val="none"/>
        <c:tickLblPos val="nextTo"/>
        <c:crossAx val="8948467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'LL Revasc Quarterly Report'!$C$5</c:f>
          <c:strCache>
            <c:ptCount val="1"/>
            <c:pt idx="0">
              <c:v>Barking, Havering and Redbridge University Hospitals NHS Trust</c:v>
            </c:pt>
          </c:strCache>
        </c:strRef>
      </c:tx>
      <c:layout>
        <c:manualLayout>
          <c:xMode val="edge"/>
          <c:yMode val="edge"/>
          <c:x val="0.37923708920187799"/>
          <c:y val="1.40140140140140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Calcs!$B$90</c:f>
              <c:strCache>
                <c:ptCount val="1"/>
                <c:pt idx="0">
                  <c:v>Emergency CLTI Cases (right axis)</c:v>
                </c:pt>
              </c:strCache>
            </c:strRef>
          </c:tx>
          <c:spPr>
            <a:solidFill>
              <a:schemeClr val="bg1">
                <a:lumMod val="85000"/>
              </a:schemeClr>
            </a:solidFill>
            <a:ln>
              <a:noFill/>
            </a:ln>
            <a:effectLst/>
          </c:spPr>
          <c:invertIfNegative val="0"/>
          <c:cat>
            <c:multiLvlStrRef>
              <c:f>Calcs!$C$73:$N$74</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Calcs!$C$90:$N$90</c:f>
              <c:numCache>
                <c:formatCode>General</c:formatCode>
                <c:ptCount val="12"/>
                <c:pt idx="0">
                  <c:v>13</c:v>
                </c:pt>
                <c:pt idx="1">
                  <c:v>10</c:v>
                </c:pt>
                <c:pt idx="2">
                  <c:v>11</c:v>
                </c:pt>
                <c:pt idx="3">
                  <c:v>7</c:v>
                </c:pt>
                <c:pt idx="4">
                  <c:v>8</c:v>
                </c:pt>
                <c:pt idx="5">
                  <c:v>20</c:v>
                </c:pt>
                <c:pt idx="6">
                  <c:v>18</c:v>
                </c:pt>
                <c:pt idx="7">
                  <c:v>7</c:v>
                </c:pt>
                <c:pt idx="8">
                  <c:v>10</c:v>
                </c:pt>
                <c:pt idx="9">
                  <c:v>5</c:v>
                </c:pt>
                <c:pt idx="10">
                  <c:v>#N/A</c:v>
                </c:pt>
                <c:pt idx="11">
                  <c:v>0</c:v>
                </c:pt>
              </c:numCache>
            </c:numRef>
          </c:val>
          <c:extLst>
            <c:ext xmlns:c16="http://schemas.microsoft.com/office/drawing/2014/chart" uri="{C3380CC4-5D6E-409C-BE32-E72D297353CC}">
              <c16:uniqueId val="{00000000-8C5C-495C-BBD0-8327F98C4650}"/>
            </c:ext>
          </c:extLst>
        </c:ser>
        <c:dLbls>
          <c:showLegendKey val="0"/>
          <c:showVal val="0"/>
          <c:showCatName val="0"/>
          <c:showSerName val="0"/>
          <c:showPercent val="0"/>
          <c:showBubbleSize val="0"/>
        </c:dLbls>
        <c:gapWidth val="219"/>
        <c:overlap val="-27"/>
        <c:axId val="907610192"/>
        <c:axId val="894846704"/>
      </c:barChart>
      <c:lineChart>
        <c:grouping val="standard"/>
        <c:varyColors val="0"/>
        <c:ser>
          <c:idx val="2"/>
          <c:order val="1"/>
          <c:tx>
            <c:strRef>
              <c:f>Calcs!$B$91</c:f>
              <c:strCache>
                <c:ptCount val="1"/>
                <c:pt idx="0">
                  <c:v>Proportion of CLTI treated within 5 days</c:v>
                </c:pt>
              </c:strCache>
            </c:strRef>
          </c:tx>
          <c:spPr>
            <a:ln w="25400" cap="rnd">
              <a:noFill/>
              <a:round/>
            </a:ln>
            <a:effectLst/>
          </c:spPr>
          <c:marker>
            <c:symbol val="diamond"/>
            <c:size val="10"/>
            <c:spPr>
              <a:solidFill>
                <a:schemeClr val="accent1"/>
              </a:solidFill>
              <a:ln w="9525">
                <a:solidFill>
                  <a:schemeClr val="accent1"/>
                </a:solidFill>
              </a:ln>
              <a:effectLst/>
            </c:spPr>
          </c:marker>
          <c:cat>
            <c:multiLvlStrRef>
              <c:f>Calcs!$C$73:$N$74</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Calcs!$C$91:$N$91</c:f>
              <c:numCache>
                <c:formatCode>0%</c:formatCode>
                <c:ptCount val="12"/>
                <c:pt idx="0">
                  <c:v>#N/A</c:v>
                </c:pt>
                <c:pt idx="1">
                  <c:v>0.5</c:v>
                </c:pt>
                <c:pt idx="2">
                  <c:v>0.45</c:v>
                </c:pt>
                <c:pt idx="3">
                  <c:v>#N/A</c:v>
                </c:pt>
                <c:pt idx="4">
                  <c:v>0.63</c:v>
                </c:pt>
                <c:pt idx="5">
                  <c:v>0.55000000000000004</c:v>
                </c:pt>
                <c:pt idx="6">
                  <c:v>0.28000000000000003</c:v>
                </c:pt>
                <c:pt idx="7">
                  <c:v>#N/A</c:v>
                </c:pt>
                <c:pt idx="8">
                  <c:v>0.5</c:v>
                </c:pt>
                <c:pt idx="9">
                  <c:v>0</c:v>
                </c:pt>
                <c:pt idx="10">
                  <c:v>#N/A</c:v>
                </c:pt>
                <c:pt idx="11">
                  <c:v>#N/A</c:v>
                </c:pt>
              </c:numCache>
            </c:numRef>
          </c:val>
          <c:smooth val="0"/>
          <c:extLst>
            <c:ext xmlns:c16="http://schemas.microsoft.com/office/drawing/2014/chart" uri="{C3380CC4-5D6E-409C-BE32-E72D297353CC}">
              <c16:uniqueId val="{00000001-8C5C-495C-BBD0-8327F98C4650}"/>
            </c:ext>
          </c:extLst>
        </c:ser>
        <c:ser>
          <c:idx val="3"/>
          <c:order val="2"/>
          <c:tx>
            <c:strRef>
              <c:f>Calcs!$B$92</c:f>
              <c:strCache>
                <c:ptCount val="1"/>
                <c:pt idx="0">
                  <c:v>1-year moving average proportion of revasc within 5 days</c:v>
                </c:pt>
              </c:strCache>
            </c:strRef>
          </c:tx>
          <c:spPr>
            <a:ln w="25400" cap="rnd">
              <a:solidFill>
                <a:schemeClr val="accent1">
                  <a:lumMod val="50000"/>
                </a:schemeClr>
              </a:solidFill>
              <a:round/>
            </a:ln>
            <a:effectLst/>
          </c:spPr>
          <c:marker>
            <c:symbol val="square"/>
            <c:size val="5"/>
            <c:spPr>
              <a:solidFill>
                <a:schemeClr val="tx2">
                  <a:lumMod val="50000"/>
                </a:schemeClr>
              </a:solidFill>
              <a:ln w="9525">
                <a:solidFill>
                  <a:schemeClr val="tx2">
                    <a:lumMod val="50000"/>
                  </a:schemeClr>
                </a:solidFill>
              </a:ln>
              <a:effectLst/>
            </c:spPr>
          </c:marker>
          <c:cat>
            <c:multiLvlStrRef>
              <c:f>Calcs!$C$73:$N$74</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Calcs!$C$92:$N$92</c:f>
              <c:numCache>
                <c:formatCode>0%</c:formatCode>
                <c:ptCount val="12"/>
                <c:pt idx="1">
                  <c:v>0.38666666666666666</c:v>
                </c:pt>
                <c:pt idx="2">
                  <c:v>0.44155844155844154</c:v>
                </c:pt>
                <c:pt idx="3">
                  <c:v>0.51219512195121952</c:v>
                </c:pt>
                <c:pt idx="4">
                  <c:v>0.48484848484848486</c:v>
                </c:pt>
                <c:pt idx="5">
                  <c:v>0.46226415094339623</c:v>
                </c:pt>
                <c:pt idx="6">
                  <c:v>0.46296296296296297</c:v>
                </c:pt>
                <c:pt idx="7">
                  <c:v>0.41052631578947368</c:v>
                </c:pt>
                <c:pt idx="8">
                  <c:v>0.375</c:v>
                </c:pt>
                <c:pt idx="9">
                  <c:v>0.3902439024390244</c:v>
                </c:pt>
                <c:pt idx="10">
                  <c:v>#N/A</c:v>
                </c:pt>
                <c:pt idx="11">
                  <c:v>#N/A</c:v>
                </c:pt>
              </c:numCache>
            </c:numRef>
          </c:val>
          <c:smooth val="0"/>
          <c:extLst>
            <c:ext xmlns:c16="http://schemas.microsoft.com/office/drawing/2014/chart" uri="{C3380CC4-5D6E-409C-BE32-E72D297353CC}">
              <c16:uniqueId val="{00000002-31EB-4C74-ADBA-69414D8D0507}"/>
            </c:ext>
          </c:extLst>
        </c:ser>
        <c:ser>
          <c:idx val="0"/>
          <c:order val="3"/>
          <c:tx>
            <c:strRef>
              <c:f>Calcs!$B$89</c:f>
              <c:strCache>
                <c:ptCount val="1"/>
                <c:pt idx="0">
                  <c:v>Upper CQUIN Target</c:v>
                </c:pt>
              </c:strCache>
            </c:strRef>
          </c:tx>
          <c:spPr>
            <a:ln w="19050" cap="rnd">
              <a:solidFill>
                <a:srgbClr val="FF0000"/>
              </a:solidFill>
              <a:prstDash val="sysDash"/>
              <a:round/>
            </a:ln>
            <a:effectLst/>
          </c:spPr>
          <c:marker>
            <c:symbol val="none"/>
          </c:marker>
          <c:cat>
            <c:multiLvlStrRef>
              <c:f>Calcs!$C$73:$N$74</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Calcs!$C$89:$N$89</c:f>
              <c:numCache>
                <c:formatCode>0%</c:formatCode>
                <c:ptCount val="12"/>
                <c:pt idx="0">
                  <c:v>0.65</c:v>
                </c:pt>
                <c:pt idx="1">
                  <c:v>0.65</c:v>
                </c:pt>
                <c:pt idx="2">
                  <c:v>0.65</c:v>
                </c:pt>
                <c:pt idx="3">
                  <c:v>0.65</c:v>
                </c:pt>
                <c:pt idx="4">
                  <c:v>0.65</c:v>
                </c:pt>
                <c:pt idx="5">
                  <c:v>0.65</c:v>
                </c:pt>
                <c:pt idx="6">
                  <c:v>0.65</c:v>
                </c:pt>
                <c:pt idx="7">
                  <c:v>0.65</c:v>
                </c:pt>
                <c:pt idx="8">
                  <c:v>0.65</c:v>
                </c:pt>
                <c:pt idx="9">
                  <c:v>0.65</c:v>
                </c:pt>
                <c:pt idx="10">
                  <c:v>0.65</c:v>
                </c:pt>
                <c:pt idx="11">
                  <c:v>0.65</c:v>
                </c:pt>
              </c:numCache>
            </c:numRef>
          </c:val>
          <c:smooth val="0"/>
          <c:extLst>
            <c:ext xmlns:c16="http://schemas.microsoft.com/office/drawing/2014/chart" uri="{C3380CC4-5D6E-409C-BE32-E72D297353CC}">
              <c16:uniqueId val="{00000000-31EB-4C74-ADBA-69414D8D0507}"/>
            </c:ext>
          </c:extLst>
        </c:ser>
        <c:ser>
          <c:idx val="4"/>
          <c:order val="4"/>
          <c:tx>
            <c:strRef>
              <c:f>Calcs!$B$93</c:f>
              <c:strCache>
                <c:ptCount val="1"/>
                <c:pt idx="0">
                  <c:v>Lower CQUIN Target</c:v>
                </c:pt>
              </c:strCache>
            </c:strRef>
          </c:tx>
          <c:spPr>
            <a:ln w="19050" cap="rnd">
              <a:solidFill>
                <a:srgbClr val="FFC000"/>
              </a:solidFill>
              <a:prstDash val="sysDash"/>
              <a:round/>
            </a:ln>
            <a:effectLst/>
          </c:spPr>
          <c:marker>
            <c:symbol val="none"/>
          </c:marker>
          <c:cat>
            <c:multiLvlStrRef>
              <c:f>Calcs!$C$73:$N$74</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Calcs!$C$93:$N$93</c:f>
              <c:numCache>
                <c:formatCode>0%</c:formatCode>
                <c:ptCount val="12"/>
                <c:pt idx="0">
                  <c:v>0.45</c:v>
                </c:pt>
                <c:pt idx="1">
                  <c:v>0.45</c:v>
                </c:pt>
                <c:pt idx="2">
                  <c:v>0.45</c:v>
                </c:pt>
                <c:pt idx="3">
                  <c:v>0.45</c:v>
                </c:pt>
                <c:pt idx="4">
                  <c:v>0.45</c:v>
                </c:pt>
                <c:pt idx="5">
                  <c:v>0.45</c:v>
                </c:pt>
                <c:pt idx="6">
                  <c:v>0.45</c:v>
                </c:pt>
                <c:pt idx="7">
                  <c:v>0.45</c:v>
                </c:pt>
                <c:pt idx="8">
                  <c:v>0.45</c:v>
                </c:pt>
                <c:pt idx="9">
                  <c:v>0.45</c:v>
                </c:pt>
                <c:pt idx="10">
                  <c:v>0.45</c:v>
                </c:pt>
                <c:pt idx="11">
                  <c:v>0.45</c:v>
                </c:pt>
              </c:numCache>
            </c:numRef>
          </c:val>
          <c:smooth val="0"/>
          <c:extLst>
            <c:ext xmlns:c16="http://schemas.microsoft.com/office/drawing/2014/chart" uri="{C3380CC4-5D6E-409C-BE32-E72D297353CC}">
              <c16:uniqueId val="{00000003-31EB-4C74-ADBA-69414D8D0507}"/>
            </c:ext>
          </c:extLst>
        </c:ser>
        <c:dLbls>
          <c:showLegendKey val="0"/>
          <c:showVal val="0"/>
          <c:showCatName val="0"/>
          <c:showSerName val="0"/>
          <c:showPercent val="0"/>
          <c:showBubbleSize val="0"/>
        </c:dLbls>
        <c:marker val="1"/>
        <c:smooth val="0"/>
        <c:axId val="907612112"/>
        <c:axId val="894845712"/>
      </c:lineChart>
      <c:catAx>
        <c:axId val="90761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4845712"/>
        <c:crosses val="autoZero"/>
        <c:auto val="1"/>
        <c:lblAlgn val="ctr"/>
        <c:lblOffset val="100"/>
        <c:noMultiLvlLbl val="0"/>
      </c:catAx>
      <c:valAx>
        <c:axId val="894845712"/>
        <c:scaling>
          <c:orientation val="minMax"/>
          <c:max val="1"/>
        </c:scaling>
        <c:delete val="0"/>
        <c:axPos val="l"/>
        <c:majorGridlines>
          <c:spPr>
            <a:ln w="9525" cap="flat" cmpd="sng" algn="ctr">
              <a:solidFill>
                <a:schemeClr val="tx1">
                  <a:lumMod val="15000"/>
                  <a:lumOff val="85000"/>
                </a:schemeClr>
              </a:solidFill>
              <a:round/>
            </a:ln>
            <a:effectLst/>
          </c:spPr>
        </c:majorGridlines>
        <c:title>
          <c:tx>
            <c:strRef>
              <c:f>Calcs!$B$76</c:f>
              <c:strCache>
                <c:ptCount val="1"/>
                <c:pt idx="0">
                  <c:v>Proportion of CLTI treated within 5 days</c:v>
                </c:pt>
              </c:strCache>
            </c:strRef>
          </c:tx>
          <c:layout>
            <c:manualLayout>
              <c:xMode val="edge"/>
              <c:yMode val="edge"/>
              <c:x val="0.27041960486009742"/>
              <c:y val="0.2609503992181157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solidFill>
                <a:latin typeface="+mn-lt"/>
                <a:ea typeface="+mn-ea"/>
                <a:cs typeface="+mn-cs"/>
              </a:defRPr>
            </a:pPr>
            <a:endParaRPr lang="en-US"/>
          </a:p>
        </c:txPr>
        <c:crossAx val="907612112"/>
        <c:crosses val="autoZero"/>
        <c:crossBetween val="between"/>
      </c:valAx>
      <c:valAx>
        <c:axId val="894846704"/>
        <c:scaling>
          <c:orientation val="minMax"/>
        </c:scaling>
        <c:delete val="0"/>
        <c:axPos val="r"/>
        <c:title>
          <c:tx>
            <c:strRef>
              <c:f>Calcs!$B$75</c:f>
              <c:strCache>
                <c:ptCount val="1"/>
                <c:pt idx="0">
                  <c:v>Emergency CLTI Wating Time Cases</c:v>
                </c:pt>
              </c:strCache>
            </c:strRef>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2">
                    <a:lumMod val="50000"/>
                  </a:schemeClr>
                </a:solidFill>
                <a:latin typeface="+mn-lt"/>
                <a:ea typeface="+mn-ea"/>
                <a:cs typeface="+mn-cs"/>
              </a:defRPr>
            </a:pPr>
            <a:endParaRPr lang="en-US"/>
          </a:p>
        </c:txPr>
        <c:crossAx val="907610192"/>
        <c:crosses val="max"/>
        <c:crossBetween val="between"/>
      </c:valAx>
      <c:catAx>
        <c:axId val="907610192"/>
        <c:scaling>
          <c:orientation val="minMax"/>
        </c:scaling>
        <c:delete val="1"/>
        <c:axPos val="b"/>
        <c:numFmt formatCode="General" sourceLinked="1"/>
        <c:majorTickMark val="none"/>
        <c:minorTickMark val="none"/>
        <c:tickLblPos val="nextTo"/>
        <c:crossAx val="8948467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'Major Amp Quarterly Report'!$C$5</c:f>
          <c:strCache>
            <c:ptCount val="1"/>
            <c:pt idx="0">
              <c:v>Barking, Havering and Redbridge University Hospitals NHS Trust</c:v>
            </c:pt>
          </c:strCache>
        </c:strRef>
      </c:tx>
      <c:layout>
        <c:manualLayout>
          <c:xMode val="edge"/>
          <c:yMode val="edge"/>
          <c:x val="0.3441483462008354"/>
          <c:y val="1.38888867190215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Calcs!$B$114</c:f>
              <c:strCache>
                <c:ptCount val="1"/>
                <c:pt idx="0">
                  <c:v>Major Amputations (right axis)</c:v>
                </c:pt>
              </c:strCache>
            </c:strRef>
          </c:tx>
          <c:spPr>
            <a:solidFill>
              <a:schemeClr val="bg1">
                <a:lumMod val="85000"/>
              </a:schemeClr>
            </a:solidFill>
            <a:ln>
              <a:noFill/>
            </a:ln>
            <a:effectLst/>
          </c:spPr>
          <c:invertIfNegative val="0"/>
          <c:cat>
            <c:multiLvlStrRef>
              <c:f>Calcs!$C$99:$N$100</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Calcs!$C$114:$N$114</c:f>
              <c:numCache>
                <c:formatCode>General</c:formatCode>
                <c:ptCount val="12"/>
                <c:pt idx="0">
                  <c:v>6</c:v>
                </c:pt>
                <c:pt idx="1">
                  <c:v>13</c:v>
                </c:pt>
                <c:pt idx="2">
                  <c:v>7</c:v>
                </c:pt>
                <c:pt idx="3">
                  <c:v>6</c:v>
                </c:pt>
                <c:pt idx="4">
                  <c:v>7</c:v>
                </c:pt>
                <c:pt idx="5">
                  <c:v>12</c:v>
                </c:pt>
                <c:pt idx="6">
                  <c:v>10</c:v>
                </c:pt>
                <c:pt idx="7">
                  <c:v>5</c:v>
                </c:pt>
                <c:pt idx="8">
                  <c:v>8</c:v>
                </c:pt>
                <c:pt idx="9">
                  <c:v>8</c:v>
                </c:pt>
                <c:pt idx="10">
                  <c:v>#N/A</c:v>
                </c:pt>
                <c:pt idx="11">
                  <c:v>#N/A</c:v>
                </c:pt>
              </c:numCache>
            </c:numRef>
          </c:val>
          <c:extLst>
            <c:ext xmlns:c16="http://schemas.microsoft.com/office/drawing/2014/chart" uri="{C3380CC4-5D6E-409C-BE32-E72D297353CC}">
              <c16:uniqueId val="{00000000-4980-4059-A6C0-39A77FD36ADE}"/>
            </c:ext>
          </c:extLst>
        </c:ser>
        <c:dLbls>
          <c:showLegendKey val="0"/>
          <c:showVal val="0"/>
          <c:showCatName val="0"/>
          <c:showSerName val="0"/>
          <c:showPercent val="0"/>
          <c:showBubbleSize val="0"/>
        </c:dLbls>
        <c:gapWidth val="219"/>
        <c:overlap val="-27"/>
        <c:axId val="907610192"/>
        <c:axId val="894846704"/>
      </c:barChart>
      <c:lineChart>
        <c:grouping val="standard"/>
        <c:varyColors val="0"/>
        <c:ser>
          <c:idx val="2"/>
          <c:order val="1"/>
          <c:tx>
            <c:strRef>
              <c:f>Calcs!$B$115</c:f>
              <c:strCache>
                <c:ptCount val="1"/>
                <c:pt idx="0">
                  <c:v>Proportion of BKA</c:v>
                </c:pt>
              </c:strCache>
            </c:strRef>
          </c:tx>
          <c:spPr>
            <a:ln w="25400" cap="rnd">
              <a:noFill/>
              <a:round/>
            </a:ln>
            <a:effectLst/>
          </c:spPr>
          <c:marker>
            <c:symbol val="diamond"/>
            <c:size val="10"/>
            <c:spPr>
              <a:solidFill>
                <a:schemeClr val="accent1"/>
              </a:solidFill>
              <a:ln w="9525">
                <a:solidFill>
                  <a:schemeClr val="accent1"/>
                </a:solidFill>
              </a:ln>
              <a:effectLst/>
            </c:spPr>
          </c:marker>
          <c:cat>
            <c:multiLvlStrRef>
              <c:f>Calcs!$C$99:$N$100</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Calcs!$C$115:$N$115</c:f>
              <c:numCache>
                <c:formatCode>0%</c:formatCode>
                <c:ptCount val="12"/>
                <c:pt idx="0">
                  <c:v>#N/A</c:v>
                </c:pt>
                <c:pt idx="1">
                  <c:v>#N/A</c:v>
                </c:pt>
                <c:pt idx="2">
                  <c:v>#N/A</c:v>
                </c:pt>
                <c:pt idx="3">
                  <c:v>#N/A</c:v>
                </c:pt>
                <c:pt idx="4">
                  <c:v>0.8571428571428571</c:v>
                </c:pt>
                <c:pt idx="5">
                  <c:v>#N/A</c:v>
                </c:pt>
                <c:pt idx="6">
                  <c:v>#N/A</c:v>
                </c:pt>
                <c:pt idx="7">
                  <c:v>0</c:v>
                </c:pt>
                <c:pt idx="8">
                  <c:v>#N/A</c:v>
                </c:pt>
                <c:pt idx="9">
                  <c:v>#N/A</c:v>
                </c:pt>
                <c:pt idx="10">
                  <c:v>#N/A</c:v>
                </c:pt>
                <c:pt idx="11">
                  <c:v>#N/A</c:v>
                </c:pt>
              </c:numCache>
            </c:numRef>
          </c:val>
          <c:smooth val="0"/>
          <c:extLst>
            <c:ext xmlns:c16="http://schemas.microsoft.com/office/drawing/2014/chart" uri="{C3380CC4-5D6E-409C-BE32-E72D297353CC}">
              <c16:uniqueId val="{00000001-4980-4059-A6C0-39A77FD36ADE}"/>
            </c:ext>
          </c:extLst>
        </c:ser>
        <c:ser>
          <c:idx val="3"/>
          <c:order val="2"/>
          <c:tx>
            <c:strRef>
              <c:f>Calcs!$B$116</c:f>
              <c:strCache>
                <c:ptCount val="1"/>
                <c:pt idx="0">
                  <c:v>1-year moving average proportion of BKA</c:v>
                </c:pt>
              </c:strCache>
            </c:strRef>
          </c:tx>
          <c:spPr>
            <a:ln w="25400" cap="rnd">
              <a:solidFill>
                <a:schemeClr val="tx2">
                  <a:lumMod val="50000"/>
                </a:schemeClr>
              </a:solidFill>
              <a:round/>
            </a:ln>
            <a:effectLst/>
          </c:spPr>
          <c:marker>
            <c:symbol val="square"/>
            <c:size val="5"/>
            <c:spPr>
              <a:solidFill>
                <a:schemeClr val="tx2">
                  <a:lumMod val="50000"/>
                </a:schemeClr>
              </a:solidFill>
              <a:ln w="9525">
                <a:solidFill>
                  <a:schemeClr val="tx2">
                    <a:lumMod val="50000"/>
                  </a:schemeClr>
                </a:solidFill>
              </a:ln>
              <a:effectLst/>
            </c:spPr>
          </c:marker>
          <c:cat>
            <c:multiLvlStrRef>
              <c:f>Calcs!$C$99:$N$100</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Calcs!$C$116:$N$116</c:f>
              <c:numCache>
                <c:formatCode>0%</c:formatCode>
                <c:ptCount val="12"/>
                <c:pt idx="1">
                  <c:v>0.36206896551724138</c:v>
                </c:pt>
                <c:pt idx="2">
                  <c:v>0.4</c:v>
                </c:pt>
                <c:pt idx="3">
                  <c:v>0.46153846153846156</c:v>
                </c:pt>
                <c:pt idx="4">
                  <c:v>0.43283582089552236</c:v>
                </c:pt>
                <c:pt idx="5">
                  <c:v>0.39130434782608697</c:v>
                </c:pt>
                <c:pt idx="6">
                  <c:v>0.3188405797101449</c:v>
                </c:pt>
                <c:pt idx="7">
                  <c:v>0.22727272727272727</c:v>
                </c:pt>
                <c:pt idx="8">
                  <c:v>0.21428571428571427</c:v>
                </c:pt>
                <c:pt idx="9">
                  <c:v>0.27083333333333331</c:v>
                </c:pt>
                <c:pt idx="10">
                  <c:v>0.31578947368421051</c:v>
                </c:pt>
                <c:pt idx="11">
                  <c:v>#N/A</c:v>
                </c:pt>
              </c:numCache>
            </c:numRef>
          </c:val>
          <c:smooth val="0"/>
          <c:extLst>
            <c:ext xmlns:c16="http://schemas.microsoft.com/office/drawing/2014/chart" uri="{C3380CC4-5D6E-409C-BE32-E72D297353CC}">
              <c16:uniqueId val="{00000000-4FC7-4EB9-8138-D1BF7DAB4665}"/>
            </c:ext>
          </c:extLst>
        </c:ser>
        <c:ser>
          <c:idx val="0"/>
          <c:order val="3"/>
          <c:tx>
            <c:strRef>
              <c:f>Calcs!$B$113</c:f>
              <c:strCache>
                <c:ptCount val="1"/>
                <c:pt idx="0">
                  <c:v>BKA Target</c:v>
                </c:pt>
              </c:strCache>
            </c:strRef>
          </c:tx>
          <c:spPr>
            <a:ln w="19050" cap="rnd">
              <a:solidFill>
                <a:srgbClr val="FF0000"/>
              </a:solidFill>
              <a:prstDash val="sysDash"/>
              <a:round/>
            </a:ln>
            <a:effectLst/>
          </c:spPr>
          <c:marker>
            <c:symbol val="none"/>
          </c:marker>
          <c:cat>
            <c:multiLvlStrRef>
              <c:f>Calcs!$C$99:$N$100</c:f>
              <c:multiLvlStrCache>
                <c:ptCount val="12"/>
                <c:lvl>
                  <c:pt idx="0">
                    <c:v>Q3</c:v>
                  </c:pt>
                  <c:pt idx="1">
                    <c:v>Q4</c:v>
                  </c:pt>
                  <c:pt idx="2">
                    <c:v>Q1</c:v>
                  </c:pt>
                  <c:pt idx="3">
                    <c:v>Q2</c:v>
                  </c:pt>
                  <c:pt idx="4">
                    <c:v>Q3</c:v>
                  </c:pt>
                  <c:pt idx="5">
                    <c:v>Q4</c:v>
                  </c:pt>
                  <c:pt idx="6">
                    <c:v>Q1</c:v>
                  </c:pt>
                  <c:pt idx="7">
                    <c:v>Q2</c:v>
                  </c:pt>
                  <c:pt idx="8">
                    <c:v>Q3</c:v>
                  </c:pt>
                  <c:pt idx="9">
                    <c:v>Q4</c:v>
                  </c:pt>
                  <c:pt idx="10">
                    <c:v>Q1</c:v>
                  </c:pt>
                  <c:pt idx="11">
                    <c:v>Q2</c:v>
                  </c:pt>
                </c:lvl>
                <c:lvl>
                  <c:pt idx="0">
                    <c:v>2020</c:v>
                  </c:pt>
                  <c:pt idx="2">
                    <c:v>2021</c:v>
                  </c:pt>
                  <c:pt idx="6">
                    <c:v>2022</c:v>
                  </c:pt>
                  <c:pt idx="10">
                    <c:v>2023</c:v>
                  </c:pt>
                </c:lvl>
              </c:multiLvlStrCache>
            </c:multiLvlStrRef>
          </c:cat>
          <c:val>
            <c:numRef>
              <c:f>Calcs!$C$113:$N$113</c:f>
              <c:numCache>
                <c:formatCode>0%</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2-4980-4059-A6C0-39A77FD36ADE}"/>
            </c:ext>
          </c:extLst>
        </c:ser>
        <c:dLbls>
          <c:showLegendKey val="0"/>
          <c:showVal val="0"/>
          <c:showCatName val="0"/>
          <c:showSerName val="0"/>
          <c:showPercent val="0"/>
          <c:showBubbleSize val="0"/>
        </c:dLbls>
        <c:marker val="1"/>
        <c:smooth val="0"/>
        <c:axId val="907612112"/>
        <c:axId val="894845712"/>
      </c:lineChart>
      <c:catAx>
        <c:axId val="90761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4845712"/>
        <c:crosses val="autoZero"/>
        <c:auto val="1"/>
        <c:lblAlgn val="ctr"/>
        <c:lblOffset val="100"/>
        <c:noMultiLvlLbl val="0"/>
      </c:catAx>
      <c:valAx>
        <c:axId val="894845712"/>
        <c:scaling>
          <c:orientation val="minMax"/>
          <c:max val="1"/>
        </c:scaling>
        <c:delete val="0"/>
        <c:axPos val="l"/>
        <c:majorGridlines>
          <c:spPr>
            <a:ln w="9525" cap="flat" cmpd="sng" algn="ctr">
              <a:solidFill>
                <a:schemeClr val="tx1">
                  <a:lumMod val="15000"/>
                  <a:lumOff val="85000"/>
                </a:schemeClr>
              </a:solidFill>
              <a:round/>
            </a:ln>
            <a:effectLst/>
          </c:spPr>
        </c:majorGridlines>
        <c:title>
          <c:tx>
            <c:strRef>
              <c:f>Calcs!$B$102</c:f>
              <c:strCache>
                <c:ptCount val="1"/>
                <c:pt idx="0">
                  <c:v>%BKA</c:v>
                </c:pt>
              </c:strCache>
            </c:strRef>
          </c:tx>
          <c:layout>
            <c:manualLayout>
              <c:xMode val="edge"/>
              <c:yMode val="edge"/>
              <c:x val="0.20871075518484641"/>
              <c:y val="0.3900668057013489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solidFill>
                <a:latin typeface="+mn-lt"/>
                <a:ea typeface="+mn-ea"/>
                <a:cs typeface="+mn-cs"/>
              </a:defRPr>
            </a:pPr>
            <a:endParaRPr lang="en-US"/>
          </a:p>
        </c:txPr>
        <c:crossAx val="907612112"/>
        <c:crosses val="autoZero"/>
        <c:crossBetween val="between"/>
      </c:valAx>
      <c:valAx>
        <c:axId val="894846704"/>
        <c:scaling>
          <c:orientation val="minMax"/>
        </c:scaling>
        <c:delete val="0"/>
        <c:axPos val="r"/>
        <c:title>
          <c:tx>
            <c:strRef>
              <c:f>Calcs!$B$101</c:f>
              <c:strCache>
                <c:ptCount val="1"/>
                <c:pt idx="0">
                  <c:v>Major Amputations (right axis)</c:v>
                </c:pt>
              </c:strCache>
            </c:strRef>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2">
                    <a:lumMod val="50000"/>
                  </a:schemeClr>
                </a:solidFill>
                <a:latin typeface="+mn-lt"/>
                <a:ea typeface="+mn-ea"/>
                <a:cs typeface="+mn-cs"/>
              </a:defRPr>
            </a:pPr>
            <a:endParaRPr lang="en-US"/>
          </a:p>
        </c:txPr>
        <c:crossAx val="907610192"/>
        <c:crosses val="max"/>
        <c:crossBetween val="between"/>
      </c:valAx>
      <c:catAx>
        <c:axId val="907610192"/>
        <c:scaling>
          <c:orientation val="minMax"/>
        </c:scaling>
        <c:delete val="1"/>
        <c:axPos val="b"/>
        <c:numFmt formatCode="General" sourceLinked="1"/>
        <c:majorTickMark val="none"/>
        <c:minorTickMark val="none"/>
        <c:tickLblPos val="nextTo"/>
        <c:crossAx val="894846704"/>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171451</xdr:rowOff>
    </xdr:from>
    <xdr:to>
      <xdr:col>2</xdr:col>
      <xdr:colOff>2695575</xdr:colOff>
      <xdr:row>4</xdr:row>
      <xdr:rowOff>137107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71451"/>
          <a:ext cx="3238500" cy="727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95250</xdr:rowOff>
    </xdr:from>
    <xdr:to>
      <xdr:col>2</xdr:col>
      <xdr:colOff>2562225</xdr:colOff>
      <xdr:row>4</xdr:row>
      <xdr:rowOff>60906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95250"/>
          <a:ext cx="3238500" cy="727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581025</xdr:colOff>
      <xdr:row>0</xdr:row>
      <xdr:rowOff>66675</xdr:rowOff>
    </xdr:from>
    <xdr:to>
      <xdr:col>6</xdr:col>
      <xdr:colOff>161925</xdr:colOff>
      <xdr:row>4</xdr:row>
      <xdr:rowOff>32331</xdr:rowOff>
    </xdr:to>
    <xdr:pic>
      <xdr:nvPicPr>
        <xdr:cNvPr id="2" name="Picture 1">
          <a:extLst>
            <a:ext uri="{FF2B5EF4-FFF2-40B4-BE49-F238E27FC236}">
              <a16:creationId xmlns:a16="http://schemas.microsoft.com/office/drawing/2014/main" id="{AA584DD8-B286-4FC4-A35B-5E56E88CBE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66675"/>
          <a:ext cx="3238500" cy="727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1466849</xdr:colOff>
      <xdr:row>0</xdr:row>
      <xdr:rowOff>104776</xdr:rowOff>
    </xdr:from>
    <xdr:to>
      <xdr:col>20</xdr:col>
      <xdr:colOff>409575</xdr:colOff>
      <xdr:row>31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161925</xdr:colOff>
      <xdr:row>0</xdr:row>
      <xdr:rowOff>47625</xdr:rowOff>
    </xdr:from>
    <xdr:to>
      <xdr:col>3</xdr:col>
      <xdr:colOff>828675</xdr:colOff>
      <xdr:row>4</xdr:row>
      <xdr:rowOff>13281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47625"/>
          <a:ext cx="3238500" cy="727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600074</xdr:colOff>
      <xdr:row>0</xdr:row>
      <xdr:rowOff>190499</xdr:rowOff>
    </xdr:from>
    <xdr:to>
      <xdr:col>21</xdr:col>
      <xdr:colOff>438150</xdr:colOff>
      <xdr:row>32</xdr:row>
      <xdr:rowOff>47625</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276225</xdr:colOff>
      <xdr:row>0</xdr:row>
      <xdr:rowOff>47625</xdr:rowOff>
    </xdr:from>
    <xdr:to>
      <xdr:col>4</xdr:col>
      <xdr:colOff>266700</xdr:colOff>
      <xdr:row>4</xdr:row>
      <xdr:rowOff>13281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 y="47625"/>
          <a:ext cx="3238500" cy="7276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xdr:row>
      <xdr:rowOff>123825</xdr:rowOff>
    </xdr:from>
    <xdr:to>
      <xdr:col>20</xdr:col>
      <xdr:colOff>295275</xdr:colOff>
      <xdr:row>31</xdr:row>
      <xdr:rowOff>47625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0</xdr:row>
      <xdr:rowOff>47625</xdr:rowOff>
    </xdr:from>
    <xdr:to>
      <xdr:col>3</xdr:col>
      <xdr:colOff>781050</xdr:colOff>
      <xdr:row>4</xdr:row>
      <xdr:rowOff>13281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0" y="47625"/>
          <a:ext cx="3238500" cy="7276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133350</xdr:colOff>
      <xdr:row>0</xdr:row>
      <xdr:rowOff>180973</xdr:rowOff>
    </xdr:from>
    <xdr:to>
      <xdr:col>21</xdr:col>
      <xdr:colOff>304800</xdr:colOff>
      <xdr:row>30</xdr:row>
      <xdr:rowOff>180974</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276225</xdr:colOff>
      <xdr:row>0</xdr:row>
      <xdr:rowOff>19050</xdr:rowOff>
    </xdr:from>
    <xdr:to>
      <xdr:col>3</xdr:col>
      <xdr:colOff>1019175</xdr:colOff>
      <xdr:row>3</xdr:row>
      <xdr:rowOff>175206</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225" y="19050"/>
          <a:ext cx="3238500" cy="7276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CS-CEU\NATCAN_NLCA\2024_Quarterly-reps\NLCA_data_viewer_Q4_2023_v1_FOR_PUBLICATION_without_password_prot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Acknowledgements"/>
      <sheetName val="Dashboard"/>
      <sheetName val="links"/>
      <sheetName val="data_staging"/>
      <sheetName val="lists"/>
      <sheetName val="stage4"/>
      <sheetName val="emergency"/>
      <sheetName val="stage_complete"/>
      <sheetName val="lcns"/>
      <sheetName val="nsclc_12_cure"/>
      <sheetName val="nsclc_3a_cure"/>
      <sheetName val="nsclc_3b4_sact"/>
      <sheetName val="nsclc_time_to_trt"/>
      <sheetName val="version control"/>
    </sheetNames>
    <sheetDataSet>
      <sheetData sheetId="0"/>
      <sheetData sheetId="1"/>
      <sheetData sheetId="2"/>
      <sheetData sheetId="3"/>
      <sheetData sheetId="4"/>
      <sheetData sheetId="5">
        <row r="16">
          <cell r="C16" t="str">
            <v>April 2020</v>
          </cell>
          <cell r="D16" t="str">
            <v>March 2023</v>
          </cell>
          <cell r="E16">
            <v>2020</v>
          </cell>
          <cell r="F16">
            <v>2021</v>
          </cell>
        </row>
        <row r="24">
          <cell r="C24">
            <v>2023</v>
          </cell>
          <cell r="D24" t="str">
            <v>Q4 2023</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D37"/>
  <sheetViews>
    <sheetView showGridLines="0" showRowColHeaders="0" tabSelected="1" workbookViewId="0"/>
  </sheetViews>
  <sheetFormatPr defaultRowHeight="15" x14ac:dyDescent="0.25"/>
  <cols>
    <col min="1" max="1" width="4.5703125" customWidth="1"/>
    <col min="2" max="2" width="8.140625" customWidth="1"/>
    <col min="3" max="3" width="72.140625" customWidth="1"/>
    <col min="4" max="4" width="10.7109375" bestFit="1" customWidth="1"/>
  </cols>
  <sheetData>
    <row r="5" spans="3:4" ht="12" customHeight="1" x14ac:dyDescent="0.25"/>
    <row r="6" spans="3:4" ht="21" x14ac:dyDescent="0.35">
      <c r="C6" s="19" t="s">
        <v>391</v>
      </c>
    </row>
    <row r="8" spans="3:4" ht="18.75" x14ac:dyDescent="0.3">
      <c r="C8" s="6" t="s">
        <v>392</v>
      </c>
    </row>
    <row r="10" spans="3:4" ht="60" x14ac:dyDescent="0.25">
      <c r="C10" s="5" t="s">
        <v>163</v>
      </c>
    </row>
    <row r="11" spans="3:4" x14ac:dyDescent="0.25">
      <c r="C11" s="5"/>
    </row>
    <row r="12" spans="3:4" ht="150" x14ac:dyDescent="0.25">
      <c r="C12" s="5" t="s">
        <v>422</v>
      </c>
    </row>
    <row r="13" spans="3:4" ht="30" x14ac:dyDescent="0.25">
      <c r="C13" s="27" t="s">
        <v>548</v>
      </c>
    </row>
    <row r="14" spans="3:4" x14ac:dyDescent="0.25">
      <c r="C14" s="5"/>
    </row>
    <row r="15" spans="3:4" x14ac:dyDescent="0.25">
      <c r="C15" s="20" t="s">
        <v>449</v>
      </c>
      <c r="D15" s="23">
        <v>45341</v>
      </c>
    </row>
    <row r="16" spans="3:4" x14ac:dyDescent="0.25">
      <c r="C16" s="21" t="s">
        <v>450</v>
      </c>
      <c r="D16" s="23">
        <v>45365</v>
      </c>
    </row>
    <row r="18" spans="2:3" x14ac:dyDescent="0.25">
      <c r="C18" s="5"/>
    </row>
    <row r="19" spans="2:3" ht="18.75" x14ac:dyDescent="0.3">
      <c r="C19" s="8" t="s">
        <v>160</v>
      </c>
    </row>
    <row r="21" spans="2:3" ht="15.75" x14ac:dyDescent="0.25">
      <c r="B21" s="1"/>
      <c r="C21" t="s">
        <v>161</v>
      </c>
    </row>
    <row r="23" spans="2:3" ht="30" x14ac:dyDescent="0.25">
      <c r="B23" s="7"/>
      <c r="C23" s="5" t="s">
        <v>162</v>
      </c>
    </row>
    <row r="25" spans="2:3" ht="15.75" thickBot="1" x14ac:dyDescent="0.3">
      <c r="B25" s="17" t="s">
        <v>362</v>
      </c>
      <c r="C25" s="17" t="s">
        <v>363</v>
      </c>
    </row>
    <row r="26" spans="2:3" x14ac:dyDescent="0.25">
      <c r="B26" t="s">
        <v>365</v>
      </c>
      <c r="C26" t="s">
        <v>451</v>
      </c>
    </row>
    <row r="27" spans="2:3" x14ac:dyDescent="0.25">
      <c r="B27" t="s">
        <v>386</v>
      </c>
      <c r="C27" t="s">
        <v>387</v>
      </c>
    </row>
    <row r="28" spans="2:3" x14ac:dyDescent="0.25">
      <c r="B28" t="s">
        <v>366</v>
      </c>
      <c r="C28" s="5" t="s">
        <v>452</v>
      </c>
    </row>
    <row r="29" spans="2:3" x14ac:dyDescent="0.25">
      <c r="B29" t="s">
        <v>125</v>
      </c>
      <c r="C29" t="s">
        <v>427</v>
      </c>
    </row>
    <row r="30" spans="2:3" x14ac:dyDescent="0.25">
      <c r="B30" t="s">
        <v>206</v>
      </c>
      <c r="C30" t="s">
        <v>428</v>
      </c>
    </row>
    <row r="31" spans="2:3" x14ac:dyDescent="0.25">
      <c r="B31" t="s">
        <v>364</v>
      </c>
      <c r="C31" t="s">
        <v>429</v>
      </c>
    </row>
    <row r="32" spans="2:3" x14ac:dyDescent="0.25">
      <c r="B32" t="s">
        <v>207</v>
      </c>
      <c r="C32" t="s">
        <v>430</v>
      </c>
    </row>
    <row r="33" spans="2:3" x14ac:dyDescent="0.25">
      <c r="B33" t="s">
        <v>423</v>
      </c>
      <c r="C33" t="s">
        <v>549</v>
      </c>
    </row>
    <row r="34" spans="2:3" x14ac:dyDescent="0.25">
      <c r="B34" t="s">
        <v>424</v>
      </c>
      <c r="C34" t="s">
        <v>550</v>
      </c>
    </row>
    <row r="35" spans="2:3" x14ac:dyDescent="0.25">
      <c r="B35" t="s">
        <v>425</v>
      </c>
      <c r="C35" t="s">
        <v>551</v>
      </c>
    </row>
    <row r="36" spans="2:3" x14ac:dyDescent="0.25">
      <c r="B36" t="s">
        <v>561</v>
      </c>
      <c r="C36" t="s">
        <v>562</v>
      </c>
    </row>
    <row r="37" spans="2:3" ht="15.75" thickBot="1" x14ac:dyDescent="0.3">
      <c r="B37" s="17" t="s">
        <v>441</v>
      </c>
      <c r="C37" s="17" t="s">
        <v>442</v>
      </c>
    </row>
  </sheetData>
  <sheetProtection algorithmName="SHA-512" hashValue="ci5Gffdh2ol4/1YlqDPusiT+Zim67vLyNilZBbTaAH1b/n7r3olQbhkdzh5GR7vDWvv/WUTtJ2FgwaxarhajGQ==" saltValue="k1v/7btsDWxTwTxFmosOfA=="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CB67"/>
  <sheetViews>
    <sheetView topLeftCell="BM1" workbookViewId="0">
      <selection activeCell="CB6" sqref="CB6"/>
    </sheetView>
  </sheetViews>
  <sheetFormatPr defaultRowHeight="15" x14ac:dyDescent="0.25"/>
  <cols>
    <col min="1" max="1" width="61" bestFit="1" customWidth="1"/>
    <col min="2" max="2" width="10.140625" bestFit="1" customWidth="1"/>
    <col min="3" max="3" width="14.28515625" bestFit="1" customWidth="1"/>
    <col min="4" max="4" width="14.42578125" bestFit="1" customWidth="1"/>
    <col min="5" max="5" width="14.28515625" bestFit="1" customWidth="1"/>
    <col min="6" max="6" width="23.140625" bestFit="1" customWidth="1"/>
    <col min="7" max="7" width="18.5703125" bestFit="1" customWidth="1"/>
    <col min="8" max="8" width="21.140625" style="4" bestFit="1" customWidth="1"/>
    <col min="9" max="9" width="14.28515625" bestFit="1" customWidth="1"/>
    <col min="10" max="10" width="14.42578125" bestFit="1" customWidth="1"/>
    <col min="11" max="11" width="14.28515625" bestFit="1" customWidth="1"/>
    <col min="12" max="12" width="23.140625" bestFit="1" customWidth="1"/>
    <col min="13" max="13" width="18.5703125" bestFit="1" customWidth="1"/>
    <col min="14" max="14" width="21.140625" style="4" bestFit="1" customWidth="1"/>
    <col min="15" max="15" width="14.28515625" bestFit="1" customWidth="1"/>
    <col min="16" max="16" width="14.42578125" bestFit="1" customWidth="1"/>
    <col min="17" max="17" width="14.28515625" bestFit="1" customWidth="1"/>
    <col min="18" max="18" width="23.140625" bestFit="1" customWidth="1"/>
    <col min="19" max="19" width="18.5703125" bestFit="1" customWidth="1"/>
    <col min="20" max="20" width="21.140625" style="4" bestFit="1" customWidth="1"/>
    <col min="21" max="21" width="14.28515625" bestFit="1" customWidth="1"/>
    <col min="22" max="22" width="14.42578125" bestFit="1" customWidth="1"/>
    <col min="23" max="23" width="14.28515625" bestFit="1" customWidth="1"/>
    <col min="24" max="24" width="23.140625" bestFit="1" customWidth="1"/>
    <col min="25" max="25" width="18.5703125" bestFit="1" customWidth="1"/>
    <col min="26" max="26" width="21.140625" style="4" bestFit="1" customWidth="1"/>
    <col min="27" max="27" width="14.28515625" bestFit="1" customWidth="1"/>
    <col min="28" max="28" width="14.42578125" bestFit="1" customWidth="1"/>
    <col min="29" max="29" width="14.28515625" bestFit="1" customWidth="1"/>
    <col min="30" max="30" width="23.140625" bestFit="1" customWidth="1"/>
    <col min="31" max="31" width="18.5703125" bestFit="1" customWidth="1"/>
    <col min="32" max="32" width="21.140625" style="4" bestFit="1" customWidth="1"/>
    <col min="33" max="33" width="14.28515625" bestFit="1" customWidth="1"/>
    <col min="34" max="34" width="14.42578125" bestFit="1" customWidth="1"/>
    <col min="35" max="35" width="14.28515625" bestFit="1" customWidth="1"/>
    <col min="36" max="36" width="23.140625" bestFit="1" customWidth="1"/>
    <col min="37" max="37" width="18.5703125" bestFit="1" customWidth="1"/>
    <col min="38" max="38" width="21.140625" style="4" bestFit="1" customWidth="1"/>
    <col min="39" max="39" width="14.28515625" bestFit="1" customWidth="1"/>
    <col min="40" max="40" width="14.42578125" bestFit="1" customWidth="1"/>
    <col min="41" max="41" width="14.28515625" bestFit="1" customWidth="1"/>
    <col min="42" max="42" width="23.140625" bestFit="1" customWidth="1"/>
    <col min="43" max="43" width="18.5703125" bestFit="1" customWidth="1"/>
    <col min="44" max="44" width="21.140625" style="4" bestFit="1" customWidth="1"/>
    <col min="45" max="45" width="14.28515625" bestFit="1" customWidth="1"/>
    <col min="46" max="46" width="14.42578125" bestFit="1" customWidth="1"/>
    <col min="47" max="47" width="14.28515625" bestFit="1" customWidth="1"/>
    <col min="48" max="48" width="23.140625" bestFit="1" customWidth="1"/>
    <col min="49" max="49" width="18.5703125" bestFit="1" customWidth="1"/>
    <col min="50" max="50" width="21.140625" style="4" bestFit="1" customWidth="1"/>
    <col min="51" max="51" width="14.28515625" bestFit="1" customWidth="1"/>
    <col min="52" max="52" width="14.42578125" bestFit="1" customWidth="1"/>
    <col min="53" max="53" width="14.28515625" bestFit="1" customWidth="1"/>
    <col min="54" max="54" width="23.140625" bestFit="1" customWidth="1"/>
    <col min="55" max="55" width="18.5703125" bestFit="1" customWidth="1"/>
    <col min="56" max="56" width="18.5703125" style="4" bestFit="1" customWidth="1"/>
    <col min="57" max="57" width="14.28515625" bestFit="1" customWidth="1"/>
    <col min="58" max="58" width="14.42578125" bestFit="1" customWidth="1"/>
    <col min="59" max="59" width="14.28515625" bestFit="1" customWidth="1"/>
    <col min="60" max="60" width="23.140625" bestFit="1" customWidth="1"/>
    <col min="61" max="61" width="18.5703125" bestFit="1" customWidth="1"/>
    <col min="62" max="62" width="18.5703125" style="4" bestFit="1" customWidth="1"/>
    <col min="63" max="63" width="14.28515625" bestFit="1" customWidth="1"/>
    <col min="64" max="64" width="14.42578125" bestFit="1" customWidth="1"/>
    <col min="65" max="65" width="14.28515625" bestFit="1" customWidth="1"/>
    <col min="66" max="66" width="23.140625" bestFit="1" customWidth="1"/>
    <col min="67" max="67" width="18.5703125" bestFit="1" customWidth="1"/>
    <col min="68" max="68" width="18.5703125" style="4" customWidth="1"/>
    <col min="69" max="69" width="14.28515625" bestFit="1" customWidth="1"/>
    <col min="70" max="70" width="14.42578125" bestFit="1" customWidth="1"/>
    <col min="71" max="71" width="14.28515625" bestFit="1" customWidth="1"/>
    <col min="72" max="72" width="23.140625" bestFit="1" customWidth="1"/>
    <col min="73" max="73" width="18.5703125" bestFit="1" customWidth="1"/>
    <col min="74" max="74" width="18.5703125" style="4" bestFit="1" customWidth="1"/>
    <col min="75" max="75" width="16" bestFit="1" customWidth="1"/>
    <col min="76" max="76" width="4.85546875" bestFit="1" customWidth="1"/>
    <col min="77" max="77" width="10.7109375" bestFit="1" customWidth="1"/>
    <col min="78" max="80" width="18.85546875" bestFit="1" customWidth="1"/>
  </cols>
  <sheetData>
    <row r="1" spans="1:80" x14ac:dyDescent="0.25">
      <c r="A1" s="3" t="s">
        <v>157</v>
      </c>
      <c r="B1" s="10" t="s">
        <v>118</v>
      </c>
      <c r="C1" s="11" t="s">
        <v>211</v>
      </c>
      <c r="D1" s="11" t="s">
        <v>223</v>
      </c>
      <c r="E1" s="11" t="s">
        <v>224</v>
      </c>
      <c r="F1" s="11" t="s">
        <v>225</v>
      </c>
      <c r="G1" s="11" t="s">
        <v>226</v>
      </c>
      <c r="H1" s="30" t="s">
        <v>263</v>
      </c>
      <c r="I1" s="11" t="s">
        <v>212</v>
      </c>
      <c r="J1" s="11" t="s">
        <v>227</v>
      </c>
      <c r="K1" s="11" t="s">
        <v>228</v>
      </c>
      <c r="L1" s="11" t="s">
        <v>229</v>
      </c>
      <c r="M1" s="11" t="s">
        <v>230</v>
      </c>
      <c r="N1" s="30" t="s">
        <v>264</v>
      </c>
      <c r="O1" s="11" t="s">
        <v>213</v>
      </c>
      <c r="P1" s="11" t="s">
        <v>231</v>
      </c>
      <c r="Q1" s="11" t="s">
        <v>232</v>
      </c>
      <c r="R1" s="11" t="s">
        <v>233</v>
      </c>
      <c r="S1" s="11" t="s">
        <v>234</v>
      </c>
      <c r="T1" s="30" t="s">
        <v>265</v>
      </c>
      <c r="U1" s="11" t="s">
        <v>214</v>
      </c>
      <c r="V1" s="11" t="s">
        <v>235</v>
      </c>
      <c r="W1" s="11" t="s">
        <v>236</v>
      </c>
      <c r="X1" s="11" t="s">
        <v>237</v>
      </c>
      <c r="Y1" s="11" t="s">
        <v>238</v>
      </c>
      <c r="Z1" s="30" t="s">
        <v>266</v>
      </c>
      <c r="AA1" s="11" t="s">
        <v>215</v>
      </c>
      <c r="AB1" s="11" t="s">
        <v>239</v>
      </c>
      <c r="AC1" s="11" t="s">
        <v>240</v>
      </c>
      <c r="AD1" s="11" t="s">
        <v>241</v>
      </c>
      <c r="AE1" s="11" t="s">
        <v>242</v>
      </c>
      <c r="AF1" s="30" t="s">
        <v>267</v>
      </c>
      <c r="AG1" s="11" t="s">
        <v>216</v>
      </c>
      <c r="AH1" s="11" t="s">
        <v>243</v>
      </c>
      <c r="AI1" s="11" t="s">
        <v>244</v>
      </c>
      <c r="AJ1" s="11" t="s">
        <v>245</v>
      </c>
      <c r="AK1" s="11" t="s">
        <v>246</v>
      </c>
      <c r="AL1" s="30" t="s">
        <v>268</v>
      </c>
      <c r="AM1" s="11" t="s">
        <v>217</v>
      </c>
      <c r="AN1" s="11" t="s">
        <v>247</v>
      </c>
      <c r="AO1" s="11" t="s">
        <v>248</v>
      </c>
      <c r="AP1" s="11" t="s">
        <v>249</v>
      </c>
      <c r="AQ1" s="11" t="s">
        <v>250</v>
      </c>
      <c r="AR1" s="30" t="s">
        <v>269</v>
      </c>
      <c r="AS1" s="11" t="s">
        <v>218</v>
      </c>
      <c r="AT1" s="11" t="s">
        <v>251</v>
      </c>
      <c r="AU1" s="11" t="s">
        <v>252</v>
      </c>
      <c r="AV1" s="11" t="s">
        <v>253</v>
      </c>
      <c r="AW1" s="11" t="s">
        <v>254</v>
      </c>
      <c r="AX1" s="30" t="s">
        <v>270</v>
      </c>
      <c r="AY1" s="11" t="s">
        <v>219</v>
      </c>
      <c r="AZ1" s="11" t="s">
        <v>255</v>
      </c>
      <c r="BA1" s="11" t="s">
        <v>256</v>
      </c>
      <c r="BB1" s="11" t="s">
        <v>257</v>
      </c>
      <c r="BC1" s="11" t="s">
        <v>258</v>
      </c>
      <c r="BD1" s="30" t="s">
        <v>258</v>
      </c>
      <c r="BE1" s="11" t="s">
        <v>220</v>
      </c>
      <c r="BF1" s="11" t="s">
        <v>259</v>
      </c>
      <c r="BG1" s="11" t="s">
        <v>260</v>
      </c>
      <c r="BH1" s="11" t="s">
        <v>261</v>
      </c>
      <c r="BI1" s="11" t="s">
        <v>262</v>
      </c>
      <c r="BJ1" s="30" t="s">
        <v>262</v>
      </c>
      <c r="BK1" s="11" t="s">
        <v>469</v>
      </c>
      <c r="BL1" s="11" t="s">
        <v>470</v>
      </c>
      <c r="BM1" s="11" t="s">
        <v>471</v>
      </c>
      <c r="BN1" s="11" t="s">
        <v>472</v>
      </c>
      <c r="BO1" s="11" t="s">
        <v>473</v>
      </c>
      <c r="BP1" s="30" t="s">
        <v>473</v>
      </c>
      <c r="BQ1" s="11" t="s">
        <v>474</v>
      </c>
      <c r="BR1" s="11" t="s">
        <v>475</v>
      </c>
      <c r="BS1" s="11" t="s">
        <v>476</v>
      </c>
      <c r="BT1" s="11" t="s">
        <v>477</v>
      </c>
      <c r="BU1" s="11" t="s">
        <v>478</v>
      </c>
      <c r="BV1" s="30" t="s">
        <v>478</v>
      </c>
      <c r="BW1" s="9" t="s">
        <v>525</v>
      </c>
      <c r="BX1" s="9" t="s">
        <v>529</v>
      </c>
      <c r="BY1" s="9" t="s">
        <v>530</v>
      </c>
      <c r="BZ1" s="9" t="s">
        <v>541</v>
      </c>
      <c r="CA1" s="9" t="s">
        <v>542</v>
      </c>
      <c r="CB1" s="9" t="s">
        <v>543</v>
      </c>
    </row>
    <row r="2" spans="1:80" x14ac:dyDescent="0.25">
      <c r="A2" s="2" t="s">
        <v>127</v>
      </c>
      <c r="B2" s="13" t="s">
        <v>26</v>
      </c>
      <c r="C2">
        <v>3</v>
      </c>
      <c r="D2">
        <v>0</v>
      </c>
      <c r="E2">
        <v>3</v>
      </c>
      <c r="F2">
        <v>3</v>
      </c>
      <c r="G2">
        <v>2</v>
      </c>
      <c r="H2" s="4">
        <v>0.66666669999999995</v>
      </c>
      <c r="I2">
        <v>7</v>
      </c>
      <c r="J2">
        <v>0</v>
      </c>
      <c r="K2">
        <v>7</v>
      </c>
      <c r="L2">
        <v>7</v>
      </c>
      <c r="M2">
        <v>4</v>
      </c>
      <c r="N2" s="4">
        <v>0.57142859999999995</v>
      </c>
      <c r="O2">
        <v>4</v>
      </c>
      <c r="P2">
        <v>0</v>
      </c>
      <c r="Q2">
        <v>4</v>
      </c>
      <c r="R2">
        <v>4</v>
      </c>
      <c r="S2">
        <v>1</v>
      </c>
      <c r="T2" s="4">
        <v>0.25</v>
      </c>
      <c r="U2">
        <v>6</v>
      </c>
      <c r="V2">
        <v>2</v>
      </c>
      <c r="W2">
        <v>4</v>
      </c>
      <c r="X2">
        <v>5</v>
      </c>
      <c r="Y2">
        <v>2</v>
      </c>
      <c r="Z2" s="4">
        <v>0.4</v>
      </c>
      <c r="AA2">
        <v>3</v>
      </c>
      <c r="AB2">
        <v>0</v>
      </c>
      <c r="AC2">
        <v>3</v>
      </c>
      <c r="AD2">
        <v>3</v>
      </c>
      <c r="AE2">
        <v>2</v>
      </c>
      <c r="AF2" s="4">
        <v>0.66666669999999995</v>
      </c>
      <c r="AG2">
        <v>5</v>
      </c>
      <c r="AH2">
        <v>0</v>
      </c>
      <c r="AI2">
        <v>5</v>
      </c>
      <c r="AJ2">
        <v>5</v>
      </c>
      <c r="AK2">
        <v>4</v>
      </c>
      <c r="AL2" s="4">
        <v>0.8</v>
      </c>
      <c r="AM2">
        <v>10</v>
      </c>
      <c r="AN2">
        <v>0</v>
      </c>
      <c r="AO2">
        <v>10</v>
      </c>
      <c r="AP2">
        <v>9</v>
      </c>
      <c r="AQ2">
        <v>2</v>
      </c>
      <c r="AR2" s="4">
        <v>0.22222220000000001</v>
      </c>
      <c r="AS2">
        <v>5</v>
      </c>
      <c r="AT2">
        <v>0</v>
      </c>
      <c r="AU2">
        <v>5</v>
      </c>
      <c r="AV2">
        <v>5</v>
      </c>
      <c r="AW2">
        <v>1</v>
      </c>
      <c r="AX2" s="4">
        <v>0.2</v>
      </c>
      <c r="AY2">
        <v>3</v>
      </c>
      <c r="AZ2">
        <v>0</v>
      </c>
      <c r="BA2">
        <v>3</v>
      </c>
      <c r="BB2">
        <v>3</v>
      </c>
      <c r="BC2">
        <v>0</v>
      </c>
      <c r="BD2" s="4">
        <v>0</v>
      </c>
      <c r="BE2">
        <v>4</v>
      </c>
      <c r="BF2">
        <v>0</v>
      </c>
      <c r="BG2">
        <v>4</v>
      </c>
      <c r="BH2">
        <v>4</v>
      </c>
      <c r="BI2">
        <v>3</v>
      </c>
      <c r="BJ2" s="4">
        <v>0.75</v>
      </c>
      <c r="BK2">
        <v>3</v>
      </c>
      <c r="BL2">
        <v>1</v>
      </c>
      <c r="BM2">
        <v>2</v>
      </c>
      <c r="BN2">
        <v>1</v>
      </c>
      <c r="BO2">
        <v>0</v>
      </c>
      <c r="BP2" s="4">
        <v>0</v>
      </c>
      <c r="BQ2">
        <v>11</v>
      </c>
      <c r="BR2">
        <v>0</v>
      </c>
      <c r="BS2">
        <v>11</v>
      </c>
      <c r="BT2">
        <v>11</v>
      </c>
      <c r="BU2">
        <v>3</v>
      </c>
      <c r="BV2" s="4">
        <v>0.27272730000000001</v>
      </c>
      <c r="BW2" t="s">
        <v>526</v>
      </c>
      <c r="BX2" t="s">
        <v>514</v>
      </c>
      <c r="BY2" t="str">
        <f>BX2&amp;" "&amp;BW2</f>
        <v>Proportion of Patients Receiving Surgery Within 8 Weeks of Assessment England</v>
      </c>
      <c r="BZ2" s="4">
        <v>0.35568645219755324</v>
      </c>
      <c r="CA2" s="4">
        <v>0.31385281385281383</v>
      </c>
      <c r="CB2" s="4">
        <v>0.32277397260273971</v>
      </c>
    </row>
    <row r="3" spans="1:80" x14ac:dyDescent="0.25">
      <c r="A3" s="2" t="s">
        <v>8</v>
      </c>
      <c r="B3" s="13" t="s">
        <v>7</v>
      </c>
      <c r="C3">
        <v>9</v>
      </c>
      <c r="D3">
        <v>2</v>
      </c>
      <c r="E3">
        <v>7</v>
      </c>
      <c r="F3">
        <v>9</v>
      </c>
      <c r="G3">
        <v>1</v>
      </c>
      <c r="H3" s="4">
        <v>0.1111111</v>
      </c>
      <c r="I3">
        <v>3</v>
      </c>
      <c r="J3">
        <v>2</v>
      </c>
      <c r="K3">
        <v>1</v>
      </c>
      <c r="L3">
        <v>3</v>
      </c>
      <c r="M3">
        <v>1</v>
      </c>
      <c r="N3" s="4">
        <v>0.3333333</v>
      </c>
      <c r="O3">
        <v>0</v>
      </c>
      <c r="P3">
        <v>0</v>
      </c>
      <c r="Q3">
        <v>0</v>
      </c>
      <c r="R3">
        <v>0</v>
      </c>
      <c r="S3">
        <v>0</v>
      </c>
      <c r="T3" s="4" t="s">
        <v>122</v>
      </c>
      <c r="U3">
        <v>7</v>
      </c>
      <c r="V3">
        <v>4</v>
      </c>
      <c r="W3">
        <v>3</v>
      </c>
      <c r="X3">
        <v>4</v>
      </c>
      <c r="Y3">
        <v>1</v>
      </c>
      <c r="Z3" s="4">
        <v>0.25</v>
      </c>
      <c r="AA3">
        <v>0</v>
      </c>
      <c r="AB3">
        <v>0</v>
      </c>
      <c r="AC3">
        <v>0</v>
      </c>
      <c r="AD3">
        <v>0</v>
      </c>
      <c r="AE3">
        <v>0</v>
      </c>
      <c r="AF3" s="4" t="s">
        <v>122</v>
      </c>
      <c r="AG3">
        <v>0</v>
      </c>
      <c r="AH3">
        <v>0</v>
      </c>
      <c r="AI3">
        <v>0</v>
      </c>
      <c r="AJ3">
        <v>0</v>
      </c>
      <c r="AK3">
        <v>0</v>
      </c>
      <c r="AL3" s="4" t="s">
        <v>122</v>
      </c>
      <c r="AM3">
        <v>6</v>
      </c>
      <c r="AN3">
        <v>3</v>
      </c>
      <c r="AO3">
        <v>3</v>
      </c>
      <c r="AP3">
        <v>4</v>
      </c>
      <c r="AQ3">
        <v>0</v>
      </c>
      <c r="AR3" s="4">
        <v>0</v>
      </c>
      <c r="AS3">
        <v>6</v>
      </c>
      <c r="AT3">
        <v>1</v>
      </c>
      <c r="AU3">
        <v>5</v>
      </c>
      <c r="AV3">
        <v>5</v>
      </c>
      <c r="AW3">
        <v>3</v>
      </c>
      <c r="AX3" s="4">
        <v>0.6</v>
      </c>
      <c r="AY3">
        <v>3</v>
      </c>
      <c r="AZ3">
        <v>1</v>
      </c>
      <c r="BA3">
        <v>2</v>
      </c>
      <c r="BB3">
        <v>0</v>
      </c>
      <c r="BC3">
        <v>0</v>
      </c>
      <c r="BD3" s="4" t="s">
        <v>122</v>
      </c>
      <c r="BE3">
        <v>7</v>
      </c>
      <c r="BF3">
        <v>5</v>
      </c>
      <c r="BG3">
        <v>2</v>
      </c>
      <c r="BH3">
        <v>6</v>
      </c>
      <c r="BI3">
        <v>1</v>
      </c>
      <c r="BJ3" s="4">
        <v>0.1666667</v>
      </c>
      <c r="BK3">
        <v>4</v>
      </c>
      <c r="BL3">
        <v>2</v>
      </c>
      <c r="BM3">
        <v>2</v>
      </c>
      <c r="BN3">
        <v>3</v>
      </c>
      <c r="BO3">
        <v>0</v>
      </c>
      <c r="BP3" s="4">
        <v>0</v>
      </c>
      <c r="BQ3">
        <v>5</v>
      </c>
      <c r="BR3">
        <v>5</v>
      </c>
      <c r="BS3">
        <v>0</v>
      </c>
      <c r="BT3">
        <v>4</v>
      </c>
      <c r="BU3">
        <v>1</v>
      </c>
      <c r="BV3" s="4">
        <v>0.25</v>
      </c>
      <c r="BW3" t="s">
        <v>526</v>
      </c>
      <c r="BX3" t="s">
        <v>514</v>
      </c>
      <c r="BY3" t="str">
        <f t="shared" ref="BY3:BY66" si="0">BX3&amp;" "&amp;BW3</f>
        <v>Proportion of Patients Receiving Surgery Within 8 Weeks of Assessment England</v>
      </c>
      <c r="BZ3" s="4">
        <v>0.35568645219755324</v>
      </c>
      <c r="CA3" s="4">
        <v>0.31385281385281383</v>
      </c>
      <c r="CB3" s="4">
        <v>0.32277397260273971</v>
      </c>
    </row>
    <row r="4" spans="1:80" x14ac:dyDescent="0.25">
      <c r="A4" s="2" t="s">
        <v>152</v>
      </c>
      <c r="B4" s="13" t="s">
        <v>151</v>
      </c>
      <c r="C4">
        <v>14</v>
      </c>
      <c r="D4">
        <v>1</v>
      </c>
      <c r="E4">
        <v>13</v>
      </c>
      <c r="F4">
        <v>14</v>
      </c>
      <c r="G4">
        <v>3</v>
      </c>
      <c r="H4" s="4">
        <v>0.2142857</v>
      </c>
      <c r="I4">
        <v>12</v>
      </c>
      <c r="J4">
        <v>0</v>
      </c>
      <c r="K4">
        <v>12</v>
      </c>
      <c r="L4">
        <v>12</v>
      </c>
      <c r="M4">
        <v>5</v>
      </c>
      <c r="N4" s="4">
        <v>0.4166667</v>
      </c>
      <c r="O4">
        <v>11</v>
      </c>
      <c r="P4">
        <v>0</v>
      </c>
      <c r="Q4">
        <v>11</v>
      </c>
      <c r="R4">
        <v>11</v>
      </c>
      <c r="S4">
        <v>4</v>
      </c>
      <c r="T4" s="4">
        <v>0.36363640000000003</v>
      </c>
      <c r="U4">
        <v>16</v>
      </c>
      <c r="V4">
        <v>2</v>
      </c>
      <c r="W4">
        <v>14</v>
      </c>
      <c r="X4">
        <v>16</v>
      </c>
      <c r="Y4">
        <v>6</v>
      </c>
      <c r="Z4" s="4">
        <v>0.375</v>
      </c>
      <c r="AA4">
        <v>11</v>
      </c>
      <c r="AB4">
        <v>0</v>
      </c>
      <c r="AC4">
        <v>11</v>
      </c>
      <c r="AD4">
        <v>11</v>
      </c>
      <c r="AE4">
        <v>5</v>
      </c>
      <c r="AF4" s="4">
        <v>0.45454549999999999</v>
      </c>
      <c r="AG4">
        <v>13</v>
      </c>
      <c r="AH4">
        <v>1</v>
      </c>
      <c r="AI4">
        <v>12</v>
      </c>
      <c r="AJ4">
        <v>13</v>
      </c>
      <c r="AK4">
        <v>6</v>
      </c>
      <c r="AL4" s="4">
        <v>0.46153850000000002</v>
      </c>
      <c r="AM4">
        <v>11</v>
      </c>
      <c r="AN4">
        <v>3</v>
      </c>
      <c r="AO4">
        <v>8</v>
      </c>
      <c r="AP4">
        <v>11</v>
      </c>
      <c r="AQ4">
        <v>5</v>
      </c>
      <c r="AR4" s="4">
        <v>0.45454549999999999</v>
      </c>
      <c r="AS4">
        <v>9</v>
      </c>
      <c r="AT4">
        <v>0</v>
      </c>
      <c r="AU4">
        <v>9</v>
      </c>
      <c r="AV4">
        <v>9</v>
      </c>
      <c r="AW4">
        <v>3</v>
      </c>
      <c r="AX4" s="4">
        <v>0.3333333</v>
      </c>
      <c r="AY4">
        <v>15</v>
      </c>
      <c r="AZ4">
        <v>2</v>
      </c>
      <c r="BA4">
        <v>13</v>
      </c>
      <c r="BB4">
        <v>15</v>
      </c>
      <c r="BC4">
        <v>10</v>
      </c>
      <c r="BD4" s="4">
        <v>0.66666669999999995</v>
      </c>
      <c r="BE4">
        <v>6</v>
      </c>
      <c r="BF4">
        <v>0</v>
      </c>
      <c r="BG4">
        <v>6</v>
      </c>
      <c r="BH4">
        <v>6</v>
      </c>
      <c r="BI4">
        <v>2</v>
      </c>
      <c r="BJ4" s="4">
        <v>0.3333333</v>
      </c>
      <c r="BK4">
        <v>5</v>
      </c>
      <c r="BL4">
        <v>3</v>
      </c>
      <c r="BM4">
        <v>2</v>
      </c>
      <c r="BN4">
        <v>5</v>
      </c>
      <c r="BO4">
        <v>5</v>
      </c>
      <c r="BP4" s="4">
        <v>1</v>
      </c>
      <c r="BQ4">
        <v>13</v>
      </c>
      <c r="BR4">
        <v>1</v>
      </c>
      <c r="BS4">
        <v>12</v>
      </c>
      <c r="BT4">
        <v>13</v>
      </c>
      <c r="BU4">
        <v>2</v>
      </c>
      <c r="BV4" s="4">
        <v>0.15384619999999999</v>
      </c>
      <c r="BW4" t="s">
        <v>526</v>
      </c>
      <c r="BX4" t="s">
        <v>514</v>
      </c>
      <c r="BY4" t="str">
        <f t="shared" si="0"/>
        <v>Proportion of Patients Receiving Surgery Within 8 Weeks of Assessment England</v>
      </c>
      <c r="BZ4" s="4">
        <v>0.35568645219755324</v>
      </c>
      <c r="CA4" s="4">
        <v>0.31385281385281383</v>
      </c>
      <c r="CB4" s="4">
        <v>0.32277397260273971</v>
      </c>
    </row>
    <row r="5" spans="1:80" x14ac:dyDescent="0.25">
      <c r="A5" s="2" t="s">
        <v>117</v>
      </c>
      <c r="B5" s="13" t="s">
        <v>116</v>
      </c>
      <c r="C5">
        <v>21</v>
      </c>
      <c r="D5">
        <v>7</v>
      </c>
      <c r="E5">
        <v>14</v>
      </c>
      <c r="F5">
        <v>20</v>
      </c>
      <c r="G5">
        <v>3</v>
      </c>
      <c r="H5" s="4">
        <v>0.15</v>
      </c>
      <c r="I5">
        <v>26</v>
      </c>
      <c r="J5">
        <v>16</v>
      </c>
      <c r="K5">
        <v>10</v>
      </c>
      <c r="L5">
        <v>25</v>
      </c>
      <c r="M5">
        <v>5</v>
      </c>
      <c r="N5" s="4">
        <v>0.2</v>
      </c>
      <c r="O5">
        <v>12</v>
      </c>
      <c r="P5">
        <v>7</v>
      </c>
      <c r="Q5">
        <v>5</v>
      </c>
      <c r="R5">
        <v>12</v>
      </c>
      <c r="S5">
        <v>2</v>
      </c>
      <c r="T5" s="4">
        <v>0.1666667</v>
      </c>
      <c r="U5">
        <v>36</v>
      </c>
      <c r="V5">
        <v>17</v>
      </c>
      <c r="W5">
        <v>19</v>
      </c>
      <c r="X5">
        <v>32</v>
      </c>
      <c r="Y5">
        <v>6</v>
      </c>
      <c r="Z5" s="4">
        <v>0.1875</v>
      </c>
      <c r="AA5">
        <v>20</v>
      </c>
      <c r="AB5">
        <v>9</v>
      </c>
      <c r="AC5">
        <v>11</v>
      </c>
      <c r="AD5">
        <v>19</v>
      </c>
      <c r="AE5">
        <v>4</v>
      </c>
      <c r="AF5" s="4">
        <v>0.2105263</v>
      </c>
      <c r="AG5">
        <v>25</v>
      </c>
      <c r="AH5">
        <v>14</v>
      </c>
      <c r="AI5">
        <v>11</v>
      </c>
      <c r="AJ5">
        <v>23</v>
      </c>
      <c r="AK5">
        <v>2</v>
      </c>
      <c r="AL5" s="4">
        <v>8.6956500000000006E-2</v>
      </c>
      <c r="AM5">
        <v>19</v>
      </c>
      <c r="AN5">
        <v>11</v>
      </c>
      <c r="AO5">
        <v>8</v>
      </c>
      <c r="AP5">
        <v>19</v>
      </c>
      <c r="AQ5">
        <v>2</v>
      </c>
      <c r="AR5" s="4">
        <v>0.1052632</v>
      </c>
      <c r="AS5">
        <v>31</v>
      </c>
      <c r="AT5">
        <v>28</v>
      </c>
      <c r="AU5">
        <v>3</v>
      </c>
      <c r="AV5">
        <v>27</v>
      </c>
      <c r="AW5">
        <v>2</v>
      </c>
      <c r="AX5" s="4">
        <v>7.4074100000000004E-2</v>
      </c>
      <c r="AY5">
        <v>21</v>
      </c>
      <c r="AZ5">
        <v>18</v>
      </c>
      <c r="BA5">
        <v>3</v>
      </c>
      <c r="BB5">
        <v>17</v>
      </c>
      <c r="BC5">
        <v>3</v>
      </c>
      <c r="BD5" s="4">
        <v>0.17647060000000001</v>
      </c>
      <c r="BE5">
        <v>29</v>
      </c>
      <c r="BF5">
        <v>20</v>
      </c>
      <c r="BG5">
        <v>9</v>
      </c>
      <c r="BH5">
        <v>24</v>
      </c>
      <c r="BI5">
        <v>2</v>
      </c>
      <c r="BJ5" s="4">
        <v>8.3333299999999999E-2</v>
      </c>
      <c r="BK5">
        <v>31</v>
      </c>
      <c r="BL5">
        <v>22</v>
      </c>
      <c r="BM5">
        <v>9</v>
      </c>
      <c r="BN5">
        <v>29</v>
      </c>
      <c r="BO5">
        <v>6</v>
      </c>
      <c r="BP5" s="4">
        <v>0.20689660000000001</v>
      </c>
      <c r="BQ5">
        <v>42</v>
      </c>
      <c r="BR5">
        <v>24</v>
      </c>
      <c r="BS5">
        <v>18</v>
      </c>
      <c r="BT5">
        <v>40</v>
      </c>
      <c r="BU5">
        <v>5</v>
      </c>
      <c r="BV5" s="4">
        <v>0.125</v>
      </c>
      <c r="BW5" t="s">
        <v>531</v>
      </c>
      <c r="BX5" t="s">
        <v>514</v>
      </c>
      <c r="BY5" t="str">
        <f t="shared" si="0"/>
        <v>Proportion of Patients Receiving Surgery Within 8 Weeks of Assessment Northern Ireland</v>
      </c>
      <c r="BZ5" s="4">
        <v>0.17</v>
      </c>
      <c r="CA5" s="4">
        <v>0.11363636363636363</v>
      </c>
      <c r="CB5" s="4">
        <v>0.13</v>
      </c>
    </row>
    <row r="6" spans="1:80" x14ac:dyDescent="0.25">
      <c r="A6" s="2" t="s">
        <v>1</v>
      </c>
      <c r="B6" s="13" t="s">
        <v>0</v>
      </c>
      <c r="C6">
        <v>7</v>
      </c>
      <c r="D6">
        <v>0</v>
      </c>
      <c r="E6">
        <v>7</v>
      </c>
      <c r="F6">
        <v>7</v>
      </c>
      <c r="G6">
        <v>2</v>
      </c>
      <c r="H6" s="4">
        <v>0.28571429999999998</v>
      </c>
      <c r="I6">
        <v>23</v>
      </c>
      <c r="J6">
        <v>12</v>
      </c>
      <c r="K6">
        <v>11</v>
      </c>
      <c r="L6">
        <v>23</v>
      </c>
      <c r="M6">
        <v>9</v>
      </c>
      <c r="N6" s="4">
        <v>0.39130429999999999</v>
      </c>
      <c r="O6">
        <v>19</v>
      </c>
      <c r="P6">
        <v>2</v>
      </c>
      <c r="Q6">
        <v>17</v>
      </c>
      <c r="R6">
        <v>19</v>
      </c>
      <c r="S6">
        <v>3</v>
      </c>
      <c r="T6" s="4">
        <v>0.1578947</v>
      </c>
      <c r="U6">
        <v>9</v>
      </c>
      <c r="V6">
        <v>0</v>
      </c>
      <c r="W6">
        <v>9</v>
      </c>
      <c r="X6">
        <v>8</v>
      </c>
      <c r="Y6">
        <v>5</v>
      </c>
      <c r="Z6" s="4">
        <v>0.625</v>
      </c>
      <c r="AA6">
        <v>13</v>
      </c>
      <c r="AB6">
        <v>3</v>
      </c>
      <c r="AC6">
        <v>10</v>
      </c>
      <c r="AD6">
        <v>13</v>
      </c>
      <c r="AE6">
        <v>2</v>
      </c>
      <c r="AF6" s="4">
        <v>0.15384619999999999</v>
      </c>
      <c r="AG6">
        <v>10</v>
      </c>
      <c r="AH6">
        <v>2</v>
      </c>
      <c r="AI6">
        <v>8</v>
      </c>
      <c r="AJ6">
        <v>10</v>
      </c>
      <c r="AK6">
        <v>3</v>
      </c>
      <c r="AL6" s="4">
        <v>0.3</v>
      </c>
      <c r="AM6">
        <v>9</v>
      </c>
      <c r="AN6">
        <v>2</v>
      </c>
      <c r="AO6">
        <v>7</v>
      </c>
      <c r="AP6">
        <v>9</v>
      </c>
      <c r="AQ6">
        <v>4</v>
      </c>
      <c r="AR6" s="4">
        <v>0.44444440000000002</v>
      </c>
      <c r="AS6">
        <v>4</v>
      </c>
      <c r="AT6">
        <v>1</v>
      </c>
      <c r="AU6">
        <v>3</v>
      </c>
      <c r="AV6">
        <v>4</v>
      </c>
      <c r="AW6">
        <v>1</v>
      </c>
      <c r="AX6" s="4">
        <v>0.25</v>
      </c>
      <c r="AY6">
        <v>9</v>
      </c>
      <c r="AZ6">
        <v>0</v>
      </c>
      <c r="BA6">
        <v>9</v>
      </c>
      <c r="BB6">
        <v>8</v>
      </c>
      <c r="BC6">
        <v>3</v>
      </c>
      <c r="BD6" s="4">
        <v>0.375</v>
      </c>
      <c r="BE6">
        <v>3</v>
      </c>
      <c r="BF6">
        <v>1</v>
      </c>
      <c r="BG6">
        <v>2</v>
      </c>
      <c r="BH6">
        <v>3</v>
      </c>
      <c r="BI6">
        <v>2</v>
      </c>
      <c r="BJ6" s="4">
        <v>0.66666669999999995</v>
      </c>
      <c r="BK6">
        <v>10</v>
      </c>
      <c r="BL6">
        <v>2</v>
      </c>
      <c r="BM6">
        <v>8</v>
      </c>
      <c r="BN6">
        <v>10</v>
      </c>
      <c r="BO6">
        <v>2</v>
      </c>
      <c r="BP6" s="4">
        <v>0.2</v>
      </c>
      <c r="BQ6">
        <v>10</v>
      </c>
      <c r="BR6">
        <v>1</v>
      </c>
      <c r="BS6">
        <v>9</v>
      </c>
      <c r="BT6">
        <v>10</v>
      </c>
      <c r="BU6">
        <v>1</v>
      </c>
      <c r="BV6" s="4">
        <v>0.1</v>
      </c>
      <c r="BW6" t="s">
        <v>527</v>
      </c>
      <c r="BX6" t="s">
        <v>514</v>
      </c>
      <c r="BY6" t="str">
        <f t="shared" si="0"/>
        <v>Proportion of Patients Receiving Surgery Within 8 Weeks of Assessment Wales</v>
      </c>
      <c r="BZ6" s="4">
        <v>0.2711864406779661</v>
      </c>
      <c r="CA6" s="4">
        <v>0.17293233082706766</v>
      </c>
      <c r="CB6" s="4">
        <v>0.17910447761194029</v>
      </c>
    </row>
    <row r="7" spans="1:80" x14ac:dyDescent="0.25">
      <c r="A7" s="2" t="s">
        <v>13</v>
      </c>
      <c r="B7" s="13" t="s">
        <v>12</v>
      </c>
      <c r="C7">
        <v>1</v>
      </c>
      <c r="D7">
        <v>1</v>
      </c>
      <c r="E7">
        <v>0</v>
      </c>
      <c r="F7">
        <v>1</v>
      </c>
      <c r="G7">
        <v>1</v>
      </c>
      <c r="H7" s="4">
        <v>1</v>
      </c>
      <c r="I7">
        <v>2</v>
      </c>
      <c r="J7">
        <v>0</v>
      </c>
      <c r="K7">
        <v>2</v>
      </c>
      <c r="L7">
        <v>2</v>
      </c>
      <c r="M7">
        <v>1</v>
      </c>
      <c r="N7" s="4">
        <v>0.5</v>
      </c>
      <c r="O7">
        <v>5</v>
      </c>
      <c r="P7">
        <v>1</v>
      </c>
      <c r="Q7">
        <v>4</v>
      </c>
      <c r="R7">
        <v>5</v>
      </c>
      <c r="S7">
        <v>3</v>
      </c>
      <c r="T7" s="4">
        <v>0.6</v>
      </c>
      <c r="U7">
        <v>13</v>
      </c>
      <c r="V7">
        <v>7</v>
      </c>
      <c r="W7">
        <v>6</v>
      </c>
      <c r="X7">
        <v>13</v>
      </c>
      <c r="Y7">
        <v>2</v>
      </c>
      <c r="Z7" s="4">
        <v>0.15384619999999999</v>
      </c>
      <c r="AA7">
        <v>8</v>
      </c>
      <c r="AB7">
        <v>3</v>
      </c>
      <c r="AC7">
        <v>5</v>
      </c>
      <c r="AD7">
        <v>8</v>
      </c>
      <c r="AE7">
        <v>3</v>
      </c>
      <c r="AF7" s="4">
        <v>0.375</v>
      </c>
      <c r="AG7">
        <v>11</v>
      </c>
      <c r="AH7">
        <v>5</v>
      </c>
      <c r="AI7">
        <v>6</v>
      </c>
      <c r="AJ7">
        <v>11</v>
      </c>
      <c r="AK7">
        <v>6</v>
      </c>
      <c r="AL7" s="4">
        <v>0.54545460000000001</v>
      </c>
      <c r="AM7">
        <v>12</v>
      </c>
      <c r="AN7">
        <v>5</v>
      </c>
      <c r="AO7">
        <v>7</v>
      </c>
      <c r="AP7">
        <v>11</v>
      </c>
      <c r="AQ7">
        <v>8</v>
      </c>
      <c r="AR7" s="4">
        <v>0.72727269999999999</v>
      </c>
      <c r="AS7">
        <v>9</v>
      </c>
      <c r="AT7">
        <v>2</v>
      </c>
      <c r="AU7">
        <v>7</v>
      </c>
      <c r="AV7">
        <v>9</v>
      </c>
      <c r="AW7">
        <v>6</v>
      </c>
      <c r="AX7" s="4">
        <v>0.66666669999999995</v>
      </c>
      <c r="AY7">
        <v>13</v>
      </c>
      <c r="AZ7">
        <v>6</v>
      </c>
      <c r="BA7">
        <v>7</v>
      </c>
      <c r="BB7">
        <v>12</v>
      </c>
      <c r="BC7">
        <v>9</v>
      </c>
      <c r="BD7" s="4">
        <v>0.75</v>
      </c>
      <c r="BE7">
        <v>16</v>
      </c>
      <c r="BF7">
        <v>8</v>
      </c>
      <c r="BG7">
        <v>8</v>
      </c>
      <c r="BH7">
        <v>16</v>
      </c>
      <c r="BI7">
        <v>6</v>
      </c>
      <c r="BJ7" s="4">
        <v>0.375</v>
      </c>
      <c r="BK7">
        <v>6</v>
      </c>
      <c r="BL7">
        <v>0</v>
      </c>
      <c r="BM7">
        <v>6</v>
      </c>
      <c r="BN7">
        <v>6</v>
      </c>
      <c r="BO7">
        <v>2</v>
      </c>
      <c r="BP7" s="4">
        <v>0.3333333</v>
      </c>
      <c r="BQ7">
        <v>9</v>
      </c>
      <c r="BR7">
        <v>6</v>
      </c>
      <c r="BS7">
        <v>3</v>
      </c>
      <c r="BT7">
        <v>8</v>
      </c>
      <c r="BU7">
        <v>6</v>
      </c>
      <c r="BV7" s="4">
        <v>0.75</v>
      </c>
      <c r="BW7" t="s">
        <v>526</v>
      </c>
      <c r="BX7" t="s">
        <v>514</v>
      </c>
      <c r="BY7" t="str">
        <f t="shared" si="0"/>
        <v>Proportion of Patients Receiving Surgery Within 8 Weeks of Assessment England</v>
      </c>
      <c r="BZ7" s="4">
        <v>0.35568645219755324</v>
      </c>
      <c r="CA7" s="4">
        <v>0.31385281385281383</v>
      </c>
      <c r="CB7" s="4">
        <v>0.32277397260273971</v>
      </c>
    </row>
    <row r="8" spans="1:80" x14ac:dyDescent="0.25">
      <c r="A8" s="2" t="s">
        <v>30</v>
      </c>
      <c r="B8" s="13" t="s">
        <v>29</v>
      </c>
      <c r="C8">
        <v>14</v>
      </c>
      <c r="D8">
        <v>6</v>
      </c>
      <c r="E8">
        <v>8</v>
      </c>
      <c r="F8">
        <v>12</v>
      </c>
      <c r="G8">
        <v>2</v>
      </c>
      <c r="H8" s="4">
        <v>0.1666667</v>
      </c>
      <c r="I8">
        <v>16</v>
      </c>
      <c r="J8">
        <v>6</v>
      </c>
      <c r="K8">
        <v>10</v>
      </c>
      <c r="L8">
        <v>11</v>
      </c>
      <c r="M8">
        <v>6</v>
      </c>
      <c r="N8" s="4">
        <v>0.54545460000000001</v>
      </c>
      <c r="O8">
        <v>5</v>
      </c>
      <c r="P8">
        <v>3</v>
      </c>
      <c r="Q8">
        <v>2</v>
      </c>
      <c r="R8">
        <v>3</v>
      </c>
      <c r="S8">
        <v>0</v>
      </c>
      <c r="T8" s="4">
        <v>0</v>
      </c>
      <c r="U8">
        <v>33</v>
      </c>
      <c r="V8">
        <v>23</v>
      </c>
      <c r="W8">
        <v>10</v>
      </c>
      <c r="X8">
        <v>24</v>
      </c>
      <c r="Y8">
        <v>4</v>
      </c>
      <c r="Z8" s="4">
        <v>0.1666667</v>
      </c>
      <c r="AA8">
        <v>24</v>
      </c>
      <c r="AB8">
        <v>12</v>
      </c>
      <c r="AC8">
        <v>12</v>
      </c>
      <c r="AD8">
        <v>18</v>
      </c>
      <c r="AE8">
        <v>3</v>
      </c>
      <c r="AF8" s="4">
        <v>0.1666667</v>
      </c>
      <c r="AG8">
        <v>10</v>
      </c>
      <c r="AH8">
        <v>6</v>
      </c>
      <c r="AI8">
        <v>4</v>
      </c>
      <c r="AJ8">
        <v>10</v>
      </c>
      <c r="AK8">
        <v>1</v>
      </c>
      <c r="AL8" s="4">
        <v>0.1</v>
      </c>
      <c r="AM8">
        <v>14</v>
      </c>
      <c r="AN8">
        <v>9</v>
      </c>
      <c r="AO8">
        <v>5</v>
      </c>
      <c r="AP8">
        <v>12</v>
      </c>
      <c r="AQ8">
        <v>6</v>
      </c>
      <c r="AR8" s="4">
        <v>0.5</v>
      </c>
      <c r="AS8">
        <v>11</v>
      </c>
      <c r="AT8">
        <v>6</v>
      </c>
      <c r="AU8">
        <v>5</v>
      </c>
      <c r="AV8">
        <v>8</v>
      </c>
      <c r="AW8">
        <v>1</v>
      </c>
      <c r="AX8" s="4">
        <v>0.125</v>
      </c>
      <c r="AY8">
        <v>21</v>
      </c>
      <c r="AZ8">
        <v>13</v>
      </c>
      <c r="BA8">
        <v>8</v>
      </c>
      <c r="BB8">
        <v>19</v>
      </c>
      <c r="BC8">
        <v>2</v>
      </c>
      <c r="BD8" s="4">
        <v>0.1052632</v>
      </c>
      <c r="BE8">
        <v>22</v>
      </c>
      <c r="BF8">
        <v>14</v>
      </c>
      <c r="BG8">
        <v>8</v>
      </c>
      <c r="BH8">
        <v>17</v>
      </c>
      <c r="BI8">
        <v>6</v>
      </c>
      <c r="BJ8" s="4">
        <v>0.35294120000000001</v>
      </c>
      <c r="BK8">
        <v>15</v>
      </c>
      <c r="BL8">
        <v>10</v>
      </c>
      <c r="BM8">
        <v>5</v>
      </c>
      <c r="BN8">
        <v>14</v>
      </c>
      <c r="BO8">
        <v>1</v>
      </c>
      <c r="BP8" s="4">
        <v>7.1428599999999995E-2</v>
      </c>
      <c r="BQ8">
        <v>17</v>
      </c>
      <c r="BR8">
        <v>8</v>
      </c>
      <c r="BS8">
        <v>9</v>
      </c>
      <c r="BT8">
        <v>15</v>
      </c>
      <c r="BU8">
        <v>1</v>
      </c>
      <c r="BV8" s="4">
        <v>6.6666699999999995E-2</v>
      </c>
      <c r="BW8" t="s">
        <v>526</v>
      </c>
      <c r="BX8" t="s">
        <v>514</v>
      </c>
      <c r="BY8" t="str">
        <f t="shared" si="0"/>
        <v>Proportion of Patients Receiving Surgery Within 8 Weeks of Assessment England</v>
      </c>
      <c r="BZ8" s="4">
        <v>0.35568645219755324</v>
      </c>
      <c r="CA8" s="4">
        <v>0.31385281385281383</v>
      </c>
      <c r="CB8" s="4">
        <v>0.32277397260273971</v>
      </c>
    </row>
    <row r="9" spans="1:80" x14ac:dyDescent="0.25">
      <c r="A9" s="2" t="s">
        <v>4</v>
      </c>
      <c r="B9" s="13" t="s">
        <v>3</v>
      </c>
      <c r="C9">
        <v>2</v>
      </c>
      <c r="D9">
        <v>0</v>
      </c>
      <c r="E9">
        <v>2</v>
      </c>
      <c r="F9">
        <v>2</v>
      </c>
      <c r="G9">
        <v>1</v>
      </c>
      <c r="H9" s="4">
        <v>0.5</v>
      </c>
      <c r="I9">
        <v>6</v>
      </c>
      <c r="J9">
        <v>0</v>
      </c>
      <c r="K9">
        <v>6</v>
      </c>
      <c r="L9">
        <v>6</v>
      </c>
      <c r="M9">
        <v>2</v>
      </c>
      <c r="N9" s="4">
        <v>0.3333333</v>
      </c>
      <c r="O9">
        <v>1</v>
      </c>
      <c r="P9">
        <v>1</v>
      </c>
      <c r="Q9">
        <v>0</v>
      </c>
      <c r="R9">
        <v>1</v>
      </c>
      <c r="S9">
        <v>1</v>
      </c>
      <c r="T9" s="4">
        <v>1</v>
      </c>
      <c r="U9">
        <v>4</v>
      </c>
      <c r="V9">
        <v>2</v>
      </c>
      <c r="W9">
        <v>2</v>
      </c>
      <c r="X9">
        <v>4</v>
      </c>
      <c r="Y9">
        <v>1</v>
      </c>
      <c r="Z9" s="4">
        <v>0.25</v>
      </c>
      <c r="AA9">
        <v>7</v>
      </c>
      <c r="AB9">
        <v>4</v>
      </c>
      <c r="AC9">
        <v>3</v>
      </c>
      <c r="AD9">
        <v>7</v>
      </c>
      <c r="AE9">
        <v>2</v>
      </c>
      <c r="AF9" s="4">
        <v>0.28571429999999998</v>
      </c>
      <c r="AG9">
        <v>4</v>
      </c>
      <c r="AH9">
        <v>1</v>
      </c>
      <c r="AI9">
        <v>3</v>
      </c>
      <c r="AJ9">
        <v>4</v>
      </c>
      <c r="AK9">
        <v>2</v>
      </c>
      <c r="AL9" s="4">
        <v>0.5</v>
      </c>
      <c r="AM9">
        <v>6</v>
      </c>
      <c r="AN9">
        <v>3</v>
      </c>
      <c r="AO9">
        <v>3</v>
      </c>
      <c r="AP9">
        <v>6</v>
      </c>
      <c r="AQ9">
        <v>1</v>
      </c>
      <c r="AR9" s="4">
        <v>0.1666667</v>
      </c>
      <c r="AS9">
        <v>7</v>
      </c>
      <c r="AT9">
        <v>6</v>
      </c>
      <c r="AU9">
        <v>1</v>
      </c>
      <c r="AV9">
        <v>7</v>
      </c>
      <c r="AW9">
        <v>0</v>
      </c>
      <c r="AX9" s="4">
        <v>0</v>
      </c>
      <c r="AY9">
        <v>9</v>
      </c>
      <c r="AZ9">
        <v>8</v>
      </c>
      <c r="BA9">
        <v>1</v>
      </c>
      <c r="BB9">
        <v>8</v>
      </c>
      <c r="BC9">
        <v>2</v>
      </c>
      <c r="BD9" s="4">
        <v>0.25</v>
      </c>
      <c r="BE9">
        <v>14</v>
      </c>
      <c r="BF9">
        <v>9</v>
      </c>
      <c r="BG9">
        <v>5</v>
      </c>
      <c r="BH9">
        <v>14</v>
      </c>
      <c r="BI9">
        <v>1</v>
      </c>
      <c r="BJ9" s="4">
        <v>7.1428599999999995E-2</v>
      </c>
      <c r="BK9">
        <v>17</v>
      </c>
      <c r="BL9">
        <v>8</v>
      </c>
      <c r="BM9">
        <v>9</v>
      </c>
      <c r="BN9">
        <v>17</v>
      </c>
      <c r="BO9">
        <v>2</v>
      </c>
      <c r="BP9" s="4">
        <v>0.1176471</v>
      </c>
      <c r="BQ9">
        <v>15</v>
      </c>
      <c r="BR9">
        <v>5</v>
      </c>
      <c r="BS9">
        <v>10</v>
      </c>
      <c r="BT9">
        <v>14</v>
      </c>
      <c r="BU9">
        <v>3</v>
      </c>
      <c r="BV9" s="4">
        <v>0.2142857</v>
      </c>
      <c r="BW9" t="s">
        <v>527</v>
      </c>
      <c r="BX9" t="s">
        <v>514</v>
      </c>
      <c r="BY9" t="str">
        <f t="shared" si="0"/>
        <v>Proportion of Patients Receiving Surgery Within 8 Weeks of Assessment Wales</v>
      </c>
      <c r="BZ9" s="4">
        <v>0.2711864406779661</v>
      </c>
      <c r="CA9" s="4">
        <v>0.17293233082706766</v>
      </c>
      <c r="CB9" s="4">
        <v>0.17910447761194029</v>
      </c>
    </row>
    <row r="10" spans="1:80" x14ac:dyDescent="0.25">
      <c r="A10" s="2" t="s">
        <v>45</v>
      </c>
      <c r="B10" s="13" t="s">
        <v>44</v>
      </c>
      <c r="C10">
        <v>20</v>
      </c>
      <c r="D10">
        <v>4</v>
      </c>
      <c r="E10">
        <v>16</v>
      </c>
      <c r="F10">
        <v>19</v>
      </c>
      <c r="G10">
        <v>7</v>
      </c>
      <c r="H10" s="4">
        <v>0.368421</v>
      </c>
      <c r="I10">
        <v>16</v>
      </c>
      <c r="J10">
        <v>2</v>
      </c>
      <c r="K10">
        <v>14</v>
      </c>
      <c r="L10">
        <v>15</v>
      </c>
      <c r="M10">
        <v>5</v>
      </c>
      <c r="N10" s="4">
        <v>0.3333333</v>
      </c>
      <c r="O10">
        <v>12</v>
      </c>
      <c r="P10">
        <v>0</v>
      </c>
      <c r="Q10">
        <v>12</v>
      </c>
      <c r="R10">
        <v>12</v>
      </c>
      <c r="S10">
        <v>2</v>
      </c>
      <c r="T10" s="4">
        <v>0.1666667</v>
      </c>
      <c r="U10">
        <v>9</v>
      </c>
      <c r="V10">
        <v>3</v>
      </c>
      <c r="W10">
        <v>6</v>
      </c>
      <c r="X10">
        <v>9</v>
      </c>
      <c r="Y10">
        <v>4</v>
      </c>
      <c r="Z10" s="4">
        <v>0.44444440000000002</v>
      </c>
      <c r="AA10">
        <v>13</v>
      </c>
      <c r="AB10">
        <v>2</v>
      </c>
      <c r="AC10">
        <v>11</v>
      </c>
      <c r="AD10">
        <v>11</v>
      </c>
      <c r="AE10">
        <v>3</v>
      </c>
      <c r="AF10" s="4">
        <v>0.27272730000000001</v>
      </c>
      <c r="AG10">
        <v>17</v>
      </c>
      <c r="AH10">
        <v>1</v>
      </c>
      <c r="AI10">
        <v>16</v>
      </c>
      <c r="AJ10">
        <v>17</v>
      </c>
      <c r="AK10">
        <v>5</v>
      </c>
      <c r="AL10" s="4">
        <v>0.29411769999999998</v>
      </c>
      <c r="AM10">
        <v>12</v>
      </c>
      <c r="AN10">
        <v>2</v>
      </c>
      <c r="AO10">
        <v>10</v>
      </c>
      <c r="AP10">
        <v>12</v>
      </c>
      <c r="AQ10">
        <v>6</v>
      </c>
      <c r="AR10" s="4">
        <v>0.5</v>
      </c>
      <c r="AS10">
        <v>14</v>
      </c>
      <c r="AT10">
        <v>1</v>
      </c>
      <c r="AU10">
        <v>13</v>
      </c>
      <c r="AV10">
        <v>13</v>
      </c>
      <c r="AW10">
        <v>6</v>
      </c>
      <c r="AX10" s="4">
        <v>0.46153850000000002</v>
      </c>
      <c r="AY10">
        <v>21</v>
      </c>
      <c r="AZ10">
        <v>3</v>
      </c>
      <c r="BA10">
        <v>18</v>
      </c>
      <c r="BB10">
        <v>17</v>
      </c>
      <c r="BC10">
        <v>8</v>
      </c>
      <c r="BD10" s="4">
        <v>0.47058820000000001</v>
      </c>
      <c r="BE10">
        <v>18</v>
      </c>
      <c r="BF10">
        <v>1</v>
      </c>
      <c r="BG10">
        <v>17</v>
      </c>
      <c r="BH10">
        <v>16</v>
      </c>
      <c r="BI10">
        <v>8</v>
      </c>
      <c r="BJ10" s="4">
        <v>0.5</v>
      </c>
      <c r="BK10">
        <v>17</v>
      </c>
      <c r="BL10">
        <v>2</v>
      </c>
      <c r="BM10">
        <v>15</v>
      </c>
      <c r="BN10">
        <v>15</v>
      </c>
      <c r="BO10">
        <v>6</v>
      </c>
      <c r="BP10" s="4">
        <v>0.4</v>
      </c>
      <c r="BQ10">
        <v>16</v>
      </c>
      <c r="BR10">
        <v>2</v>
      </c>
      <c r="BS10">
        <v>14</v>
      </c>
      <c r="BT10">
        <v>13</v>
      </c>
      <c r="BU10">
        <v>7</v>
      </c>
      <c r="BV10" s="4">
        <v>0.53846159999999998</v>
      </c>
      <c r="BW10" t="s">
        <v>526</v>
      </c>
      <c r="BX10" t="s">
        <v>514</v>
      </c>
      <c r="BY10" t="str">
        <f t="shared" si="0"/>
        <v>Proportion of Patients Receiving Surgery Within 8 Weeks of Assessment England</v>
      </c>
      <c r="BZ10" s="4">
        <v>0.35568645219755324</v>
      </c>
      <c r="CA10" s="4">
        <v>0.31385281385281383</v>
      </c>
      <c r="CB10" s="4">
        <v>0.32277397260273971</v>
      </c>
    </row>
    <row r="11" spans="1:80" x14ac:dyDescent="0.25">
      <c r="A11" s="2" t="s">
        <v>128</v>
      </c>
      <c r="B11" s="13" t="s">
        <v>57</v>
      </c>
      <c r="C11">
        <v>4</v>
      </c>
      <c r="D11">
        <v>1</v>
      </c>
      <c r="E11">
        <v>3</v>
      </c>
      <c r="F11">
        <v>2</v>
      </c>
      <c r="G11">
        <v>1</v>
      </c>
      <c r="H11" s="4">
        <v>0.5</v>
      </c>
      <c r="I11">
        <v>4</v>
      </c>
      <c r="J11">
        <v>3</v>
      </c>
      <c r="K11">
        <v>1</v>
      </c>
      <c r="L11">
        <v>4</v>
      </c>
      <c r="M11">
        <v>0</v>
      </c>
      <c r="N11" s="4">
        <v>0</v>
      </c>
      <c r="O11">
        <v>1</v>
      </c>
      <c r="P11">
        <v>0</v>
      </c>
      <c r="Q11">
        <v>1</v>
      </c>
      <c r="R11">
        <v>1</v>
      </c>
      <c r="S11">
        <v>0</v>
      </c>
      <c r="T11" s="4">
        <v>0</v>
      </c>
      <c r="U11">
        <v>10</v>
      </c>
      <c r="V11">
        <v>4</v>
      </c>
      <c r="W11">
        <v>6</v>
      </c>
      <c r="X11">
        <v>6</v>
      </c>
      <c r="Y11">
        <v>3</v>
      </c>
      <c r="Z11" s="4">
        <v>0.5</v>
      </c>
      <c r="AA11">
        <v>6</v>
      </c>
      <c r="AB11">
        <v>3</v>
      </c>
      <c r="AC11">
        <v>3</v>
      </c>
      <c r="AD11">
        <v>5</v>
      </c>
      <c r="AE11">
        <v>1</v>
      </c>
      <c r="AF11" s="4">
        <v>0.2</v>
      </c>
      <c r="AG11">
        <v>8</v>
      </c>
      <c r="AH11">
        <v>2</v>
      </c>
      <c r="AI11">
        <v>6</v>
      </c>
      <c r="AJ11">
        <v>7</v>
      </c>
      <c r="AK11">
        <v>0</v>
      </c>
      <c r="AL11" s="4">
        <v>0</v>
      </c>
      <c r="AM11">
        <v>5</v>
      </c>
      <c r="AN11">
        <v>3</v>
      </c>
      <c r="AO11">
        <v>2</v>
      </c>
      <c r="AP11">
        <v>1</v>
      </c>
      <c r="AQ11">
        <v>0</v>
      </c>
      <c r="AR11" s="4">
        <v>0</v>
      </c>
      <c r="AS11">
        <v>2</v>
      </c>
      <c r="AT11">
        <v>1</v>
      </c>
      <c r="AU11">
        <v>1</v>
      </c>
      <c r="AV11">
        <v>1</v>
      </c>
      <c r="AW11">
        <v>0</v>
      </c>
      <c r="AX11" s="4">
        <v>0</v>
      </c>
      <c r="AY11">
        <v>8</v>
      </c>
      <c r="AZ11">
        <v>4</v>
      </c>
      <c r="BA11">
        <v>4</v>
      </c>
      <c r="BB11">
        <v>6</v>
      </c>
      <c r="BC11">
        <v>1</v>
      </c>
      <c r="BD11" s="4">
        <v>0.1666667</v>
      </c>
      <c r="BE11">
        <v>8</v>
      </c>
      <c r="BF11">
        <v>2</v>
      </c>
      <c r="BG11">
        <v>6</v>
      </c>
      <c r="BH11">
        <v>8</v>
      </c>
      <c r="BI11">
        <v>2</v>
      </c>
      <c r="BJ11" s="4">
        <v>0.25</v>
      </c>
      <c r="BK11">
        <v>1</v>
      </c>
      <c r="BL11">
        <v>1</v>
      </c>
      <c r="BM11">
        <v>0</v>
      </c>
      <c r="BN11">
        <v>1</v>
      </c>
      <c r="BO11">
        <v>0</v>
      </c>
      <c r="BP11" s="4">
        <v>0</v>
      </c>
      <c r="BQ11">
        <v>1</v>
      </c>
      <c r="BR11">
        <v>0</v>
      </c>
      <c r="BS11">
        <v>1</v>
      </c>
      <c r="BT11">
        <v>0</v>
      </c>
      <c r="BU11">
        <v>0</v>
      </c>
      <c r="BV11" s="4" t="s">
        <v>122</v>
      </c>
      <c r="BW11" t="s">
        <v>526</v>
      </c>
      <c r="BX11" t="s">
        <v>514</v>
      </c>
      <c r="BY11" t="str">
        <f t="shared" si="0"/>
        <v>Proportion of Patients Receiving Surgery Within 8 Weeks of Assessment England</v>
      </c>
      <c r="BZ11" s="4">
        <v>0.35568645219755324</v>
      </c>
      <c r="CA11" s="4">
        <v>0.31385281385281383</v>
      </c>
      <c r="CB11" s="4">
        <v>0.32277397260273971</v>
      </c>
    </row>
    <row r="12" spans="1:80" x14ac:dyDescent="0.25">
      <c r="A12" s="2" t="s">
        <v>89</v>
      </c>
      <c r="B12" s="13" t="s">
        <v>88</v>
      </c>
      <c r="C12">
        <v>4</v>
      </c>
      <c r="D12">
        <v>1</v>
      </c>
      <c r="E12">
        <v>3</v>
      </c>
      <c r="F12">
        <v>3</v>
      </c>
      <c r="G12">
        <v>0</v>
      </c>
      <c r="H12" s="4">
        <v>0</v>
      </c>
      <c r="I12">
        <v>3</v>
      </c>
      <c r="J12">
        <v>1</v>
      </c>
      <c r="K12">
        <v>2</v>
      </c>
      <c r="L12">
        <v>2</v>
      </c>
      <c r="M12">
        <v>1</v>
      </c>
      <c r="N12" s="4">
        <v>0.5</v>
      </c>
      <c r="O12">
        <v>2</v>
      </c>
      <c r="P12">
        <v>1</v>
      </c>
      <c r="Q12">
        <v>1</v>
      </c>
      <c r="R12">
        <v>2</v>
      </c>
      <c r="S12">
        <v>1</v>
      </c>
      <c r="T12" s="4">
        <v>0.5</v>
      </c>
      <c r="U12">
        <v>5</v>
      </c>
      <c r="V12">
        <v>1</v>
      </c>
      <c r="W12">
        <v>4</v>
      </c>
      <c r="X12">
        <v>4</v>
      </c>
      <c r="Y12">
        <v>2</v>
      </c>
      <c r="Z12" s="4">
        <v>0.5</v>
      </c>
      <c r="AA12">
        <v>7</v>
      </c>
      <c r="AB12">
        <v>3</v>
      </c>
      <c r="AC12">
        <v>4</v>
      </c>
      <c r="AD12">
        <v>6</v>
      </c>
      <c r="AE12">
        <v>2</v>
      </c>
      <c r="AF12" s="4">
        <v>0.3333333</v>
      </c>
      <c r="AG12">
        <v>6</v>
      </c>
      <c r="AH12">
        <v>1</v>
      </c>
      <c r="AI12">
        <v>5</v>
      </c>
      <c r="AJ12">
        <v>6</v>
      </c>
      <c r="AK12">
        <v>2</v>
      </c>
      <c r="AL12" s="4">
        <v>0.3333333</v>
      </c>
      <c r="AM12">
        <v>9</v>
      </c>
      <c r="AN12">
        <v>0</v>
      </c>
      <c r="AO12">
        <v>9</v>
      </c>
      <c r="AP12">
        <v>9</v>
      </c>
      <c r="AQ12">
        <v>5</v>
      </c>
      <c r="AR12" s="4">
        <v>0.55555560000000004</v>
      </c>
      <c r="AS12">
        <v>5</v>
      </c>
      <c r="AT12">
        <v>2</v>
      </c>
      <c r="AU12">
        <v>3</v>
      </c>
      <c r="AV12">
        <v>5</v>
      </c>
      <c r="AW12">
        <v>2</v>
      </c>
      <c r="AX12" s="4">
        <v>0.4</v>
      </c>
      <c r="AY12">
        <v>2</v>
      </c>
      <c r="AZ12">
        <v>0</v>
      </c>
      <c r="BA12">
        <v>2</v>
      </c>
      <c r="BB12">
        <v>2</v>
      </c>
      <c r="BC12">
        <v>0</v>
      </c>
      <c r="BD12" s="4">
        <v>0</v>
      </c>
      <c r="BE12">
        <v>6</v>
      </c>
      <c r="BF12">
        <v>1</v>
      </c>
      <c r="BG12">
        <v>5</v>
      </c>
      <c r="BH12">
        <v>6</v>
      </c>
      <c r="BI12">
        <v>0</v>
      </c>
      <c r="BJ12" s="4">
        <v>0</v>
      </c>
      <c r="BK12">
        <v>4</v>
      </c>
      <c r="BL12">
        <v>0</v>
      </c>
      <c r="BM12">
        <v>4</v>
      </c>
      <c r="BN12">
        <v>4</v>
      </c>
      <c r="BO12">
        <v>1</v>
      </c>
      <c r="BP12" s="4">
        <v>0.25</v>
      </c>
      <c r="BQ12">
        <v>6</v>
      </c>
      <c r="BR12">
        <v>4</v>
      </c>
      <c r="BS12">
        <v>2</v>
      </c>
      <c r="BT12">
        <v>6</v>
      </c>
      <c r="BU12">
        <v>3</v>
      </c>
      <c r="BV12" s="4">
        <v>0.5</v>
      </c>
      <c r="BW12" t="s">
        <v>526</v>
      </c>
      <c r="BX12" t="s">
        <v>514</v>
      </c>
      <c r="BY12" t="str">
        <f t="shared" si="0"/>
        <v>Proportion of Patients Receiving Surgery Within 8 Weeks of Assessment England</v>
      </c>
      <c r="BZ12" s="4">
        <v>0.35568645219755324</v>
      </c>
      <c r="CA12" s="4">
        <v>0.31385281385281383</v>
      </c>
      <c r="CB12" s="4">
        <v>0.32277397260273971</v>
      </c>
    </row>
    <row r="13" spans="1:80" x14ac:dyDescent="0.25">
      <c r="A13" s="2" t="s">
        <v>81</v>
      </c>
      <c r="B13" s="13" t="s">
        <v>80</v>
      </c>
      <c r="C13">
        <v>4</v>
      </c>
      <c r="D13">
        <v>0</v>
      </c>
      <c r="E13">
        <v>4</v>
      </c>
      <c r="F13">
        <v>4</v>
      </c>
      <c r="G13">
        <v>2</v>
      </c>
      <c r="H13" s="4">
        <v>0.5</v>
      </c>
      <c r="I13">
        <v>11</v>
      </c>
      <c r="J13">
        <v>5</v>
      </c>
      <c r="K13">
        <v>6</v>
      </c>
      <c r="L13">
        <v>11</v>
      </c>
      <c r="M13">
        <v>5</v>
      </c>
      <c r="N13" s="4">
        <v>0.45454549999999999</v>
      </c>
      <c r="O13">
        <v>12</v>
      </c>
      <c r="P13">
        <v>2</v>
      </c>
      <c r="Q13">
        <v>10</v>
      </c>
      <c r="R13">
        <v>10</v>
      </c>
      <c r="S13">
        <v>2</v>
      </c>
      <c r="T13" s="4">
        <v>0.2</v>
      </c>
      <c r="U13">
        <v>11</v>
      </c>
      <c r="V13">
        <v>3</v>
      </c>
      <c r="W13">
        <v>8</v>
      </c>
      <c r="X13">
        <v>11</v>
      </c>
      <c r="Y13">
        <v>3</v>
      </c>
      <c r="Z13" s="4">
        <v>0.27272730000000001</v>
      </c>
      <c r="AA13">
        <v>11</v>
      </c>
      <c r="AB13">
        <v>6</v>
      </c>
      <c r="AC13">
        <v>5</v>
      </c>
      <c r="AD13">
        <v>11</v>
      </c>
      <c r="AE13">
        <v>2</v>
      </c>
      <c r="AF13" s="4">
        <v>0.18181820000000001</v>
      </c>
      <c r="AG13">
        <v>19</v>
      </c>
      <c r="AH13">
        <v>2</v>
      </c>
      <c r="AI13">
        <v>17</v>
      </c>
      <c r="AJ13">
        <v>17</v>
      </c>
      <c r="AK13">
        <v>5</v>
      </c>
      <c r="AL13" s="4">
        <v>0.29411769999999998</v>
      </c>
      <c r="AM13">
        <v>25</v>
      </c>
      <c r="AN13">
        <v>7</v>
      </c>
      <c r="AO13">
        <v>18</v>
      </c>
      <c r="AP13">
        <v>24</v>
      </c>
      <c r="AQ13">
        <v>8</v>
      </c>
      <c r="AR13" s="4">
        <v>0.3333333</v>
      </c>
      <c r="AS13">
        <v>17</v>
      </c>
      <c r="AT13">
        <v>6</v>
      </c>
      <c r="AU13">
        <v>11</v>
      </c>
      <c r="AV13">
        <v>17</v>
      </c>
      <c r="AW13">
        <v>6</v>
      </c>
      <c r="AX13" s="4">
        <v>0.35294120000000001</v>
      </c>
      <c r="AY13">
        <v>16</v>
      </c>
      <c r="AZ13">
        <v>7</v>
      </c>
      <c r="BA13">
        <v>9</v>
      </c>
      <c r="BB13">
        <v>15</v>
      </c>
      <c r="BC13">
        <v>5</v>
      </c>
      <c r="BD13" s="4">
        <v>0.3333333</v>
      </c>
      <c r="BE13">
        <v>10</v>
      </c>
      <c r="BF13">
        <v>0</v>
      </c>
      <c r="BG13">
        <v>10</v>
      </c>
      <c r="BH13">
        <v>9</v>
      </c>
      <c r="BI13">
        <v>2</v>
      </c>
      <c r="BJ13" s="4">
        <v>0.22222220000000001</v>
      </c>
      <c r="BK13">
        <v>15</v>
      </c>
      <c r="BL13">
        <v>3</v>
      </c>
      <c r="BM13">
        <v>12</v>
      </c>
      <c r="BN13">
        <v>14</v>
      </c>
      <c r="BO13">
        <v>2</v>
      </c>
      <c r="BP13" s="4">
        <v>0.14285709999999999</v>
      </c>
      <c r="BQ13">
        <v>7</v>
      </c>
      <c r="BR13">
        <v>2</v>
      </c>
      <c r="BS13">
        <v>5</v>
      </c>
      <c r="BT13">
        <v>7</v>
      </c>
      <c r="BU13">
        <v>3</v>
      </c>
      <c r="BV13" s="4">
        <v>0.42857139999999999</v>
      </c>
      <c r="BW13" t="s">
        <v>526</v>
      </c>
      <c r="BX13" t="s">
        <v>514</v>
      </c>
      <c r="BY13" t="str">
        <f t="shared" si="0"/>
        <v>Proportion of Patients Receiving Surgery Within 8 Weeks of Assessment England</v>
      </c>
      <c r="BZ13" s="4">
        <v>0.35568645219755324</v>
      </c>
      <c r="CA13" s="4">
        <v>0.31385281385281383</v>
      </c>
      <c r="CB13" s="4">
        <v>0.32277397260273971</v>
      </c>
    </row>
    <row r="14" spans="1:80" x14ac:dyDescent="0.25">
      <c r="A14" s="2" t="s">
        <v>97</v>
      </c>
      <c r="B14" s="13" t="s">
        <v>96</v>
      </c>
      <c r="C14">
        <v>4</v>
      </c>
      <c r="D14">
        <v>3</v>
      </c>
      <c r="E14">
        <v>1</v>
      </c>
      <c r="F14">
        <v>4</v>
      </c>
      <c r="G14">
        <v>1</v>
      </c>
      <c r="H14" s="4">
        <v>0.25</v>
      </c>
      <c r="I14">
        <v>7</v>
      </c>
      <c r="J14">
        <v>1</v>
      </c>
      <c r="K14">
        <v>6</v>
      </c>
      <c r="L14">
        <v>7</v>
      </c>
      <c r="M14">
        <v>6</v>
      </c>
      <c r="N14" s="4">
        <v>0.85714290000000004</v>
      </c>
      <c r="O14">
        <v>5</v>
      </c>
      <c r="P14">
        <v>0</v>
      </c>
      <c r="Q14">
        <v>5</v>
      </c>
      <c r="R14">
        <v>5</v>
      </c>
      <c r="S14">
        <v>2</v>
      </c>
      <c r="T14" s="4">
        <v>0.4</v>
      </c>
      <c r="U14">
        <v>11</v>
      </c>
      <c r="V14">
        <v>7</v>
      </c>
      <c r="W14">
        <v>4</v>
      </c>
      <c r="X14">
        <v>11</v>
      </c>
      <c r="Y14">
        <v>6</v>
      </c>
      <c r="Z14" s="4">
        <v>0.54545460000000001</v>
      </c>
      <c r="AA14">
        <v>3</v>
      </c>
      <c r="AB14">
        <v>0</v>
      </c>
      <c r="AC14">
        <v>3</v>
      </c>
      <c r="AD14">
        <v>3</v>
      </c>
      <c r="AE14">
        <v>1</v>
      </c>
      <c r="AF14" s="4">
        <v>0.3333333</v>
      </c>
      <c r="AG14">
        <v>7</v>
      </c>
      <c r="AH14">
        <v>2</v>
      </c>
      <c r="AI14">
        <v>5</v>
      </c>
      <c r="AJ14">
        <v>6</v>
      </c>
      <c r="AK14">
        <v>1</v>
      </c>
      <c r="AL14" s="4">
        <v>0.1666667</v>
      </c>
      <c r="AM14">
        <v>1</v>
      </c>
      <c r="AN14">
        <v>0</v>
      </c>
      <c r="AO14">
        <v>1</v>
      </c>
      <c r="AP14">
        <v>1</v>
      </c>
      <c r="AQ14">
        <v>0</v>
      </c>
      <c r="AR14" s="4">
        <v>0</v>
      </c>
      <c r="AS14">
        <v>7</v>
      </c>
      <c r="AT14">
        <v>5</v>
      </c>
      <c r="AU14">
        <v>2</v>
      </c>
      <c r="AV14">
        <v>7</v>
      </c>
      <c r="AW14">
        <v>3</v>
      </c>
      <c r="AX14" s="4">
        <v>0.42857139999999999</v>
      </c>
      <c r="AY14">
        <v>3</v>
      </c>
      <c r="AZ14">
        <v>3</v>
      </c>
      <c r="BA14">
        <v>0</v>
      </c>
      <c r="BB14">
        <v>3</v>
      </c>
      <c r="BC14">
        <v>3</v>
      </c>
      <c r="BD14" s="4">
        <v>1</v>
      </c>
      <c r="BE14">
        <v>8</v>
      </c>
      <c r="BF14">
        <v>6</v>
      </c>
      <c r="BG14">
        <v>2</v>
      </c>
      <c r="BH14">
        <v>6</v>
      </c>
      <c r="BI14">
        <v>2</v>
      </c>
      <c r="BJ14" s="4">
        <v>0.3333333</v>
      </c>
      <c r="BK14">
        <v>11</v>
      </c>
      <c r="BL14">
        <v>9</v>
      </c>
      <c r="BM14">
        <v>2</v>
      </c>
      <c r="BN14">
        <v>11</v>
      </c>
      <c r="BO14">
        <v>6</v>
      </c>
      <c r="BP14" s="4">
        <v>0.54545460000000001</v>
      </c>
      <c r="BQ14">
        <v>8</v>
      </c>
      <c r="BR14">
        <v>5</v>
      </c>
      <c r="BS14">
        <v>3</v>
      </c>
      <c r="BT14">
        <v>8</v>
      </c>
      <c r="BU14">
        <v>2</v>
      </c>
      <c r="BV14" s="4">
        <v>0.25</v>
      </c>
      <c r="BW14" t="s">
        <v>526</v>
      </c>
      <c r="BX14" t="s">
        <v>514</v>
      </c>
      <c r="BY14" t="str">
        <f t="shared" si="0"/>
        <v>Proportion of Patients Receiving Surgery Within 8 Weeks of Assessment England</v>
      </c>
      <c r="BZ14" s="4">
        <v>0.35568645219755324</v>
      </c>
      <c r="CA14" s="4">
        <v>0.31385281385281383</v>
      </c>
      <c r="CB14" s="4">
        <v>0.32277397260273971</v>
      </c>
    </row>
    <row r="15" spans="1:80" x14ac:dyDescent="0.25">
      <c r="A15" s="2" t="s">
        <v>121</v>
      </c>
      <c r="B15" s="13" t="s">
        <v>20</v>
      </c>
      <c r="C15">
        <v>17</v>
      </c>
      <c r="D15">
        <v>5</v>
      </c>
      <c r="E15">
        <v>12</v>
      </c>
      <c r="F15">
        <v>17</v>
      </c>
      <c r="G15">
        <v>4</v>
      </c>
      <c r="H15" s="4">
        <v>0.23529410000000001</v>
      </c>
      <c r="I15">
        <v>21</v>
      </c>
      <c r="J15">
        <v>3</v>
      </c>
      <c r="K15">
        <v>18</v>
      </c>
      <c r="L15">
        <v>20</v>
      </c>
      <c r="M15">
        <v>6</v>
      </c>
      <c r="N15" s="4">
        <v>0.3</v>
      </c>
      <c r="O15">
        <v>3</v>
      </c>
      <c r="P15">
        <v>0</v>
      </c>
      <c r="Q15">
        <v>3</v>
      </c>
      <c r="R15">
        <v>3</v>
      </c>
      <c r="S15">
        <v>2</v>
      </c>
      <c r="T15" s="4">
        <v>0.66666669999999995</v>
      </c>
      <c r="U15">
        <v>12</v>
      </c>
      <c r="V15">
        <v>3</v>
      </c>
      <c r="W15">
        <v>9</v>
      </c>
      <c r="X15">
        <v>11</v>
      </c>
      <c r="Y15">
        <v>3</v>
      </c>
      <c r="Z15" s="4">
        <v>0.27272730000000001</v>
      </c>
      <c r="AA15">
        <v>9</v>
      </c>
      <c r="AB15">
        <v>3</v>
      </c>
      <c r="AC15">
        <v>6</v>
      </c>
      <c r="AD15">
        <v>9</v>
      </c>
      <c r="AE15">
        <v>4</v>
      </c>
      <c r="AF15" s="4">
        <v>0.44444440000000002</v>
      </c>
      <c r="AG15">
        <v>22</v>
      </c>
      <c r="AH15">
        <v>4</v>
      </c>
      <c r="AI15">
        <v>18</v>
      </c>
      <c r="AJ15">
        <v>21</v>
      </c>
      <c r="AK15">
        <v>5</v>
      </c>
      <c r="AL15" s="4">
        <v>0.23809520000000001</v>
      </c>
      <c r="AM15">
        <v>17</v>
      </c>
      <c r="AN15">
        <v>2</v>
      </c>
      <c r="AO15">
        <v>15</v>
      </c>
      <c r="AP15">
        <v>16</v>
      </c>
      <c r="AQ15">
        <v>10</v>
      </c>
      <c r="AR15" s="4">
        <v>0.625</v>
      </c>
      <c r="AS15">
        <v>13</v>
      </c>
      <c r="AT15">
        <v>3</v>
      </c>
      <c r="AU15">
        <v>10</v>
      </c>
      <c r="AV15">
        <v>13</v>
      </c>
      <c r="AW15">
        <v>6</v>
      </c>
      <c r="AX15" s="4">
        <v>0.46153850000000002</v>
      </c>
      <c r="AY15">
        <v>15</v>
      </c>
      <c r="AZ15">
        <v>4</v>
      </c>
      <c r="BA15">
        <v>11</v>
      </c>
      <c r="BB15">
        <v>15</v>
      </c>
      <c r="BC15">
        <v>6</v>
      </c>
      <c r="BD15" s="4">
        <v>0.4</v>
      </c>
      <c r="BE15">
        <v>13</v>
      </c>
      <c r="BF15">
        <v>2</v>
      </c>
      <c r="BG15">
        <v>11</v>
      </c>
      <c r="BH15">
        <v>12</v>
      </c>
      <c r="BI15">
        <v>5</v>
      </c>
      <c r="BJ15" s="4">
        <v>0.4166667</v>
      </c>
      <c r="BK15">
        <v>9</v>
      </c>
      <c r="BL15">
        <v>1</v>
      </c>
      <c r="BM15">
        <v>8</v>
      </c>
      <c r="BN15">
        <v>9</v>
      </c>
      <c r="BO15">
        <v>1</v>
      </c>
      <c r="BP15" s="4">
        <v>0.1111111</v>
      </c>
      <c r="BQ15">
        <v>13</v>
      </c>
      <c r="BR15">
        <v>8</v>
      </c>
      <c r="BS15">
        <v>5</v>
      </c>
      <c r="BT15">
        <v>13</v>
      </c>
      <c r="BU15">
        <v>3</v>
      </c>
      <c r="BV15" s="4">
        <v>0.23076920000000001</v>
      </c>
      <c r="BW15" t="s">
        <v>526</v>
      </c>
      <c r="BX15" t="s">
        <v>514</v>
      </c>
      <c r="BY15" t="str">
        <f t="shared" si="0"/>
        <v>Proportion of Patients Receiving Surgery Within 8 Weeks of Assessment England</v>
      </c>
      <c r="BZ15" s="4">
        <v>0.35568645219755324</v>
      </c>
      <c r="CA15" s="4">
        <v>0.31385281385281383</v>
      </c>
      <c r="CB15" s="4">
        <v>0.32277397260273971</v>
      </c>
    </row>
    <row r="16" spans="1:80" x14ac:dyDescent="0.25">
      <c r="A16" s="2" t="s">
        <v>22</v>
      </c>
      <c r="B16" s="13" t="s">
        <v>21</v>
      </c>
      <c r="C16">
        <v>12</v>
      </c>
      <c r="D16">
        <v>1</v>
      </c>
      <c r="E16">
        <v>11</v>
      </c>
      <c r="F16">
        <v>12</v>
      </c>
      <c r="G16">
        <v>7</v>
      </c>
      <c r="H16" s="4">
        <v>0.58333330000000005</v>
      </c>
      <c r="I16">
        <v>13</v>
      </c>
      <c r="J16">
        <v>3</v>
      </c>
      <c r="K16">
        <v>10</v>
      </c>
      <c r="L16">
        <v>13</v>
      </c>
      <c r="M16">
        <v>8</v>
      </c>
      <c r="N16" s="4">
        <v>0.61538459999999995</v>
      </c>
      <c r="O16">
        <v>2</v>
      </c>
      <c r="P16">
        <v>1</v>
      </c>
      <c r="Q16">
        <v>1</v>
      </c>
      <c r="R16">
        <v>2</v>
      </c>
      <c r="S16">
        <v>2</v>
      </c>
      <c r="T16" s="4">
        <v>1</v>
      </c>
      <c r="U16">
        <v>19</v>
      </c>
      <c r="V16">
        <v>9</v>
      </c>
      <c r="W16">
        <v>10</v>
      </c>
      <c r="X16">
        <v>19</v>
      </c>
      <c r="Y16">
        <v>12</v>
      </c>
      <c r="Z16" s="4">
        <v>0.63157890000000005</v>
      </c>
      <c r="AA16">
        <v>9</v>
      </c>
      <c r="AB16">
        <v>6</v>
      </c>
      <c r="AC16">
        <v>3</v>
      </c>
      <c r="AD16">
        <v>7</v>
      </c>
      <c r="AE16">
        <v>2</v>
      </c>
      <c r="AF16" s="4">
        <v>0.28571429999999998</v>
      </c>
      <c r="AG16">
        <v>2</v>
      </c>
      <c r="AH16">
        <v>0</v>
      </c>
      <c r="AI16">
        <v>2</v>
      </c>
      <c r="AJ16">
        <v>2</v>
      </c>
      <c r="AK16">
        <v>1</v>
      </c>
      <c r="AL16" s="4">
        <v>0.5</v>
      </c>
      <c r="AM16">
        <v>11</v>
      </c>
      <c r="AN16">
        <v>1</v>
      </c>
      <c r="AO16">
        <v>10</v>
      </c>
      <c r="AP16">
        <v>10</v>
      </c>
      <c r="AQ16">
        <v>4</v>
      </c>
      <c r="AR16" s="4">
        <v>0.4</v>
      </c>
      <c r="AS16">
        <v>11</v>
      </c>
      <c r="AT16">
        <v>3</v>
      </c>
      <c r="AU16">
        <v>8</v>
      </c>
      <c r="AV16">
        <v>11</v>
      </c>
      <c r="AW16">
        <v>2</v>
      </c>
      <c r="AX16" s="4">
        <v>0.18181820000000001</v>
      </c>
      <c r="AY16">
        <v>14</v>
      </c>
      <c r="AZ16">
        <v>7</v>
      </c>
      <c r="BA16">
        <v>7</v>
      </c>
      <c r="BB16">
        <v>14</v>
      </c>
      <c r="BC16">
        <v>8</v>
      </c>
      <c r="BD16" s="4">
        <v>0.57142859999999995</v>
      </c>
      <c r="BE16">
        <v>8</v>
      </c>
      <c r="BF16">
        <v>3</v>
      </c>
      <c r="BG16">
        <v>5</v>
      </c>
      <c r="BH16">
        <v>6</v>
      </c>
      <c r="BI16">
        <v>1</v>
      </c>
      <c r="BJ16" s="4">
        <v>0.1666667</v>
      </c>
      <c r="BK16">
        <v>11</v>
      </c>
      <c r="BL16">
        <v>5</v>
      </c>
      <c r="BM16">
        <v>6</v>
      </c>
      <c r="BN16">
        <v>11</v>
      </c>
      <c r="BO16">
        <v>6</v>
      </c>
      <c r="BP16" s="4">
        <v>0.54545460000000001</v>
      </c>
      <c r="BQ16">
        <v>12</v>
      </c>
      <c r="BR16">
        <v>2</v>
      </c>
      <c r="BS16">
        <v>10</v>
      </c>
      <c r="BT16">
        <v>12</v>
      </c>
      <c r="BU16">
        <v>7</v>
      </c>
      <c r="BV16" s="4">
        <v>0.58333330000000005</v>
      </c>
      <c r="BW16" t="s">
        <v>526</v>
      </c>
      <c r="BX16" t="s">
        <v>514</v>
      </c>
      <c r="BY16" t="str">
        <f t="shared" si="0"/>
        <v>Proportion of Patients Receiving Surgery Within 8 Weeks of Assessment England</v>
      </c>
      <c r="BZ16" s="4">
        <v>0.35568645219755324</v>
      </c>
      <c r="CA16" s="4">
        <v>0.31385281385281383</v>
      </c>
      <c r="CB16" s="4">
        <v>0.32277397260273971</v>
      </c>
    </row>
    <row r="17" spans="1:80" x14ac:dyDescent="0.25">
      <c r="A17" s="2" t="s">
        <v>73</v>
      </c>
      <c r="B17" s="13" t="s">
        <v>72</v>
      </c>
      <c r="C17">
        <v>23</v>
      </c>
      <c r="D17">
        <v>15</v>
      </c>
      <c r="E17">
        <v>8</v>
      </c>
      <c r="F17">
        <v>23</v>
      </c>
      <c r="G17">
        <v>15</v>
      </c>
      <c r="H17" s="4">
        <v>0.65217389999999997</v>
      </c>
      <c r="I17">
        <v>9</v>
      </c>
      <c r="J17">
        <v>3</v>
      </c>
      <c r="K17">
        <v>6</v>
      </c>
      <c r="L17">
        <v>8</v>
      </c>
      <c r="M17">
        <v>4</v>
      </c>
      <c r="N17" s="4">
        <v>0.5</v>
      </c>
      <c r="O17">
        <v>14</v>
      </c>
      <c r="P17">
        <v>9</v>
      </c>
      <c r="Q17">
        <v>5</v>
      </c>
      <c r="R17">
        <v>10</v>
      </c>
      <c r="S17">
        <v>2</v>
      </c>
      <c r="T17" s="4">
        <v>0.2</v>
      </c>
      <c r="U17">
        <v>19</v>
      </c>
      <c r="V17">
        <v>15</v>
      </c>
      <c r="W17">
        <v>4</v>
      </c>
      <c r="X17">
        <v>15</v>
      </c>
      <c r="Y17">
        <v>6</v>
      </c>
      <c r="Z17" s="4">
        <v>0.4</v>
      </c>
      <c r="AA17">
        <v>21</v>
      </c>
      <c r="AB17">
        <v>11</v>
      </c>
      <c r="AC17">
        <v>10</v>
      </c>
      <c r="AD17">
        <v>20</v>
      </c>
      <c r="AE17">
        <v>6</v>
      </c>
      <c r="AF17" s="4">
        <v>0.3</v>
      </c>
      <c r="AG17">
        <v>10</v>
      </c>
      <c r="AH17">
        <v>9</v>
      </c>
      <c r="AI17">
        <v>1</v>
      </c>
      <c r="AJ17">
        <v>10</v>
      </c>
      <c r="AK17">
        <v>4</v>
      </c>
      <c r="AL17" s="4">
        <v>0.4</v>
      </c>
      <c r="AM17">
        <v>19</v>
      </c>
      <c r="AN17">
        <v>11</v>
      </c>
      <c r="AO17">
        <v>8</v>
      </c>
      <c r="AP17">
        <v>19</v>
      </c>
      <c r="AQ17">
        <v>6</v>
      </c>
      <c r="AR17" s="4">
        <v>0.3157895</v>
      </c>
      <c r="AS17">
        <v>19</v>
      </c>
      <c r="AT17">
        <v>12</v>
      </c>
      <c r="AU17">
        <v>7</v>
      </c>
      <c r="AV17">
        <v>19</v>
      </c>
      <c r="AW17">
        <v>7</v>
      </c>
      <c r="AX17" s="4">
        <v>0.368421</v>
      </c>
      <c r="AY17">
        <v>12</v>
      </c>
      <c r="AZ17">
        <v>3</v>
      </c>
      <c r="BA17">
        <v>9</v>
      </c>
      <c r="BB17">
        <v>11</v>
      </c>
      <c r="BC17">
        <v>5</v>
      </c>
      <c r="BD17" s="4">
        <v>0.45454549999999999</v>
      </c>
      <c r="BE17">
        <v>12</v>
      </c>
      <c r="BF17">
        <v>5</v>
      </c>
      <c r="BG17">
        <v>7</v>
      </c>
      <c r="BH17">
        <v>11</v>
      </c>
      <c r="BI17">
        <v>6</v>
      </c>
      <c r="BJ17" s="4">
        <v>0.54545460000000001</v>
      </c>
      <c r="BK17">
        <v>15</v>
      </c>
      <c r="BL17">
        <v>7</v>
      </c>
      <c r="BM17">
        <v>8</v>
      </c>
      <c r="BN17">
        <v>15</v>
      </c>
      <c r="BO17">
        <v>7</v>
      </c>
      <c r="BP17" s="4">
        <v>0.46666669999999999</v>
      </c>
      <c r="BQ17">
        <v>14</v>
      </c>
      <c r="BR17">
        <v>4</v>
      </c>
      <c r="BS17">
        <v>10</v>
      </c>
      <c r="BT17">
        <v>14</v>
      </c>
      <c r="BU17">
        <v>5</v>
      </c>
      <c r="BV17" s="4">
        <v>0.35714289999999999</v>
      </c>
      <c r="BW17" t="s">
        <v>526</v>
      </c>
      <c r="BX17" t="s">
        <v>514</v>
      </c>
      <c r="BY17" t="str">
        <f t="shared" si="0"/>
        <v>Proportion of Patients Receiving Surgery Within 8 Weeks of Assessment England</v>
      </c>
      <c r="BZ17" s="4">
        <v>0.35568645219755324</v>
      </c>
      <c r="CA17" s="4">
        <v>0.31385281385281383</v>
      </c>
      <c r="CB17" s="4">
        <v>0.32277397260273971</v>
      </c>
    </row>
    <row r="18" spans="1:80" x14ac:dyDescent="0.25">
      <c r="A18" s="2" t="s">
        <v>39</v>
      </c>
      <c r="B18" s="13" t="s">
        <v>38</v>
      </c>
      <c r="C18">
        <v>17</v>
      </c>
      <c r="D18">
        <v>4</v>
      </c>
      <c r="E18">
        <v>13</v>
      </c>
      <c r="F18">
        <v>6</v>
      </c>
      <c r="G18">
        <v>2</v>
      </c>
      <c r="H18" s="4">
        <v>0.3333333</v>
      </c>
      <c r="I18">
        <v>23</v>
      </c>
      <c r="J18">
        <v>8</v>
      </c>
      <c r="K18">
        <v>15</v>
      </c>
      <c r="L18">
        <v>18</v>
      </c>
      <c r="M18">
        <v>13</v>
      </c>
      <c r="N18" s="4">
        <v>0.72222220000000004</v>
      </c>
      <c r="O18">
        <v>14</v>
      </c>
      <c r="P18">
        <v>4</v>
      </c>
      <c r="Q18">
        <v>10</v>
      </c>
      <c r="R18">
        <v>13</v>
      </c>
      <c r="S18">
        <v>6</v>
      </c>
      <c r="T18" s="4">
        <v>0.46153850000000002</v>
      </c>
      <c r="U18">
        <v>12</v>
      </c>
      <c r="V18">
        <v>6</v>
      </c>
      <c r="W18">
        <v>6</v>
      </c>
      <c r="X18">
        <v>7</v>
      </c>
      <c r="Y18">
        <v>3</v>
      </c>
      <c r="Z18" s="4">
        <v>0.42857139999999999</v>
      </c>
      <c r="AA18">
        <v>17</v>
      </c>
      <c r="AB18">
        <v>9</v>
      </c>
      <c r="AC18">
        <v>8</v>
      </c>
      <c r="AD18">
        <v>17</v>
      </c>
      <c r="AE18">
        <v>2</v>
      </c>
      <c r="AF18" s="4">
        <v>0.1176471</v>
      </c>
      <c r="AG18">
        <v>14</v>
      </c>
      <c r="AH18">
        <v>6</v>
      </c>
      <c r="AI18">
        <v>8</v>
      </c>
      <c r="AJ18">
        <v>12</v>
      </c>
      <c r="AK18">
        <v>2</v>
      </c>
      <c r="AL18" s="4">
        <v>0.1666667</v>
      </c>
      <c r="AM18">
        <v>19</v>
      </c>
      <c r="AN18">
        <v>5</v>
      </c>
      <c r="AO18">
        <v>14</v>
      </c>
      <c r="AP18">
        <v>18</v>
      </c>
      <c r="AQ18">
        <v>3</v>
      </c>
      <c r="AR18" s="4">
        <v>0.1666667</v>
      </c>
      <c r="AS18">
        <v>10</v>
      </c>
      <c r="AT18">
        <v>3</v>
      </c>
      <c r="AU18">
        <v>7</v>
      </c>
      <c r="AV18">
        <v>8</v>
      </c>
      <c r="AW18">
        <v>0</v>
      </c>
      <c r="AX18" s="4">
        <v>0</v>
      </c>
      <c r="AY18">
        <v>18</v>
      </c>
      <c r="AZ18">
        <v>8</v>
      </c>
      <c r="BA18">
        <v>10</v>
      </c>
      <c r="BB18">
        <v>17</v>
      </c>
      <c r="BC18">
        <v>0</v>
      </c>
      <c r="BD18" s="4">
        <v>0</v>
      </c>
      <c r="BE18">
        <v>22</v>
      </c>
      <c r="BF18">
        <v>10</v>
      </c>
      <c r="BG18">
        <v>12</v>
      </c>
      <c r="BH18">
        <v>22</v>
      </c>
      <c r="BI18">
        <v>6</v>
      </c>
      <c r="BJ18" s="4">
        <v>0.27272730000000001</v>
      </c>
      <c r="BK18">
        <v>16</v>
      </c>
      <c r="BL18">
        <v>7</v>
      </c>
      <c r="BM18">
        <v>9</v>
      </c>
      <c r="BN18">
        <v>16</v>
      </c>
      <c r="BO18">
        <v>5</v>
      </c>
      <c r="BP18" s="4">
        <v>0.3125</v>
      </c>
      <c r="BQ18">
        <v>12</v>
      </c>
      <c r="BR18">
        <v>2</v>
      </c>
      <c r="BS18">
        <v>10</v>
      </c>
      <c r="BT18">
        <v>12</v>
      </c>
      <c r="BU18">
        <v>0</v>
      </c>
      <c r="BV18" s="4">
        <v>0</v>
      </c>
      <c r="BW18" t="s">
        <v>526</v>
      </c>
      <c r="BX18" t="s">
        <v>514</v>
      </c>
      <c r="BY18" t="str">
        <f t="shared" si="0"/>
        <v>Proportion of Patients Receiving Surgery Within 8 Weeks of Assessment England</v>
      </c>
      <c r="BZ18" s="4">
        <v>0.35568645219755324</v>
      </c>
      <c r="CA18" s="4">
        <v>0.31385281385281383</v>
      </c>
      <c r="CB18" s="4">
        <v>0.32277397260273971</v>
      </c>
    </row>
    <row r="19" spans="1:80" x14ac:dyDescent="0.25">
      <c r="A19" s="2" t="s">
        <v>129</v>
      </c>
      <c r="B19" s="13" t="s">
        <v>82</v>
      </c>
      <c r="C19">
        <v>6</v>
      </c>
      <c r="D19">
        <v>1</v>
      </c>
      <c r="E19">
        <v>5</v>
      </c>
      <c r="F19">
        <v>6</v>
      </c>
      <c r="G19">
        <v>2</v>
      </c>
      <c r="H19" s="4">
        <v>0.3333333</v>
      </c>
      <c r="I19">
        <v>4</v>
      </c>
      <c r="J19">
        <v>1</v>
      </c>
      <c r="K19">
        <v>3</v>
      </c>
      <c r="L19">
        <v>4</v>
      </c>
      <c r="M19">
        <v>2</v>
      </c>
      <c r="N19" s="4">
        <v>0.5</v>
      </c>
      <c r="O19">
        <v>7</v>
      </c>
      <c r="P19">
        <v>1</v>
      </c>
      <c r="Q19">
        <v>6</v>
      </c>
      <c r="R19">
        <v>5</v>
      </c>
      <c r="S19">
        <v>1</v>
      </c>
      <c r="T19" s="4">
        <v>0.2</v>
      </c>
      <c r="U19">
        <v>18</v>
      </c>
      <c r="V19">
        <v>8</v>
      </c>
      <c r="W19">
        <v>10</v>
      </c>
      <c r="X19">
        <v>18</v>
      </c>
      <c r="Y19">
        <v>2</v>
      </c>
      <c r="Z19" s="4">
        <v>0.1111111</v>
      </c>
      <c r="AA19">
        <v>7</v>
      </c>
      <c r="AB19">
        <v>2</v>
      </c>
      <c r="AC19">
        <v>5</v>
      </c>
      <c r="AD19">
        <v>7</v>
      </c>
      <c r="AE19">
        <v>1</v>
      </c>
      <c r="AF19" s="4">
        <v>0.14285709999999999</v>
      </c>
      <c r="AG19">
        <v>8</v>
      </c>
      <c r="AH19">
        <v>3</v>
      </c>
      <c r="AI19">
        <v>5</v>
      </c>
      <c r="AJ19">
        <v>8</v>
      </c>
      <c r="AK19">
        <v>0</v>
      </c>
      <c r="AL19" s="4">
        <v>0</v>
      </c>
      <c r="AM19">
        <v>7</v>
      </c>
      <c r="AN19">
        <v>2</v>
      </c>
      <c r="AO19">
        <v>5</v>
      </c>
      <c r="AP19">
        <v>7</v>
      </c>
      <c r="AQ19">
        <v>1</v>
      </c>
      <c r="AR19" s="4">
        <v>0.14285709999999999</v>
      </c>
      <c r="AS19">
        <v>10</v>
      </c>
      <c r="AT19">
        <v>6</v>
      </c>
      <c r="AU19">
        <v>4</v>
      </c>
      <c r="AV19">
        <v>10</v>
      </c>
      <c r="AW19">
        <v>4</v>
      </c>
      <c r="AX19" s="4">
        <v>0.4</v>
      </c>
      <c r="AY19">
        <v>6</v>
      </c>
      <c r="AZ19">
        <v>5</v>
      </c>
      <c r="BA19">
        <v>1</v>
      </c>
      <c r="BB19">
        <v>6</v>
      </c>
      <c r="BC19">
        <v>1</v>
      </c>
      <c r="BD19" s="4">
        <v>0.1666667</v>
      </c>
      <c r="BE19">
        <v>9</v>
      </c>
      <c r="BF19">
        <v>5</v>
      </c>
      <c r="BG19">
        <v>4</v>
      </c>
      <c r="BH19">
        <v>9</v>
      </c>
      <c r="BI19">
        <v>2</v>
      </c>
      <c r="BJ19" s="4">
        <v>0.22222220000000001</v>
      </c>
      <c r="BK19">
        <v>9</v>
      </c>
      <c r="BL19">
        <v>7</v>
      </c>
      <c r="BM19">
        <v>2</v>
      </c>
      <c r="BN19">
        <v>9</v>
      </c>
      <c r="BO19">
        <v>1</v>
      </c>
      <c r="BP19" s="4">
        <v>0.1111111</v>
      </c>
      <c r="BQ19">
        <v>12</v>
      </c>
      <c r="BR19">
        <v>5</v>
      </c>
      <c r="BS19">
        <v>7</v>
      </c>
      <c r="BT19">
        <v>11</v>
      </c>
      <c r="BU19">
        <v>1</v>
      </c>
      <c r="BV19" s="4">
        <v>9.0909100000000007E-2</v>
      </c>
      <c r="BW19" t="s">
        <v>526</v>
      </c>
      <c r="BX19" t="s">
        <v>514</v>
      </c>
      <c r="BY19" t="str">
        <f t="shared" si="0"/>
        <v>Proportion of Patients Receiving Surgery Within 8 Weeks of Assessment England</v>
      </c>
      <c r="BZ19" s="4">
        <v>0.35568645219755324</v>
      </c>
      <c r="CA19" s="4">
        <v>0.31385281385281383</v>
      </c>
      <c r="CB19" s="4">
        <v>0.32277397260273971</v>
      </c>
    </row>
    <row r="20" spans="1:80" x14ac:dyDescent="0.25">
      <c r="A20" s="2" t="s">
        <v>101</v>
      </c>
      <c r="B20" s="13" t="s">
        <v>100</v>
      </c>
      <c r="C20">
        <v>2</v>
      </c>
      <c r="D20">
        <v>0</v>
      </c>
      <c r="E20">
        <v>2</v>
      </c>
      <c r="F20">
        <v>0</v>
      </c>
      <c r="G20">
        <v>0</v>
      </c>
      <c r="H20" s="4" t="s">
        <v>122</v>
      </c>
      <c r="I20">
        <v>12</v>
      </c>
      <c r="J20">
        <v>2</v>
      </c>
      <c r="K20">
        <v>10</v>
      </c>
      <c r="L20">
        <v>8</v>
      </c>
      <c r="M20">
        <v>4</v>
      </c>
      <c r="N20" s="4">
        <v>0.5</v>
      </c>
      <c r="O20">
        <v>5</v>
      </c>
      <c r="P20">
        <v>1</v>
      </c>
      <c r="Q20">
        <v>4</v>
      </c>
      <c r="R20">
        <v>5</v>
      </c>
      <c r="S20">
        <v>5</v>
      </c>
      <c r="T20" s="4">
        <v>1</v>
      </c>
      <c r="U20">
        <v>17</v>
      </c>
      <c r="V20">
        <v>8</v>
      </c>
      <c r="W20">
        <v>9</v>
      </c>
      <c r="X20">
        <v>13</v>
      </c>
      <c r="Y20">
        <v>5</v>
      </c>
      <c r="Z20" s="4">
        <v>0.3846154</v>
      </c>
      <c r="AA20">
        <v>15</v>
      </c>
      <c r="AB20">
        <v>5</v>
      </c>
      <c r="AC20">
        <v>10</v>
      </c>
      <c r="AD20">
        <v>9</v>
      </c>
      <c r="AE20">
        <v>4</v>
      </c>
      <c r="AF20" s="4">
        <v>0.44444440000000002</v>
      </c>
      <c r="AG20">
        <v>9</v>
      </c>
      <c r="AH20">
        <v>3</v>
      </c>
      <c r="AI20">
        <v>6</v>
      </c>
      <c r="AJ20">
        <v>6</v>
      </c>
      <c r="AK20">
        <v>2</v>
      </c>
      <c r="AL20" s="4">
        <v>0.3333333</v>
      </c>
      <c r="AM20">
        <v>8</v>
      </c>
      <c r="AN20">
        <v>2</v>
      </c>
      <c r="AO20">
        <v>6</v>
      </c>
      <c r="AP20">
        <v>4</v>
      </c>
      <c r="AQ20">
        <v>1</v>
      </c>
      <c r="AR20" s="4">
        <v>0.25</v>
      </c>
      <c r="AS20">
        <v>14</v>
      </c>
      <c r="AT20">
        <v>3</v>
      </c>
      <c r="AU20">
        <v>11</v>
      </c>
      <c r="AV20">
        <v>12</v>
      </c>
      <c r="AW20">
        <v>3</v>
      </c>
      <c r="AX20" s="4">
        <v>0.25</v>
      </c>
      <c r="AY20">
        <v>12</v>
      </c>
      <c r="AZ20">
        <v>4</v>
      </c>
      <c r="BA20">
        <v>8</v>
      </c>
      <c r="BB20">
        <v>10</v>
      </c>
      <c r="BC20">
        <v>3</v>
      </c>
      <c r="BD20" s="4">
        <v>0.3</v>
      </c>
      <c r="BE20">
        <v>11</v>
      </c>
      <c r="BF20">
        <v>6</v>
      </c>
      <c r="BG20">
        <v>5</v>
      </c>
      <c r="BH20">
        <v>9</v>
      </c>
      <c r="BI20">
        <v>2</v>
      </c>
      <c r="BJ20" s="4">
        <v>0.22222220000000001</v>
      </c>
      <c r="BK20">
        <v>15</v>
      </c>
      <c r="BL20">
        <v>5</v>
      </c>
      <c r="BM20">
        <v>10</v>
      </c>
      <c r="BN20">
        <v>11</v>
      </c>
      <c r="BO20">
        <v>1</v>
      </c>
      <c r="BP20" s="4">
        <v>9.0909100000000007E-2</v>
      </c>
      <c r="BQ20">
        <v>10</v>
      </c>
      <c r="BR20">
        <v>5</v>
      </c>
      <c r="BS20">
        <v>5</v>
      </c>
      <c r="BT20">
        <v>6</v>
      </c>
      <c r="BU20">
        <v>2</v>
      </c>
      <c r="BV20" s="4">
        <v>0.3333333</v>
      </c>
      <c r="BW20" t="s">
        <v>526</v>
      </c>
      <c r="BX20" t="s">
        <v>514</v>
      </c>
      <c r="BY20" t="str">
        <f t="shared" si="0"/>
        <v>Proportion of Patients Receiving Surgery Within 8 Weeks of Assessment England</v>
      </c>
      <c r="BZ20" s="4">
        <v>0.35568645219755324</v>
      </c>
      <c r="CA20" s="4">
        <v>0.31385281385281383</v>
      </c>
      <c r="CB20" s="4">
        <v>0.32277397260273971</v>
      </c>
    </row>
    <row r="21" spans="1:80" x14ac:dyDescent="0.25">
      <c r="A21" s="2" t="s">
        <v>47</v>
      </c>
      <c r="B21" s="13" t="s">
        <v>46</v>
      </c>
      <c r="C21">
        <v>0</v>
      </c>
      <c r="D21">
        <v>0</v>
      </c>
      <c r="E21">
        <v>0</v>
      </c>
      <c r="F21">
        <v>0</v>
      </c>
      <c r="G21">
        <v>0</v>
      </c>
      <c r="H21" s="4" t="s">
        <v>122</v>
      </c>
      <c r="I21">
        <v>0</v>
      </c>
      <c r="J21">
        <v>0</v>
      </c>
      <c r="K21">
        <v>0</v>
      </c>
      <c r="L21">
        <v>0</v>
      </c>
      <c r="M21">
        <v>0</v>
      </c>
      <c r="N21" s="4" t="s">
        <v>122</v>
      </c>
      <c r="O21">
        <v>0</v>
      </c>
      <c r="P21">
        <v>0</v>
      </c>
      <c r="Q21">
        <v>0</v>
      </c>
      <c r="R21">
        <v>0</v>
      </c>
      <c r="S21">
        <v>0</v>
      </c>
      <c r="T21" s="4" t="s">
        <v>122</v>
      </c>
      <c r="U21">
        <v>0</v>
      </c>
      <c r="V21">
        <v>0</v>
      </c>
      <c r="W21">
        <v>0</v>
      </c>
      <c r="X21">
        <v>0</v>
      </c>
      <c r="Y21">
        <v>0</v>
      </c>
      <c r="Z21" s="4" t="s">
        <v>122</v>
      </c>
      <c r="AA21">
        <v>1</v>
      </c>
      <c r="AB21">
        <v>1</v>
      </c>
      <c r="AC21">
        <v>0</v>
      </c>
      <c r="AD21">
        <v>0</v>
      </c>
      <c r="AE21">
        <v>0</v>
      </c>
      <c r="AF21" s="4" t="s">
        <v>122</v>
      </c>
      <c r="AG21">
        <v>0</v>
      </c>
      <c r="AH21">
        <v>0</v>
      </c>
      <c r="AI21">
        <v>0</v>
      </c>
      <c r="AJ21">
        <v>0</v>
      </c>
      <c r="AK21">
        <v>0</v>
      </c>
      <c r="AL21" s="4" t="s">
        <v>122</v>
      </c>
      <c r="AM21">
        <v>2</v>
      </c>
      <c r="AN21">
        <v>0</v>
      </c>
      <c r="AO21">
        <v>2</v>
      </c>
      <c r="AP21">
        <v>1</v>
      </c>
      <c r="AQ21">
        <v>0</v>
      </c>
      <c r="AR21" s="4">
        <v>0</v>
      </c>
      <c r="AS21">
        <v>2</v>
      </c>
      <c r="AT21">
        <v>0</v>
      </c>
      <c r="AU21">
        <v>2</v>
      </c>
      <c r="AV21">
        <v>2</v>
      </c>
      <c r="AW21">
        <v>1</v>
      </c>
      <c r="AX21" s="4">
        <v>0.5</v>
      </c>
      <c r="AY21">
        <v>1</v>
      </c>
      <c r="AZ21">
        <v>0</v>
      </c>
      <c r="BA21">
        <v>1</v>
      </c>
      <c r="BB21">
        <v>1</v>
      </c>
      <c r="BC21">
        <v>0</v>
      </c>
      <c r="BD21" s="4">
        <v>0</v>
      </c>
      <c r="BE21">
        <v>1</v>
      </c>
      <c r="BF21">
        <v>0</v>
      </c>
      <c r="BG21">
        <v>1</v>
      </c>
      <c r="BH21">
        <v>1</v>
      </c>
      <c r="BI21">
        <v>0</v>
      </c>
      <c r="BJ21" s="4">
        <v>0</v>
      </c>
      <c r="BK21">
        <v>1</v>
      </c>
      <c r="BL21">
        <v>0</v>
      </c>
      <c r="BM21">
        <v>1</v>
      </c>
      <c r="BN21">
        <v>1</v>
      </c>
      <c r="BO21">
        <v>0</v>
      </c>
      <c r="BP21" s="4">
        <v>0</v>
      </c>
      <c r="BQ21">
        <v>1</v>
      </c>
      <c r="BR21">
        <v>0</v>
      </c>
      <c r="BS21">
        <v>1</v>
      </c>
      <c r="BT21">
        <v>0</v>
      </c>
      <c r="BU21">
        <v>0</v>
      </c>
      <c r="BV21" s="4" t="s">
        <v>122</v>
      </c>
      <c r="BW21" t="s">
        <v>526</v>
      </c>
      <c r="BX21" t="s">
        <v>514</v>
      </c>
      <c r="BY21" t="str">
        <f t="shared" si="0"/>
        <v>Proportion of Patients Receiving Surgery Within 8 Weeks of Assessment England</v>
      </c>
      <c r="BZ21" s="4">
        <v>0.35568645219755324</v>
      </c>
      <c r="CA21" s="4">
        <v>0.31385281385281383</v>
      </c>
      <c r="CB21" s="4">
        <v>0.32277397260273971</v>
      </c>
    </row>
    <row r="22" spans="1:80" x14ac:dyDescent="0.25">
      <c r="A22" s="2" t="s">
        <v>95</v>
      </c>
      <c r="B22" s="13" t="s">
        <v>94</v>
      </c>
      <c r="C22">
        <v>11</v>
      </c>
      <c r="D22">
        <v>3</v>
      </c>
      <c r="E22">
        <v>8</v>
      </c>
      <c r="F22">
        <v>11</v>
      </c>
      <c r="G22">
        <v>3</v>
      </c>
      <c r="H22" s="4">
        <v>0.27272730000000001</v>
      </c>
      <c r="I22">
        <v>23</v>
      </c>
      <c r="J22">
        <v>7</v>
      </c>
      <c r="K22">
        <v>16</v>
      </c>
      <c r="L22">
        <v>23</v>
      </c>
      <c r="M22">
        <v>10</v>
      </c>
      <c r="N22" s="4">
        <v>0.43478260000000002</v>
      </c>
      <c r="O22">
        <v>13</v>
      </c>
      <c r="P22">
        <v>2</v>
      </c>
      <c r="Q22">
        <v>11</v>
      </c>
      <c r="R22">
        <v>12</v>
      </c>
      <c r="S22">
        <v>2</v>
      </c>
      <c r="T22" s="4">
        <v>0.1666667</v>
      </c>
      <c r="U22">
        <v>31</v>
      </c>
      <c r="V22">
        <v>7</v>
      </c>
      <c r="W22">
        <v>24</v>
      </c>
      <c r="X22">
        <v>30</v>
      </c>
      <c r="Y22">
        <v>12</v>
      </c>
      <c r="Z22" s="4">
        <v>0.4</v>
      </c>
      <c r="AA22">
        <v>21</v>
      </c>
      <c r="AB22">
        <v>4</v>
      </c>
      <c r="AC22">
        <v>17</v>
      </c>
      <c r="AD22">
        <v>20</v>
      </c>
      <c r="AE22">
        <v>7</v>
      </c>
      <c r="AF22" s="4">
        <v>0.35</v>
      </c>
      <c r="AG22">
        <v>23</v>
      </c>
      <c r="AH22">
        <v>11</v>
      </c>
      <c r="AI22">
        <v>12</v>
      </c>
      <c r="AJ22">
        <v>22</v>
      </c>
      <c r="AK22">
        <v>7</v>
      </c>
      <c r="AL22" s="4">
        <v>0.31818180000000001</v>
      </c>
      <c r="AM22">
        <v>24</v>
      </c>
      <c r="AN22">
        <v>15</v>
      </c>
      <c r="AO22">
        <v>9</v>
      </c>
      <c r="AP22">
        <v>24</v>
      </c>
      <c r="AQ22">
        <v>12</v>
      </c>
      <c r="AR22" s="4">
        <v>0.5</v>
      </c>
      <c r="AS22">
        <v>11</v>
      </c>
      <c r="AT22">
        <v>4</v>
      </c>
      <c r="AU22">
        <v>7</v>
      </c>
      <c r="AV22">
        <v>11</v>
      </c>
      <c r="AW22">
        <v>5</v>
      </c>
      <c r="AX22" s="4">
        <v>0.45454549999999999</v>
      </c>
      <c r="AY22">
        <v>20</v>
      </c>
      <c r="AZ22">
        <v>5</v>
      </c>
      <c r="BA22">
        <v>15</v>
      </c>
      <c r="BB22">
        <v>20</v>
      </c>
      <c r="BC22">
        <v>5</v>
      </c>
      <c r="BD22" s="4">
        <v>0.25</v>
      </c>
      <c r="BE22">
        <v>28</v>
      </c>
      <c r="BF22">
        <v>5</v>
      </c>
      <c r="BG22">
        <v>23</v>
      </c>
      <c r="BH22">
        <v>28</v>
      </c>
      <c r="BI22">
        <v>7</v>
      </c>
      <c r="BJ22" s="4">
        <v>0.25</v>
      </c>
      <c r="BK22">
        <v>17</v>
      </c>
      <c r="BL22">
        <v>3</v>
      </c>
      <c r="BM22">
        <v>14</v>
      </c>
      <c r="BN22">
        <v>17</v>
      </c>
      <c r="BO22">
        <v>4</v>
      </c>
      <c r="BP22" s="4">
        <v>0.23529410000000001</v>
      </c>
      <c r="BQ22">
        <v>20</v>
      </c>
      <c r="BR22">
        <v>7</v>
      </c>
      <c r="BS22">
        <v>13</v>
      </c>
      <c r="BT22">
        <v>20</v>
      </c>
      <c r="BU22">
        <v>7</v>
      </c>
      <c r="BV22" s="4">
        <v>0.35</v>
      </c>
      <c r="BW22" t="s">
        <v>526</v>
      </c>
      <c r="BX22" t="s">
        <v>514</v>
      </c>
      <c r="BY22" t="str">
        <f t="shared" si="0"/>
        <v>Proportion of Patients Receiving Surgery Within 8 Weeks of Assessment England</v>
      </c>
      <c r="BZ22" s="4">
        <v>0.35568645219755324</v>
      </c>
      <c r="CA22" s="4">
        <v>0.31385281385281383</v>
      </c>
      <c r="CB22" s="4">
        <v>0.32277397260273971</v>
      </c>
    </row>
    <row r="23" spans="1:80" x14ac:dyDescent="0.25">
      <c r="A23" s="2" t="s">
        <v>63</v>
      </c>
      <c r="B23" s="13" t="s">
        <v>62</v>
      </c>
      <c r="C23">
        <v>9</v>
      </c>
      <c r="D23">
        <v>3</v>
      </c>
      <c r="E23">
        <v>6</v>
      </c>
      <c r="F23">
        <v>8</v>
      </c>
      <c r="G23">
        <v>4</v>
      </c>
      <c r="H23" s="4">
        <v>0.5</v>
      </c>
      <c r="I23">
        <v>7</v>
      </c>
      <c r="J23">
        <v>5</v>
      </c>
      <c r="K23">
        <v>2</v>
      </c>
      <c r="L23">
        <v>7</v>
      </c>
      <c r="M23">
        <v>2</v>
      </c>
      <c r="N23" s="4">
        <v>0.28571429999999998</v>
      </c>
      <c r="O23">
        <v>11</v>
      </c>
      <c r="P23">
        <v>5</v>
      </c>
      <c r="Q23">
        <v>6</v>
      </c>
      <c r="R23">
        <v>8</v>
      </c>
      <c r="S23">
        <v>0</v>
      </c>
      <c r="T23" s="4">
        <v>0</v>
      </c>
      <c r="U23">
        <v>13</v>
      </c>
      <c r="V23">
        <v>7</v>
      </c>
      <c r="W23">
        <v>6</v>
      </c>
      <c r="X23">
        <v>9</v>
      </c>
      <c r="Y23">
        <v>1</v>
      </c>
      <c r="Z23" s="4">
        <v>0.1111111</v>
      </c>
      <c r="AA23">
        <v>10</v>
      </c>
      <c r="AB23">
        <v>2</v>
      </c>
      <c r="AC23">
        <v>8</v>
      </c>
      <c r="AD23">
        <v>7</v>
      </c>
      <c r="AE23">
        <v>3</v>
      </c>
      <c r="AF23" s="4">
        <v>0.42857139999999999</v>
      </c>
      <c r="AG23">
        <v>12</v>
      </c>
      <c r="AH23">
        <v>3</v>
      </c>
      <c r="AI23">
        <v>9</v>
      </c>
      <c r="AJ23">
        <v>9</v>
      </c>
      <c r="AK23">
        <v>4</v>
      </c>
      <c r="AL23" s="4">
        <v>0.44444440000000002</v>
      </c>
      <c r="AM23">
        <v>13</v>
      </c>
      <c r="AN23">
        <v>7</v>
      </c>
      <c r="AO23">
        <v>6</v>
      </c>
      <c r="AP23">
        <v>13</v>
      </c>
      <c r="AQ23">
        <v>4</v>
      </c>
      <c r="AR23" s="4">
        <v>0.30769229999999997</v>
      </c>
      <c r="AS23">
        <v>6</v>
      </c>
      <c r="AT23">
        <v>3</v>
      </c>
      <c r="AU23">
        <v>3</v>
      </c>
      <c r="AV23">
        <v>4</v>
      </c>
      <c r="AW23">
        <v>1</v>
      </c>
      <c r="AX23" s="4">
        <v>0.25</v>
      </c>
      <c r="AY23">
        <v>8</v>
      </c>
      <c r="AZ23">
        <v>4</v>
      </c>
      <c r="BA23">
        <v>4</v>
      </c>
      <c r="BB23">
        <v>8</v>
      </c>
      <c r="BC23">
        <v>2</v>
      </c>
      <c r="BD23" s="4">
        <v>0.25</v>
      </c>
      <c r="BE23">
        <v>12</v>
      </c>
      <c r="BF23">
        <v>8</v>
      </c>
      <c r="BG23">
        <v>4</v>
      </c>
      <c r="BH23">
        <v>12</v>
      </c>
      <c r="BI23">
        <v>6</v>
      </c>
      <c r="BJ23" s="4">
        <v>0.5</v>
      </c>
      <c r="BK23">
        <v>8</v>
      </c>
      <c r="BL23">
        <v>3</v>
      </c>
      <c r="BM23">
        <v>5</v>
      </c>
      <c r="BN23">
        <v>7</v>
      </c>
      <c r="BO23">
        <v>1</v>
      </c>
      <c r="BP23" s="4">
        <v>0.14285709999999999</v>
      </c>
      <c r="BQ23">
        <v>15</v>
      </c>
      <c r="BR23">
        <v>3</v>
      </c>
      <c r="BS23">
        <v>12</v>
      </c>
      <c r="BT23">
        <v>15</v>
      </c>
      <c r="BU23">
        <v>6</v>
      </c>
      <c r="BV23" s="4">
        <v>0.4</v>
      </c>
      <c r="BW23" t="s">
        <v>526</v>
      </c>
      <c r="BX23" t="s">
        <v>514</v>
      </c>
      <c r="BY23" t="str">
        <f t="shared" si="0"/>
        <v>Proportion of Patients Receiving Surgery Within 8 Weeks of Assessment England</v>
      </c>
      <c r="BZ23" s="4">
        <v>0.35568645219755324</v>
      </c>
      <c r="CA23" s="4">
        <v>0.31385281385281383</v>
      </c>
      <c r="CB23" s="4">
        <v>0.32277397260273971</v>
      </c>
    </row>
    <row r="24" spans="1:80" x14ac:dyDescent="0.25">
      <c r="A24" s="2" t="s">
        <v>143</v>
      </c>
      <c r="B24" s="13" t="s">
        <v>142</v>
      </c>
      <c r="C24">
        <v>4</v>
      </c>
      <c r="D24">
        <v>2</v>
      </c>
      <c r="E24">
        <v>2</v>
      </c>
      <c r="F24">
        <v>2</v>
      </c>
      <c r="G24">
        <v>1</v>
      </c>
      <c r="H24" s="4">
        <v>0.5</v>
      </c>
      <c r="I24">
        <v>6</v>
      </c>
      <c r="J24">
        <v>4</v>
      </c>
      <c r="K24">
        <v>2</v>
      </c>
      <c r="L24">
        <v>6</v>
      </c>
      <c r="M24">
        <v>2</v>
      </c>
      <c r="N24" s="4">
        <v>0.3333333</v>
      </c>
      <c r="O24">
        <v>3</v>
      </c>
      <c r="P24">
        <v>3</v>
      </c>
      <c r="Q24">
        <v>0</v>
      </c>
      <c r="R24">
        <v>2</v>
      </c>
      <c r="S24">
        <v>1</v>
      </c>
      <c r="T24" s="4">
        <v>0.5</v>
      </c>
      <c r="U24">
        <v>3</v>
      </c>
      <c r="V24">
        <v>1</v>
      </c>
      <c r="W24">
        <v>2</v>
      </c>
      <c r="X24">
        <v>3</v>
      </c>
      <c r="Y24">
        <v>1</v>
      </c>
      <c r="Z24" s="4">
        <v>0.3333333</v>
      </c>
      <c r="AA24">
        <v>1</v>
      </c>
      <c r="AB24">
        <v>1</v>
      </c>
      <c r="AC24">
        <v>0</v>
      </c>
      <c r="AD24">
        <v>1</v>
      </c>
      <c r="AE24">
        <v>0</v>
      </c>
      <c r="AF24" s="4">
        <v>0</v>
      </c>
      <c r="AG24">
        <v>4</v>
      </c>
      <c r="AH24">
        <v>3</v>
      </c>
      <c r="AI24">
        <v>1</v>
      </c>
      <c r="AJ24">
        <v>2</v>
      </c>
      <c r="AK24">
        <v>0</v>
      </c>
      <c r="AL24" s="4">
        <v>0</v>
      </c>
      <c r="AM24">
        <v>2</v>
      </c>
      <c r="AN24">
        <v>1</v>
      </c>
      <c r="AO24">
        <v>1</v>
      </c>
      <c r="AP24">
        <v>1</v>
      </c>
      <c r="AQ24">
        <v>0</v>
      </c>
      <c r="AR24" s="4">
        <v>0</v>
      </c>
      <c r="AS24">
        <v>1</v>
      </c>
      <c r="AT24">
        <v>0</v>
      </c>
      <c r="AU24">
        <v>1</v>
      </c>
      <c r="AV24">
        <v>1</v>
      </c>
      <c r="AW24">
        <v>0</v>
      </c>
      <c r="AX24" s="4">
        <v>0</v>
      </c>
      <c r="AY24">
        <v>1</v>
      </c>
      <c r="AZ24">
        <v>1</v>
      </c>
      <c r="BA24">
        <v>0</v>
      </c>
      <c r="BB24">
        <v>0</v>
      </c>
      <c r="BC24">
        <v>0</v>
      </c>
      <c r="BD24" s="4" t="s">
        <v>122</v>
      </c>
      <c r="BE24">
        <v>2</v>
      </c>
      <c r="BF24">
        <v>2</v>
      </c>
      <c r="BG24">
        <v>0</v>
      </c>
      <c r="BH24">
        <v>2</v>
      </c>
      <c r="BI24">
        <v>0</v>
      </c>
      <c r="BJ24" s="4">
        <v>0</v>
      </c>
      <c r="BK24">
        <v>1</v>
      </c>
      <c r="BL24">
        <v>0</v>
      </c>
      <c r="BM24">
        <v>1</v>
      </c>
      <c r="BN24">
        <v>1</v>
      </c>
      <c r="BO24">
        <v>1</v>
      </c>
      <c r="BP24" s="4">
        <v>1</v>
      </c>
      <c r="BQ24">
        <v>1</v>
      </c>
      <c r="BR24">
        <v>0</v>
      </c>
      <c r="BS24">
        <v>1</v>
      </c>
      <c r="BT24">
        <v>1</v>
      </c>
      <c r="BU24">
        <v>1</v>
      </c>
      <c r="BV24" s="4">
        <v>1</v>
      </c>
      <c r="BW24" t="s">
        <v>526</v>
      </c>
      <c r="BX24" t="s">
        <v>514</v>
      </c>
      <c r="BY24" t="str">
        <f t="shared" si="0"/>
        <v>Proportion of Patients Receiving Surgery Within 8 Weeks of Assessment England</v>
      </c>
      <c r="BZ24" s="4">
        <v>0.35568645219755324</v>
      </c>
      <c r="CA24" s="4">
        <v>0.31385281385281383</v>
      </c>
      <c r="CB24" s="4">
        <v>0.32277397260273971</v>
      </c>
    </row>
    <row r="25" spans="1:80" x14ac:dyDescent="0.25">
      <c r="A25" s="2" t="s">
        <v>130</v>
      </c>
      <c r="B25" s="13" t="s">
        <v>25</v>
      </c>
      <c r="C25">
        <v>11</v>
      </c>
      <c r="D25">
        <v>3</v>
      </c>
      <c r="E25">
        <v>8</v>
      </c>
      <c r="F25">
        <v>11</v>
      </c>
      <c r="G25">
        <v>3</v>
      </c>
      <c r="H25" s="4">
        <v>0.27272730000000001</v>
      </c>
      <c r="I25">
        <v>7</v>
      </c>
      <c r="J25">
        <v>3</v>
      </c>
      <c r="K25">
        <v>4</v>
      </c>
      <c r="L25">
        <v>7</v>
      </c>
      <c r="M25">
        <v>4</v>
      </c>
      <c r="N25" s="4">
        <v>0.57142859999999995</v>
      </c>
      <c r="O25">
        <v>9</v>
      </c>
      <c r="P25">
        <v>5</v>
      </c>
      <c r="Q25">
        <v>4</v>
      </c>
      <c r="R25">
        <v>9</v>
      </c>
      <c r="S25">
        <v>2</v>
      </c>
      <c r="T25" s="4">
        <v>0.22222220000000001</v>
      </c>
      <c r="U25">
        <v>24</v>
      </c>
      <c r="V25">
        <v>8</v>
      </c>
      <c r="W25">
        <v>16</v>
      </c>
      <c r="X25">
        <v>22</v>
      </c>
      <c r="Y25">
        <v>1</v>
      </c>
      <c r="Z25" s="4">
        <v>4.5454500000000002E-2</v>
      </c>
      <c r="AA25">
        <v>8</v>
      </c>
      <c r="AB25">
        <v>4</v>
      </c>
      <c r="AC25">
        <v>4</v>
      </c>
      <c r="AD25">
        <v>8</v>
      </c>
      <c r="AE25">
        <v>2</v>
      </c>
      <c r="AF25" s="4">
        <v>0.25</v>
      </c>
      <c r="AG25">
        <v>21</v>
      </c>
      <c r="AH25">
        <v>6</v>
      </c>
      <c r="AI25">
        <v>15</v>
      </c>
      <c r="AJ25">
        <v>20</v>
      </c>
      <c r="AK25">
        <v>5</v>
      </c>
      <c r="AL25" s="4">
        <v>0.25</v>
      </c>
      <c r="AM25">
        <v>11</v>
      </c>
      <c r="AN25">
        <v>2</v>
      </c>
      <c r="AO25">
        <v>9</v>
      </c>
      <c r="AP25">
        <v>9</v>
      </c>
      <c r="AQ25">
        <v>1</v>
      </c>
      <c r="AR25" s="4">
        <v>0.1111111</v>
      </c>
      <c r="AS25">
        <v>16</v>
      </c>
      <c r="AT25">
        <v>8</v>
      </c>
      <c r="AU25">
        <v>8</v>
      </c>
      <c r="AV25">
        <v>15</v>
      </c>
      <c r="AW25">
        <v>2</v>
      </c>
      <c r="AX25" s="4">
        <v>0.13333329999999999</v>
      </c>
      <c r="AY25">
        <v>19</v>
      </c>
      <c r="AZ25">
        <v>5</v>
      </c>
      <c r="BA25">
        <v>14</v>
      </c>
      <c r="BB25">
        <v>16</v>
      </c>
      <c r="BC25">
        <v>5</v>
      </c>
      <c r="BD25" s="4">
        <v>0.3125</v>
      </c>
      <c r="BE25">
        <v>19</v>
      </c>
      <c r="BF25">
        <v>3</v>
      </c>
      <c r="BG25">
        <v>16</v>
      </c>
      <c r="BH25">
        <v>14</v>
      </c>
      <c r="BI25">
        <v>3</v>
      </c>
      <c r="BJ25" s="4">
        <v>0.2142857</v>
      </c>
      <c r="BK25">
        <v>19</v>
      </c>
      <c r="BL25">
        <v>9</v>
      </c>
      <c r="BM25">
        <v>10</v>
      </c>
      <c r="BN25">
        <v>13</v>
      </c>
      <c r="BO25">
        <v>2</v>
      </c>
      <c r="BP25" s="4">
        <v>0.15384619999999999</v>
      </c>
      <c r="BQ25">
        <v>23</v>
      </c>
      <c r="BR25">
        <v>5</v>
      </c>
      <c r="BS25">
        <v>18</v>
      </c>
      <c r="BT25">
        <v>22</v>
      </c>
      <c r="BU25">
        <v>6</v>
      </c>
      <c r="BV25" s="4">
        <v>0.27272730000000001</v>
      </c>
      <c r="BW25" t="s">
        <v>526</v>
      </c>
      <c r="BX25" t="s">
        <v>514</v>
      </c>
      <c r="BY25" t="str">
        <f t="shared" si="0"/>
        <v>Proportion of Patients Receiving Surgery Within 8 Weeks of Assessment England</v>
      </c>
      <c r="BZ25" s="4">
        <v>0.35568645219755324</v>
      </c>
      <c r="CA25" s="4">
        <v>0.31385281385281383</v>
      </c>
      <c r="CB25" s="4">
        <v>0.32277397260273971</v>
      </c>
    </row>
    <row r="26" spans="1:80" x14ac:dyDescent="0.25">
      <c r="A26" s="2" t="s">
        <v>6</v>
      </c>
      <c r="B26" s="13" t="s">
        <v>5</v>
      </c>
      <c r="C26">
        <v>11</v>
      </c>
      <c r="D26">
        <v>2</v>
      </c>
      <c r="E26">
        <v>9</v>
      </c>
      <c r="F26">
        <v>9</v>
      </c>
      <c r="G26">
        <v>5</v>
      </c>
      <c r="H26" s="4">
        <v>0.55555560000000004</v>
      </c>
      <c r="I26">
        <v>20</v>
      </c>
      <c r="J26">
        <v>8</v>
      </c>
      <c r="K26">
        <v>12</v>
      </c>
      <c r="L26">
        <v>19</v>
      </c>
      <c r="M26">
        <v>9</v>
      </c>
      <c r="N26" s="4">
        <v>0.4736842</v>
      </c>
      <c r="O26">
        <v>18</v>
      </c>
      <c r="P26">
        <v>8</v>
      </c>
      <c r="Q26">
        <v>10</v>
      </c>
      <c r="R26">
        <v>17</v>
      </c>
      <c r="S26">
        <v>7</v>
      </c>
      <c r="T26" s="4">
        <v>0.41176469999999998</v>
      </c>
      <c r="U26">
        <v>15</v>
      </c>
      <c r="V26">
        <v>6</v>
      </c>
      <c r="W26">
        <v>9</v>
      </c>
      <c r="X26">
        <v>14</v>
      </c>
      <c r="Y26">
        <v>2</v>
      </c>
      <c r="Z26" s="4">
        <v>0.14285709999999999</v>
      </c>
      <c r="AA26">
        <v>17</v>
      </c>
      <c r="AB26">
        <v>9</v>
      </c>
      <c r="AC26">
        <v>8</v>
      </c>
      <c r="AD26">
        <v>17</v>
      </c>
      <c r="AE26">
        <v>6</v>
      </c>
      <c r="AF26" s="4">
        <v>0.35294120000000001</v>
      </c>
      <c r="AG26">
        <v>19</v>
      </c>
      <c r="AH26">
        <v>8</v>
      </c>
      <c r="AI26">
        <v>11</v>
      </c>
      <c r="AJ26">
        <v>18</v>
      </c>
      <c r="AK26">
        <v>5</v>
      </c>
      <c r="AL26" s="4">
        <v>0.27777780000000002</v>
      </c>
      <c r="AM26">
        <v>18</v>
      </c>
      <c r="AN26">
        <v>4</v>
      </c>
      <c r="AO26">
        <v>14</v>
      </c>
      <c r="AP26">
        <v>17</v>
      </c>
      <c r="AQ26">
        <v>2</v>
      </c>
      <c r="AR26" s="4">
        <v>0.1176471</v>
      </c>
      <c r="AS26">
        <v>23</v>
      </c>
      <c r="AT26">
        <v>9</v>
      </c>
      <c r="AU26">
        <v>14</v>
      </c>
      <c r="AV26">
        <v>21</v>
      </c>
      <c r="AW26">
        <v>6</v>
      </c>
      <c r="AX26" s="4">
        <v>0.28571429999999998</v>
      </c>
      <c r="AY26">
        <v>20</v>
      </c>
      <c r="AZ26">
        <v>11</v>
      </c>
      <c r="BA26">
        <v>9</v>
      </c>
      <c r="BB26">
        <v>20</v>
      </c>
      <c r="BC26">
        <v>8</v>
      </c>
      <c r="BD26" s="4">
        <v>0.4</v>
      </c>
      <c r="BE26">
        <v>15</v>
      </c>
      <c r="BF26">
        <v>6</v>
      </c>
      <c r="BG26">
        <v>9</v>
      </c>
      <c r="BH26">
        <v>15</v>
      </c>
      <c r="BI26">
        <v>5</v>
      </c>
      <c r="BJ26" s="4">
        <v>0.3333333</v>
      </c>
      <c r="BK26">
        <v>26</v>
      </c>
      <c r="BL26">
        <v>11</v>
      </c>
      <c r="BM26">
        <v>15</v>
      </c>
      <c r="BN26">
        <v>26</v>
      </c>
      <c r="BO26">
        <v>3</v>
      </c>
      <c r="BP26" s="4">
        <v>0.1153846</v>
      </c>
      <c r="BQ26">
        <v>17</v>
      </c>
      <c r="BR26">
        <v>10</v>
      </c>
      <c r="BS26">
        <v>7</v>
      </c>
      <c r="BT26">
        <v>17</v>
      </c>
      <c r="BU26">
        <v>4</v>
      </c>
      <c r="BV26" s="4">
        <v>0.23529410000000001</v>
      </c>
      <c r="BW26" t="s">
        <v>526</v>
      </c>
      <c r="BX26" t="s">
        <v>514</v>
      </c>
      <c r="BY26" t="str">
        <f t="shared" si="0"/>
        <v>Proportion of Patients Receiving Surgery Within 8 Weeks of Assessment England</v>
      </c>
      <c r="BZ26" s="4">
        <v>0.35568645219755324</v>
      </c>
      <c r="CA26" s="4">
        <v>0.31385281385281383</v>
      </c>
      <c r="CB26" s="4">
        <v>0.32277397260273971</v>
      </c>
    </row>
    <row r="27" spans="1:80" x14ac:dyDescent="0.25">
      <c r="A27" s="2" t="s">
        <v>141</v>
      </c>
      <c r="B27" s="13" t="s">
        <v>14</v>
      </c>
      <c r="C27">
        <v>17</v>
      </c>
      <c r="D27">
        <v>6</v>
      </c>
      <c r="E27">
        <v>11</v>
      </c>
      <c r="F27">
        <v>16</v>
      </c>
      <c r="G27">
        <v>4</v>
      </c>
      <c r="H27" s="4">
        <v>0.25</v>
      </c>
      <c r="I27">
        <v>10</v>
      </c>
      <c r="J27">
        <v>0</v>
      </c>
      <c r="K27">
        <v>10</v>
      </c>
      <c r="L27">
        <v>10</v>
      </c>
      <c r="M27">
        <v>5</v>
      </c>
      <c r="N27" s="4">
        <v>0.5</v>
      </c>
      <c r="O27">
        <v>13</v>
      </c>
      <c r="P27">
        <v>2</v>
      </c>
      <c r="Q27">
        <v>11</v>
      </c>
      <c r="R27">
        <v>11</v>
      </c>
      <c r="S27">
        <v>5</v>
      </c>
      <c r="T27" s="4">
        <v>0.45454549999999999</v>
      </c>
      <c r="U27">
        <v>16</v>
      </c>
      <c r="V27">
        <v>1</v>
      </c>
      <c r="W27">
        <v>15</v>
      </c>
      <c r="X27">
        <v>14</v>
      </c>
      <c r="Y27">
        <v>2</v>
      </c>
      <c r="Z27" s="4">
        <v>0.14285709999999999</v>
      </c>
      <c r="AA27">
        <v>7</v>
      </c>
      <c r="AB27">
        <v>2</v>
      </c>
      <c r="AC27">
        <v>5</v>
      </c>
      <c r="AD27">
        <v>5</v>
      </c>
      <c r="AE27">
        <v>1</v>
      </c>
      <c r="AF27" s="4">
        <v>0.2</v>
      </c>
      <c r="AG27">
        <v>11</v>
      </c>
      <c r="AH27">
        <v>1</v>
      </c>
      <c r="AI27">
        <v>10</v>
      </c>
      <c r="AJ27">
        <v>10</v>
      </c>
      <c r="AK27">
        <v>2</v>
      </c>
      <c r="AL27" s="4">
        <v>0.2</v>
      </c>
      <c r="AM27">
        <v>19</v>
      </c>
      <c r="AN27">
        <v>3</v>
      </c>
      <c r="AO27">
        <v>16</v>
      </c>
      <c r="AP27">
        <v>17</v>
      </c>
      <c r="AQ27">
        <v>3</v>
      </c>
      <c r="AR27" s="4">
        <v>0.17647060000000001</v>
      </c>
      <c r="AS27">
        <v>14</v>
      </c>
      <c r="AT27">
        <v>4</v>
      </c>
      <c r="AU27">
        <v>10</v>
      </c>
      <c r="AV27">
        <v>14</v>
      </c>
      <c r="AW27">
        <v>4</v>
      </c>
      <c r="AX27" s="4">
        <v>0.28571429999999998</v>
      </c>
      <c r="AY27">
        <v>21</v>
      </c>
      <c r="AZ27">
        <v>4</v>
      </c>
      <c r="BA27">
        <v>17</v>
      </c>
      <c r="BB27">
        <v>20</v>
      </c>
      <c r="BC27">
        <v>4</v>
      </c>
      <c r="BD27" s="4">
        <v>0.2</v>
      </c>
      <c r="BE27">
        <v>22</v>
      </c>
      <c r="BF27">
        <v>2</v>
      </c>
      <c r="BG27">
        <v>20</v>
      </c>
      <c r="BH27">
        <v>22</v>
      </c>
      <c r="BI27">
        <v>6</v>
      </c>
      <c r="BJ27" s="4">
        <v>0.27272730000000001</v>
      </c>
      <c r="BK27">
        <v>21</v>
      </c>
      <c r="BL27">
        <v>9</v>
      </c>
      <c r="BM27">
        <v>12</v>
      </c>
      <c r="BN27">
        <v>19</v>
      </c>
      <c r="BO27">
        <v>5</v>
      </c>
      <c r="BP27" s="4">
        <v>0.2631579</v>
      </c>
      <c r="BQ27">
        <v>23</v>
      </c>
      <c r="BR27">
        <v>9</v>
      </c>
      <c r="BS27">
        <v>14</v>
      </c>
      <c r="BT27">
        <v>18</v>
      </c>
      <c r="BU27">
        <v>8</v>
      </c>
      <c r="BV27" s="4">
        <v>0.44444440000000002</v>
      </c>
      <c r="BW27" t="s">
        <v>526</v>
      </c>
      <c r="BX27" t="s">
        <v>514</v>
      </c>
      <c r="BY27" t="str">
        <f t="shared" si="0"/>
        <v>Proportion of Patients Receiving Surgery Within 8 Weeks of Assessment England</v>
      </c>
      <c r="BZ27" s="4">
        <v>0.35568645219755324</v>
      </c>
      <c r="CA27" s="4">
        <v>0.31385281385281383</v>
      </c>
      <c r="CB27" s="4">
        <v>0.32277397260273971</v>
      </c>
    </row>
    <row r="28" spans="1:80" x14ac:dyDescent="0.25">
      <c r="A28" s="2" t="s">
        <v>71</v>
      </c>
      <c r="B28" s="13" t="s">
        <v>70</v>
      </c>
      <c r="C28">
        <v>16</v>
      </c>
      <c r="D28">
        <v>11</v>
      </c>
      <c r="E28">
        <v>5</v>
      </c>
      <c r="F28">
        <v>15</v>
      </c>
      <c r="G28">
        <v>5</v>
      </c>
      <c r="H28" s="4">
        <v>0.3333333</v>
      </c>
      <c r="I28">
        <v>19</v>
      </c>
      <c r="J28">
        <v>12</v>
      </c>
      <c r="K28">
        <v>7</v>
      </c>
      <c r="L28">
        <v>18</v>
      </c>
      <c r="M28">
        <v>8</v>
      </c>
      <c r="N28" s="4">
        <v>0.44444440000000002</v>
      </c>
      <c r="O28">
        <v>24</v>
      </c>
      <c r="P28">
        <v>15</v>
      </c>
      <c r="Q28">
        <v>9</v>
      </c>
      <c r="R28">
        <v>22</v>
      </c>
      <c r="S28">
        <v>3</v>
      </c>
      <c r="T28" s="4">
        <v>0.1363636</v>
      </c>
      <c r="U28">
        <v>16</v>
      </c>
      <c r="V28">
        <v>12</v>
      </c>
      <c r="W28">
        <v>4</v>
      </c>
      <c r="X28">
        <v>16</v>
      </c>
      <c r="Y28">
        <v>7</v>
      </c>
      <c r="Z28" s="4">
        <v>0.4375</v>
      </c>
      <c r="AA28">
        <v>14</v>
      </c>
      <c r="AB28">
        <v>7</v>
      </c>
      <c r="AC28">
        <v>7</v>
      </c>
      <c r="AD28">
        <v>11</v>
      </c>
      <c r="AE28">
        <v>5</v>
      </c>
      <c r="AF28" s="4">
        <v>0.45454549999999999</v>
      </c>
      <c r="AG28">
        <v>15</v>
      </c>
      <c r="AH28">
        <v>6</v>
      </c>
      <c r="AI28">
        <v>9</v>
      </c>
      <c r="AJ28">
        <v>15</v>
      </c>
      <c r="AK28">
        <v>4</v>
      </c>
      <c r="AL28" s="4">
        <v>0.26666669999999998</v>
      </c>
      <c r="AM28">
        <v>14</v>
      </c>
      <c r="AN28">
        <v>5</v>
      </c>
      <c r="AO28">
        <v>9</v>
      </c>
      <c r="AP28">
        <v>13</v>
      </c>
      <c r="AQ28">
        <v>4</v>
      </c>
      <c r="AR28" s="4">
        <v>0.30769229999999997</v>
      </c>
      <c r="AS28">
        <v>10</v>
      </c>
      <c r="AT28">
        <v>6</v>
      </c>
      <c r="AU28">
        <v>4</v>
      </c>
      <c r="AV28">
        <v>8</v>
      </c>
      <c r="AW28">
        <v>3</v>
      </c>
      <c r="AX28" s="4">
        <v>0.375</v>
      </c>
      <c r="AY28">
        <v>11</v>
      </c>
      <c r="AZ28">
        <v>6</v>
      </c>
      <c r="BA28">
        <v>5</v>
      </c>
      <c r="BB28">
        <v>10</v>
      </c>
      <c r="BC28">
        <v>2</v>
      </c>
      <c r="BD28" s="4">
        <v>0.2</v>
      </c>
      <c r="BE28">
        <v>15</v>
      </c>
      <c r="BF28">
        <v>10</v>
      </c>
      <c r="BG28">
        <v>5</v>
      </c>
      <c r="BH28">
        <v>14</v>
      </c>
      <c r="BI28">
        <v>5</v>
      </c>
      <c r="BJ28" s="4">
        <v>0.35714289999999999</v>
      </c>
      <c r="BK28">
        <v>17</v>
      </c>
      <c r="BL28">
        <v>8</v>
      </c>
      <c r="BM28">
        <v>9</v>
      </c>
      <c r="BN28">
        <v>15</v>
      </c>
      <c r="BO28">
        <v>4</v>
      </c>
      <c r="BP28" s="4">
        <v>0.26666669999999998</v>
      </c>
      <c r="BQ28">
        <v>12</v>
      </c>
      <c r="BR28">
        <v>7</v>
      </c>
      <c r="BS28">
        <v>5</v>
      </c>
      <c r="BT28">
        <v>12</v>
      </c>
      <c r="BU28">
        <v>3</v>
      </c>
      <c r="BV28" s="4">
        <v>0.25</v>
      </c>
      <c r="BW28" t="s">
        <v>526</v>
      </c>
      <c r="BX28" t="s">
        <v>514</v>
      </c>
      <c r="BY28" t="str">
        <f t="shared" si="0"/>
        <v>Proportion of Patients Receiving Surgery Within 8 Weeks of Assessment England</v>
      </c>
      <c r="BZ28" s="4">
        <v>0.35568645219755324</v>
      </c>
      <c r="CA28" s="4">
        <v>0.31385281385281383</v>
      </c>
      <c r="CB28" s="4">
        <v>0.32277397260273971</v>
      </c>
    </row>
    <row r="29" spans="1:80" x14ac:dyDescent="0.25">
      <c r="A29" s="2" t="s">
        <v>109</v>
      </c>
      <c r="B29" s="13" t="s">
        <v>108</v>
      </c>
      <c r="C29">
        <v>6</v>
      </c>
      <c r="D29">
        <v>3</v>
      </c>
      <c r="E29">
        <v>3</v>
      </c>
      <c r="F29">
        <v>3</v>
      </c>
      <c r="G29">
        <v>1</v>
      </c>
      <c r="H29" s="4">
        <v>0.3333333</v>
      </c>
      <c r="I29">
        <v>6</v>
      </c>
      <c r="J29">
        <v>1</v>
      </c>
      <c r="K29">
        <v>5</v>
      </c>
      <c r="L29">
        <v>3</v>
      </c>
      <c r="M29">
        <v>1</v>
      </c>
      <c r="N29" s="4">
        <v>0.3333333</v>
      </c>
      <c r="O29">
        <v>9</v>
      </c>
      <c r="P29">
        <v>2</v>
      </c>
      <c r="Q29">
        <v>7</v>
      </c>
      <c r="R29">
        <v>6</v>
      </c>
      <c r="S29">
        <v>0</v>
      </c>
      <c r="T29" s="4">
        <v>0</v>
      </c>
      <c r="U29">
        <v>4</v>
      </c>
      <c r="V29">
        <v>3</v>
      </c>
      <c r="W29">
        <v>1</v>
      </c>
      <c r="X29">
        <v>2</v>
      </c>
      <c r="Y29">
        <v>0</v>
      </c>
      <c r="Z29" s="4">
        <v>0</v>
      </c>
      <c r="AA29">
        <v>7</v>
      </c>
      <c r="AB29">
        <v>1</v>
      </c>
      <c r="AC29">
        <v>6</v>
      </c>
      <c r="AD29">
        <v>4</v>
      </c>
      <c r="AE29">
        <v>1</v>
      </c>
      <c r="AF29" s="4">
        <v>0.25</v>
      </c>
      <c r="AG29">
        <v>8</v>
      </c>
      <c r="AH29">
        <v>2</v>
      </c>
      <c r="AI29">
        <v>6</v>
      </c>
      <c r="AJ29">
        <v>5</v>
      </c>
      <c r="AK29">
        <v>2</v>
      </c>
      <c r="AL29" s="4">
        <v>0.4</v>
      </c>
      <c r="AM29">
        <v>5</v>
      </c>
      <c r="AN29">
        <v>0</v>
      </c>
      <c r="AO29">
        <v>5</v>
      </c>
      <c r="AP29">
        <v>3</v>
      </c>
      <c r="AQ29">
        <v>1</v>
      </c>
      <c r="AR29" s="4">
        <v>0.3333333</v>
      </c>
      <c r="AS29">
        <v>2</v>
      </c>
      <c r="AT29">
        <v>0</v>
      </c>
      <c r="AU29">
        <v>2</v>
      </c>
      <c r="AV29">
        <v>2</v>
      </c>
      <c r="AW29">
        <v>0</v>
      </c>
      <c r="AX29" s="4">
        <v>0</v>
      </c>
      <c r="AY29">
        <v>4</v>
      </c>
      <c r="AZ29">
        <v>0</v>
      </c>
      <c r="BA29">
        <v>4</v>
      </c>
      <c r="BB29">
        <v>2</v>
      </c>
      <c r="BC29">
        <v>0</v>
      </c>
      <c r="BD29" s="4">
        <v>0</v>
      </c>
      <c r="BE29">
        <v>3</v>
      </c>
      <c r="BF29">
        <v>0</v>
      </c>
      <c r="BG29">
        <v>3</v>
      </c>
      <c r="BH29">
        <v>2</v>
      </c>
      <c r="BI29">
        <v>0</v>
      </c>
      <c r="BJ29" s="4">
        <v>0</v>
      </c>
      <c r="BK29">
        <v>4</v>
      </c>
      <c r="BL29">
        <v>0</v>
      </c>
      <c r="BM29">
        <v>4</v>
      </c>
      <c r="BN29">
        <v>2</v>
      </c>
      <c r="BO29">
        <v>1</v>
      </c>
      <c r="BP29" s="4">
        <v>0.5</v>
      </c>
      <c r="BQ29">
        <v>3</v>
      </c>
      <c r="BR29">
        <v>0</v>
      </c>
      <c r="BS29">
        <v>3</v>
      </c>
      <c r="BT29">
        <v>0</v>
      </c>
      <c r="BU29">
        <v>0</v>
      </c>
      <c r="BV29" s="4" t="s">
        <v>122</v>
      </c>
      <c r="BW29" t="s">
        <v>528</v>
      </c>
      <c r="BX29" t="s">
        <v>514</v>
      </c>
      <c r="BY29" t="str">
        <f t="shared" si="0"/>
        <v>Proportion of Patients Receiving Surgery Within 8 Weeks of Assessment Scotland</v>
      </c>
      <c r="BZ29" s="4">
        <v>0.33613445378151263</v>
      </c>
      <c r="CA29" s="4">
        <v>0.31952662721893493</v>
      </c>
      <c r="CB29" s="4">
        <v>0.28859060402684567</v>
      </c>
    </row>
    <row r="30" spans="1:80" x14ac:dyDescent="0.25">
      <c r="A30" s="2" t="s">
        <v>103</v>
      </c>
      <c r="B30" s="13" t="s">
        <v>102</v>
      </c>
      <c r="C30">
        <v>3</v>
      </c>
      <c r="D30">
        <v>1</v>
      </c>
      <c r="E30">
        <v>2</v>
      </c>
      <c r="F30">
        <v>3</v>
      </c>
      <c r="G30">
        <v>0</v>
      </c>
      <c r="H30" s="4">
        <v>0</v>
      </c>
      <c r="I30">
        <v>4</v>
      </c>
      <c r="J30">
        <v>1</v>
      </c>
      <c r="K30">
        <v>3</v>
      </c>
      <c r="L30">
        <v>3</v>
      </c>
      <c r="M30">
        <v>3</v>
      </c>
      <c r="N30" s="4">
        <v>1</v>
      </c>
      <c r="O30">
        <v>6</v>
      </c>
      <c r="P30">
        <v>0</v>
      </c>
      <c r="Q30">
        <v>6</v>
      </c>
      <c r="R30">
        <v>4</v>
      </c>
      <c r="S30">
        <v>1</v>
      </c>
      <c r="T30" s="4">
        <v>0.25</v>
      </c>
      <c r="U30">
        <v>10</v>
      </c>
      <c r="V30">
        <v>4</v>
      </c>
      <c r="W30">
        <v>6</v>
      </c>
      <c r="X30">
        <v>10</v>
      </c>
      <c r="Y30">
        <v>5</v>
      </c>
      <c r="Z30" s="4">
        <v>0.5</v>
      </c>
      <c r="AA30">
        <v>8</v>
      </c>
      <c r="AB30">
        <v>4</v>
      </c>
      <c r="AC30">
        <v>4</v>
      </c>
      <c r="AD30">
        <v>7</v>
      </c>
      <c r="AE30">
        <v>5</v>
      </c>
      <c r="AF30" s="4">
        <v>0.71428570000000002</v>
      </c>
      <c r="AG30">
        <v>11</v>
      </c>
      <c r="AH30">
        <v>4</v>
      </c>
      <c r="AI30">
        <v>7</v>
      </c>
      <c r="AJ30">
        <v>8</v>
      </c>
      <c r="AK30">
        <v>5</v>
      </c>
      <c r="AL30" s="4">
        <v>0.625</v>
      </c>
      <c r="AM30">
        <v>14</v>
      </c>
      <c r="AN30">
        <v>8</v>
      </c>
      <c r="AO30">
        <v>6</v>
      </c>
      <c r="AP30">
        <v>13</v>
      </c>
      <c r="AQ30">
        <v>6</v>
      </c>
      <c r="AR30" s="4">
        <v>0.46153850000000002</v>
      </c>
      <c r="AS30">
        <v>13</v>
      </c>
      <c r="AT30">
        <v>4</v>
      </c>
      <c r="AU30">
        <v>9</v>
      </c>
      <c r="AV30">
        <v>13</v>
      </c>
      <c r="AW30">
        <v>6</v>
      </c>
      <c r="AX30" s="4">
        <v>0.46153850000000002</v>
      </c>
      <c r="AY30">
        <v>7</v>
      </c>
      <c r="AZ30">
        <v>4</v>
      </c>
      <c r="BA30">
        <v>3</v>
      </c>
      <c r="BB30">
        <v>7</v>
      </c>
      <c r="BC30">
        <v>3</v>
      </c>
      <c r="BD30" s="4">
        <v>0.42857139999999999</v>
      </c>
      <c r="BE30">
        <v>3</v>
      </c>
      <c r="BF30">
        <v>1</v>
      </c>
      <c r="BG30">
        <v>2</v>
      </c>
      <c r="BH30">
        <v>3</v>
      </c>
      <c r="BI30">
        <v>3</v>
      </c>
      <c r="BJ30" s="4">
        <v>1</v>
      </c>
      <c r="BK30">
        <v>7</v>
      </c>
      <c r="BL30">
        <v>1</v>
      </c>
      <c r="BM30">
        <v>6</v>
      </c>
      <c r="BN30">
        <v>7</v>
      </c>
      <c r="BO30">
        <v>5</v>
      </c>
      <c r="BP30" s="4">
        <v>0.71428570000000002</v>
      </c>
      <c r="BQ30">
        <v>6</v>
      </c>
      <c r="BR30">
        <v>1</v>
      </c>
      <c r="BS30">
        <v>5</v>
      </c>
      <c r="BT30">
        <v>6</v>
      </c>
      <c r="BU30">
        <v>1</v>
      </c>
      <c r="BV30" s="4">
        <v>0.1666667</v>
      </c>
      <c r="BW30" t="s">
        <v>528</v>
      </c>
      <c r="BX30" t="s">
        <v>514</v>
      </c>
      <c r="BY30" t="str">
        <f t="shared" si="0"/>
        <v>Proportion of Patients Receiving Surgery Within 8 Weeks of Assessment Scotland</v>
      </c>
      <c r="BZ30" s="4">
        <v>0.33613445378151263</v>
      </c>
      <c r="CA30" s="4">
        <v>0.31952662721893493</v>
      </c>
      <c r="CB30" s="4">
        <v>0.28859060402684567</v>
      </c>
    </row>
    <row r="31" spans="1:80" x14ac:dyDescent="0.25">
      <c r="A31" s="2" t="s">
        <v>105</v>
      </c>
      <c r="B31" s="13" t="s">
        <v>104</v>
      </c>
      <c r="C31">
        <v>4</v>
      </c>
      <c r="D31">
        <v>3</v>
      </c>
      <c r="E31">
        <v>1</v>
      </c>
      <c r="F31">
        <v>4</v>
      </c>
      <c r="G31">
        <v>1</v>
      </c>
      <c r="H31" s="4">
        <v>0.25</v>
      </c>
      <c r="I31">
        <v>5</v>
      </c>
      <c r="J31">
        <v>5</v>
      </c>
      <c r="K31">
        <v>0</v>
      </c>
      <c r="L31">
        <v>5</v>
      </c>
      <c r="M31">
        <v>5</v>
      </c>
      <c r="N31" s="4">
        <v>1</v>
      </c>
      <c r="O31">
        <v>1</v>
      </c>
      <c r="P31">
        <v>1</v>
      </c>
      <c r="Q31">
        <v>0</v>
      </c>
      <c r="R31">
        <v>1</v>
      </c>
      <c r="S31">
        <v>1</v>
      </c>
      <c r="T31" s="4">
        <v>1</v>
      </c>
      <c r="U31">
        <v>3</v>
      </c>
      <c r="V31">
        <v>1</v>
      </c>
      <c r="W31">
        <v>2</v>
      </c>
      <c r="X31">
        <v>3</v>
      </c>
      <c r="Y31">
        <v>1</v>
      </c>
      <c r="Z31" s="4">
        <v>0.3333333</v>
      </c>
      <c r="AA31">
        <v>6</v>
      </c>
      <c r="AB31">
        <v>3</v>
      </c>
      <c r="AC31">
        <v>3</v>
      </c>
      <c r="AD31">
        <v>6</v>
      </c>
      <c r="AE31">
        <v>2</v>
      </c>
      <c r="AF31" s="4">
        <v>0.3333333</v>
      </c>
      <c r="AG31">
        <v>8</v>
      </c>
      <c r="AH31">
        <v>6</v>
      </c>
      <c r="AI31">
        <v>2</v>
      </c>
      <c r="AJ31">
        <v>8</v>
      </c>
      <c r="AK31">
        <v>3</v>
      </c>
      <c r="AL31" s="4">
        <v>0.375</v>
      </c>
      <c r="AM31">
        <v>6</v>
      </c>
      <c r="AN31">
        <v>3</v>
      </c>
      <c r="AO31">
        <v>3</v>
      </c>
      <c r="AP31">
        <v>6</v>
      </c>
      <c r="AQ31">
        <v>3</v>
      </c>
      <c r="AR31" s="4">
        <v>0.5</v>
      </c>
      <c r="AS31">
        <v>5</v>
      </c>
      <c r="AT31">
        <v>3</v>
      </c>
      <c r="AU31">
        <v>2</v>
      </c>
      <c r="AV31">
        <v>5</v>
      </c>
      <c r="AW31">
        <v>2</v>
      </c>
      <c r="AX31" s="4">
        <v>0.4</v>
      </c>
      <c r="AY31">
        <v>5</v>
      </c>
      <c r="AZ31">
        <v>3</v>
      </c>
      <c r="BA31">
        <v>2</v>
      </c>
      <c r="BB31">
        <v>5</v>
      </c>
      <c r="BC31">
        <v>2</v>
      </c>
      <c r="BD31" s="4">
        <v>0.4</v>
      </c>
      <c r="BE31">
        <v>4</v>
      </c>
      <c r="BF31">
        <v>2</v>
      </c>
      <c r="BG31">
        <v>2</v>
      </c>
      <c r="BH31">
        <v>3</v>
      </c>
      <c r="BI31">
        <v>3</v>
      </c>
      <c r="BJ31" s="4">
        <v>1</v>
      </c>
      <c r="BK31">
        <v>1</v>
      </c>
      <c r="BL31">
        <v>1</v>
      </c>
      <c r="BM31">
        <v>0</v>
      </c>
      <c r="BN31">
        <v>1</v>
      </c>
      <c r="BO31">
        <v>1</v>
      </c>
      <c r="BP31" s="4">
        <v>1</v>
      </c>
      <c r="BQ31">
        <v>8</v>
      </c>
      <c r="BR31">
        <v>5</v>
      </c>
      <c r="BS31">
        <v>3</v>
      </c>
      <c r="BT31">
        <v>8</v>
      </c>
      <c r="BU31">
        <v>5</v>
      </c>
      <c r="BV31" s="4">
        <v>0.625</v>
      </c>
      <c r="BW31" t="s">
        <v>528</v>
      </c>
      <c r="BX31" t="s">
        <v>514</v>
      </c>
      <c r="BY31" t="str">
        <f t="shared" si="0"/>
        <v>Proportion of Patients Receiving Surgery Within 8 Weeks of Assessment Scotland</v>
      </c>
      <c r="BZ31" s="4">
        <v>0.33613445378151263</v>
      </c>
      <c r="CA31" s="4">
        <v>0.31952662721893493</v>
      </c>
      <c r="CB31" s="4">
        <v>0.28859060402684567</v>
      </c>
    </row>
    <row r="32" spans="1:80" x14ac:dyDescent="0.25">
      <c r="A32" s="2" t="s">
        <v>107</v>
      </c>
      <c r="B32" s="13" t="s">
        <v>106</v>
      </c>
      <c r="C32">
        <v>9</v>
      </c>
      <c r="D32">
        <v>3</v>
      </c>
      <c r="E32">
        <v>6</v>
      </c>
      <c r="F32">
        <v>7</v>
      </c>
      <c r="G32">
        <v>3</v>
      </c>
      <c r="H32" s="4">
        <v>0.42857139999999999</v>
      </c>
      <c r="I32">
        <v>8</v>
      </c>
      <c r="J32">
        <v>4</v>
      </c>
      <c r="K32">
        <v>4</v>
      </c>
      <c r="L32">
        <v>5</v>
      </c>
      <c r="M32">
        <v>1</v>
      </c>
      <c r="N32" s="4">
        <v>0.2</v>
      </c>
      <c r="O32">
        <v>9</v>
      </c>
      <c r="P32">
        <v>5</v>
      </c>
      <c r="Q32">
        <v>4</v>
      </c>
      <c r="R32">
        <v>2</v>
      </c>
      <c r="S32">
        <v>1</v>
      </c>
      <c r="T32" s="4">
        <v>0.5</v>
      </c>
      <c r="U32">
        <v>14</v>
      </c>
      <c r="V32">
        <v>10</v>
      </c>
      <c r="W32">
        <v>4</v>
      </c>
      <c r="X32">
        <v>6</v>
      </c>
      <c r="Y32">
        <v>2</v>
      </c>
      <c r="Z32" s="4">
        <v>0.3333333</v>
      </c>
      <c r="AA32">
        <v>4</v>
      </c>
      <c r="AB32">
        <v>3</v>
      </c>
      <c r="AC32">
        <v>1</v>
      </c>
      <c r="AD32">
        <v>4</v>
      </c>
      <c r="AE32">
        <v>0</v>
      </c>
      <c r="AF32" s="4">
        <v>0</v>
      </c>
      <c r="AG32">
        <v>7</v>
      </c>
      <c r="AH32">
        <v>0</v>
      </c>
      <c r="AI32">
        <v>7</v>
      </c>
      <c r="AJ32">
        <v>7</v>
      </c>
      <c r="AK32">
        <v>2</v>
      </c>
      <c r="AL32" s="4">
        <v>0.28571429999999998</v>
      </c>
      <c r="AM32">
        <v>11</v>
      </c>
      <c r="AN32">
        <v>2</v>
      </c>
      <c r="AO32">
        <v>9</v>
      </c>
      <c r="AP32">
        <v>6</v>
      </c>
      <c r="AQ32">
        <v>0</v>
      </c>
      <c r="AR32" s="4">
        <v>0</v>
      </c>
      <c r="AS32">
        <v>9</v>
      </c>
      <c r="AT32">
        <v>5</v>
      </c>
      <c r="AU32">
        <v>4</v>
      </c>
      <c r="AV32">
        <v>8</v>
      </c>
      <c r="AW32">
        <v>1</v>
      </c>
      <c r="AX32" s="4">
        <v>0.125</v>
      </c>
      <c r="AY32">
        <v>7</v>
      </c>
      <c r="AZ32">
        <v>3</v>
      </c>
      <c r="BA32">
        <v>4</v>
      </c>
      <c r="BB32">
        <v>7</v>
      </c>
      <c r="BC32">
        <v>2</v>
      </c>
      <c r="BD32" s="4">
        <v>0.28571429999999998</v>
      </c>
      <c r="BE32">
        <v>16</v>
      </c>
      <c r="BF32">
        <v>5</v>
      </c>
      <c r="BG32">
        <v>11</v>
      </c>
      <c r="BH32">
        <v>15</v>
      </c>
      <c r="BI32">
        <v>2</v>
      </c>
      <c r="BJ32" s="4">
        <v>0.13333329999999999</v>
      </c>
      <c r="BK32">
        <v>15</v>
      </c>
      <c r="BL32">
        <v>10</v>
      </c>
      <c r="BM32">
        <v>5</v>
      </c>
      <c r="BN32">
        <v>13</v>
      </c>
      <c r="BO32">
        <v>2</v>
      </c>
      <c r="BP32" s="4">
        <v>0.15384619999999999</v>
      </c>
      <c r="BQ32">
        <v>8</v>
      </c>
      <c r="BR32">
        <v>1</v>
      </c>
      <c r="BS32">
        <v>7</v>
      </c>
      <c r="BT32">
        <v>7</v>
      </c>
      <c r="BU32">
        <v>0</v>
      </c>
      <c r="BV32" s="4">
        <v>0</v>
      </c>
      <c r="BW32" t="s">
        <v>528</v>
      </c>
      <c r="BX32" t="s">
        <v>514</v>
      </c>
      <c r="BY32" t="str">
        <f t="shared" si="0"/>
        <v>Proportion of Patients Receiving Surgery Within 8 Weeks of Assessment Scotland</v>
      </c>
      <c r="BZ32" s="4">
        <v>0.33613445378151263</v>
      </c>
      <c r="CA32" s="4">
        <v>0.31952662721893493</v>
      </c>
      <c r="CB32" s="4">
        <v>0.28859060402684567</v>
      </c>
    </row>
    <row r="33" spans="1:80" x14ac:dyDescent="0.25">
      <c r="A33" s="2" t="s">
        <v>111</v>
      </c>
      <c r="B33" s="13" t="s">
        <v>110</v>
      </c>
      <c r="C33">
        <v>5</v>
      </c>
      <c r="D33">
        <v>3</v>
      </c>
      <c r="E33">
        <v>2</v>
      </c>
      <c r="F33">
        <v>5</v>
      </c>
      <c r="G33">
        <v>4</v>
      </c>
      <c r="H33" s="4">
        <v>0.8</v>
      </c>
      <c r="I33">
        <v>6</v>
      </c>
      <c r="J33">
        <v>5</v>
      </c>
      <c r="K33">
        <v>1</v>
      </c>
      <c r="L33">
        <v>6</v>
      </c>
      <c r="M33">
        <v>4</v>
      </c>
      <c r="N33" s="4">
        <v>0.66666669999999995</v>
      </c>
      <c r="O33">
        <v>12</v>
      </c>
      <c r="P33">
        <v>6</v>
      </c>
      <c r="Q33">
        <v>6</v>
      </c>
      <c r="R33">
        <v>12</v>
      </c>
      <c r="S33">
        <v>4</v>
      </c>
      <c r="T33" s="4">
        <v>0.3333333</v>
      </c>
      <c r="U33">
        <v>14</v>
      </c>
      <c r="V33">
        <v>9</v>
      </c>
      <c r="W33">
        <v>5</v>
      </c>
      <c r="X33">
        <v>14</v>
      </c>
      <c r="Y33">
        <v>1</v>
      </c>
      <c r="Z33" s="4">
        <v>7.1428599999999995E-2</v>
      </c>
      <c r="AA33">
        <v>10</v>
      </c>
      <c r="AB33">
        <v>8</v>
      </c>
      <c r="AC33">
        <v>2</v>
      </c>
      <c r="AD33">
        <v>9</v>
      </c>
      <c r="AE33">
        <v>2</v>
      </c>
      <c r="AF33" s="4">
        <v>0.22222220000000001</v>
      </c>
      <c r="AG33">
        <v>8</v>
      </c>
      <c r="AH33">
        <v>4</v>
      </c>
      <c r="AI33">
        <v>4</v>
      </c>
      <c r="AJ33">
        <v>8</v>
      </c>
      <c r="AK33">
        <v>3</v>
      </c>
      <c r="AL33" s="4">
        <v>0.375</v>
      </c>
      <c r="AM33">
        <v>11</v>
      </c>
      <c r="AN33">
        <v>5</v>
      </c>
      <c r="AO33">
        <v>6</v>
      </c>
      <c r="AP33">
        <v>11</v>
      </c>
      <c r="AQ33">
        <v>4</v>
      </c>
      <c r="AR33" s="4">
        <v>0.36363640000000003</v>
      </c>
      <c r="AS33">
        <v>10</v>
      </c>
      <c r="AT33">
        <v>4</v>
      </c>
      <c r="AU33">
        <v>6</v>
      </c>
      <c r="AV33">
        <v>9</v>
      </c>
      <c r="AW33">
        <v>3</v>
      </c>
      <c r="AX33" s="4">
        <v>0.3333333</v>
      </c>
      <c r="AY33">
        <v>6</v>
      </c>
      <c r="AZ33">
        <v>3</v>
      </c>
      <c r="BA33">
        <v>3</v>
      </c>
      <c r="BB33">
        <v>6</v>
      </c>
      <c r="BC33">
        <v>2</v>
      </c>
      <c r="BD33" s="4">
        <v>0.3333333</v>
      </c>
      <c r="BE33">
        <v>8</v>
      </c>
      <c r="BF33">
        <v>4</v>
      </c>
      <c r="BG33">
        <v>4</v>
      </c>
      <c r="BH33">
        <v>8</v>
      </c>
      <c r="BI33">
        <v>3</v>
      </c>
      <c r="BJ33" s="4">
        <v>0.375</v>
      </c>
      <c r="BK33">
        <v>9</v>
      </c>
      <c r="BL33">
        <v>4</v>
      </c>
      <c r="BM33">
        <v>5</v>
      </c>
      <c r="BN33">
        <v>9</v>
      </c>
      <c r="BO33">
        <v>1</v>
      </c>
      <c r="BP33" s="4">
        <v>0.1111111</v>
      </c>
      <c r="BQ33">
        <v>9</v>
      </c>
      <c r="BR33">
        <v>6</v>
      </c>
      <c r="BS33">
        <v>3</v>
      </c>
      <c r="BT33">
        <v>9</v>
      </c>
      <c r="BU33">
        <v>4</v>
      </c>
      <c r="BV33" s="4">
        <v>0.44444440000000002</v>
      </c>
      <c r="BW33" t="s">
        <v>528</v>
      </c>
      <c r="BX33" t="s">
        <v>514</v>
      </c>
      <c r="BY33" t="str">
        <f t="shared" si="0"/>
        <v>Proportion of Patients Receiving Surgery Within 8 Weeks of Assessment Scotland</v>
      </c>
      <c r="BZ33" s="4">
        <v>0.33613445378151263</v>
      </c>
      <c r="CA33" s="4">
        <v>0.31952662721893493</v>
      </c>
      <c r="CB33" s="4">
        <v>0.28859060402684567</v>
      </c>
    </row>
    <row r="34" spans="1:80" x14ac:dyDescent="0.25">
      <c r="A34" s="2" t="s">
        <v>113</v>
      </c>
      <c r="B34" s="13" t="s">
        <v>112</v>
      </c>
      <c r="C34">
        <v>0</v>
      </c>
      <c r="D34">
        <v>0</v>
      </c>
      <c r="E34">
        <v>0</v>
      </c>
      <c r="F34">
        <v>0</v>
      </c>
      <c r="G34">
        <v>0</v>
      </c>
      <c r="H34" s="4" t="s">
        <v>122</v>
      </c>
      <c r="I34">
        <v>0</v>
      </c>
      <c r="J34">
        <v>0</v>
      </c>
      <c r="K34">
        <v>0</v>
      </c>
      <c r="L34">
        <v>0</v>
      </c>
      <c r="M34">
        <v>0</v>
      </c>
      <c r="N34" s="4" t="s">
        <v>122</v>
      </c>
      <c r="O34">
        <v>3</v>
      </c>
      <c r="P34">
        <v>1</v>
      </c>
      <c r="Q34">
        <v>2</v>
      </c>
      <c r="R34">
        <v>3</v>
      </c>
      <c r="S34">
        <v>0</v>
      </c>
      <c r="T34" s="4">
        <v>0</v>
      </c>
      <c r="U34">
        <v>10</v>
      </c>
      <c r="V34">
        <v>7</v>
      </c>
      <c r="W34">
        <v>3</v>
      </c>
      <c r="X34">
        <v>10</v>
      </c>
      <c r="Y34">
        <v>1</v>
      </c>
      <c r="Z34" s="4">
        <v>0.1</v>
      </c>
      <c r="AA34">
        <v>7</v>
      </c>
      <c r="AB34">
        <v>4</v>
      </c>
      <c r="AC34">
        <v>3</v>
      </c>
      <c r="AD34">
        <v>7</v>
      </c>
      <c r="AE34">
        <v>1</v>
      </c>
      <c r="AF34" s="4">
        <v>0.14285709999999999</v>
      </c>
      <c r="AG34">
        <v>6</v>
      </c>
      <c r="AH34">
        <v>4</v>
      </c>
      <c r="AI34">
        <v>2</v>
      </c>
      <c r="AJ34">
        <v>6</v>
      </c>
      <c r="AK34">
        <v>1</v>
      </c>
      <c r="AL34" s="4">
        <v>0.1666667</v>
      </c>
      <c r="AM34">
        <v>6</v>
      </c>
      <c r="AN34">
        <v>5</v>
      </c>
      <c r="AO34">
        <v>1</v>
      </c>
      <c r="AP34">
        <v>5</v>
      </c>
      <c r="AQ34">
        <v>1</v>
      </c>
      <c r="AR34" s="4">
        <v>0.2</v>
      </c>
      <c r="AS34">
        <v>4</v>
      </c>
      <c r="AT34">
        <v>2</v>
      </c>
      <c r="AU34">
        <v>2</v>
      </c>
      <c r="AV34">
        <v>4</v>
      </c>
      <c r="AW34">
        <v>0</v>
      </c>
      <c r="AX34" s="4">
        <v>0</v>
      </c>
      <c r="AY34">
        <v>3</v>
      </c>
      <c r="AZ34">
        <v>2</v>
      </c>
      <c r="BA34">
        <v>1</v>
      </c>
      <c r="BB34">
        <v>3</v>
      </c>
      <c r="BC34">
        <v>0</v>
      </c>
      <c r="BD34" s="4">
        <v>0</v>
      </c>
      <c r="BE34">
        <v>7</v>
      </c>
      <c r="BF34">
        <v>4</v>
      </c>
      <c r="BG34">
        <v>3</v>
      </c>
      <c r="BH34">
        <v>7</v>
      </c>
      <c r="BI34">
        <v>1</v>
      </c>
      <c r="BJ34" s="4">
        <v>0.14285709999999999</v>
      </c>
      <c r="BK34">
        <v>10</v>
      </c>
      <c r="BL34">
        <v>5</v>
      </c>
      <c r="BM34">
        <v>5</v>
      </c>
      <c r="BN34">
        <v>10</v>
      </c>
      <c r="BO34">
        <v>0</v>
      </c>
      <c r="BP34" s="4">
        <v>0</v>
      </c>
      <c r="BQ34">
        <v>9</v>
      </c>
      <c r="BR34">
        <v>3</v>
      </c>
      <c r="BS34">
        <v>6</v>
      </c>
      <c r="BT34">
        <v>9</v>
      </c>
      <c r="BU34">
        <v>2</v>
      </c>
      <c r="BV34" s="4">
        <v>0.22222220000000001</v>
      </c>
      <c r="BW34" t="s">
        <v>528</v>
      </c>
      <c r="BX34" t="s">
        <v>514</v>
      </c>
      <c r="BY34" t="str">
        <f t="shared" si="0"/>
        <v>Proportion of Patients Receiving Surgery Within 8 Weeks of Assessment Scotland</v>
      </c>
      <c r="BZ34" s="4">
        <v>0.33613445378151263</v>
      </c>
      <c r="CA34" s="4">
        <v>0.31952662721893493</v>
      </c>
      <c r="CB34" s="4">
        <v>0.28859060402684567</v>
      </c>
    </row>
    <row r="35" spans="1:80" x14ac:dyDescent="0.25">
      <c r="A35" s="2" t="s">
        <v>52</v>
      </c>
      <c r="B35" s="13" t="s">
        <v>51</v>
      </c>
      <c r="C35">
        <v>16</v>
      </c>
      <c r="D35">
        <v>7</v>
      </c>
      <c r="E35">
        <v>9</v>
      </c>
      <c r="F35">
        <v>16</v>
      </c>
      <c r="G35">
        <v>8</v>
      </c>
      <c r="H35" s="4">
        <v>0.5</v>
      </c>
      <c r="I35">
        <v>17</v>
      </c>
      <c r="J35">
        <v>12</v>
      </c>
      <c r="K35">
        <v>5</v>
      </c>
      <c r="L35">
        <v>17</v>
      </c>
      <c r="M35">
        <v>8</v>
      </c>
      <c r="N35" s="4">
        <v>0.47058820000000001</v>
      </c>
      <c r="O35">
        <v>14</v>
      </c>
      <c r="P35">
        <v>6</v>
      </c>
      <c r="Q35">
        <v>8</v>
      </c>
      <c r="R35">
        <v>14</v>
      </c>
      <c r="S35">
        <v>8</v>
      </c>
      <c r="T35" s="4">
        <v>0.57142859999999995</v>
      </c>
      <c r="U35">
        <v>16</v>
      </c>
      <c r="V35">
        <v>8</v>
      </c>
      <c r="W35">
        <v>8</v>
      </c>
      <c r="X35">
        <v>16</v>
      </c>
      <c r="Y35">
        <v>9</v>
      </c>
      <c r="Z35" s="4">
        <v>0.5625</v>
      </c>
      <c r="AA35">
        <v>20</v>
      </c>
      <c r="AB35">
        <v>10</v>
      </c>
      <c r="AC35">
        <v>10</v>
      </c>
      <c r="AD35">
        <v>18</v>
      </c>
      <c r="AE35">
        <v>5</v>
      </c>
      <c r="AF35" s="4">
        <v>0.27777780000000002</v>
      </c>
      <c r="AG35">
        <v>21</v>
      </c>
      <c r="AH35">
        <v>10</v>
      </c>
      <c r="AI35">
        <v>11</v>
      </c>
      <c r="AJ35">
        <v>21</v>
      </c>
      <c r="AK35">
        <v>9</v>
      </c>
      <c r="AL35" s="4">
        <v>0.42857139999999999</v>
      </c>
      <c r="AM35">
        <v>24</v>
      </c>
      <c r="AN35">
        <v>16</v>
      </c>
      <c r="AO35">
        <v>8</v>
      </c>
      <c r="AP35">
        <v>21</v>
      </c>
      <c r="AQ35">
        <v>11</v>
      </c>
      <c r="AR35" s="4">
        <v>0.52380959999999999</v>
      </c>
      <c r="AS35">
        <v>26</v>
      </c>
      <c r="AT35">
        <v>15</v>
      </c>
      <c r="AU35">
        <v>11</v>
      </c>
      <c r="AV35">
        <v>23</v>
      </c>
      <c r="AW35">
        <v>15</v>
      </c>
      <c r="AX35" s="4">
        <v>0.65217389999999997</v>
      </c>
      <c r="AY35">
        <v>17</v>
      </c>
      <c r="AZ35">
        <v>6</v>
      </c>
      <c r="BA35">
        <v>11</v>
      </c>
      <c r="BB35">
        <v>15</v>
      </c>
      <c r="BC35">
        <v>9</v>
      </c>
      <c r="BD35" s="4">
        <v>0.6</v>
      </c>
      <c r="BE35">
        <v>12</v>
      </c>
      <c r="BF35">
        <v>5</v>
      </c>
      <c r="BG35">
        <v>7</v>
      </c>
      <c r="BH35">
        <v>10</v>
      </c>
      <c r="BI35">
        <v>7</v>
      </c>
      <c r="BJ35" s="4">
        <v>0.7</v>
      </c>
      <c r="BK35">
        <v>18</v>
      </c>
      <c r="BL35">
        <v>9</v>
      </c>
      <c r="BM35">
        <v>9</v>
      </c>
      <c r="BN35">
        <v>17</v>
      </c>
      <c r="BO35">
        <v>9</v>
      </c>
      <c r="BP35" s="4">
        <v>0.52941179999999999</v>
      </c>
      <c r="BQ35">
        <v>16</v>
      </c>
      <c r="BR35">
        <v>10</v>
      </c>
      <c r="BS35">
        <v>6</v>
      </c>
      <c r="BT35">
        <v>14</v>
      </c>
      <c r="BU35">
        <v>5</v>
      </c>
      <c r="BV35" s="4">
        <v>0.35714289999999999</v>
      </c>
      <c r="BW35" t="s">
        <v>526</v>
      </c>
      <c r="BX35" t="s">
        <v>514</v>
      </c>
      <c r="BY35" t="str">
        <f t="shared" si="0"/>
        <v>Proportion of Patients Receiving Surgery Within 8 Weeks of Assessment England</v>
      </c>
      <c r="BZ35" s="4">
        <v>0.35568645219755324</v>
      </c>
      <c r="CA35" s="4">
        <v>0.31385281385281383</v>
      </c>
      <c r="CB35" s="4">
        <v>0.32277397260273971</v>
      </c>
    </row>
    <row r="36" spans="1:80" x14ac:dyDescent="0.25">
      <c r="A36" s="2" t="s">
        <v>79</v>
      </c>
      <c r="B36" s="13" t="s">
        <v>78</v>
      </c>
      <c r="C36">
        <v>7</v>
      </c>
      <c r="D36">
        <v>2</v>
      </c>
      <c r="E36">
        <v>5</v>
      </c>
      <c r="F36">
        <v>6</v>
      </c>
      <c r="G36">
        <v>1</v>
      </c>
      <c r="H36" s="4">
        <v>0.1666667</v>
      </c>
      <c r="I36">
        <v>15</v>
      </c>
      <c r="J36">
        <v>6</v>
      </c>
      <c r="K36">
        <v>9</v>
      </c>
      <c r="L36">
        <v>15</v>
      </c>
      <c r="M36">
        <v>7</v>
      </c>
      <c r="N36" s="4">
        <v>0.46666669999999999</v>
      </c>
      <c r="O36">
        <v>10</v>
      </c>
      <c r="P36">
        <v>4</v>
      </c>
      <c r="Q36">
        <v>6</v>
      </c>
      <c r="R36">
        <v>10</v>
      </c>
      <c r="S36">
        <v>4</v>
      </c>
      <c r="T36" s="4">
        <v>0.4</v>
      </c>
      <c r="U36">
        <v>14</v>
      </c>
      <c r="V36">
        <v>5</v>
      </c>
      <c r="W36">
        <v>9</v>
      </c>
      <c r="X36">
        <v>14</v>
      </c>
      <c r="Y36">
        <v>7</v>
      </c>
      <c r="Z36" s="4">
        <v>0.5</v>
      </c>
      <c r="AA36">
        <v>5</v>
      </c>
      <c r="AB36">
        <v>1</v>
      </c>
      <c r="AC36">
        <v>4</v>
      </c>
      <c r="AD36">
        <v>5</v>
      </c>
      <c r="AE36">
        <v>2</v>
      </c>
      <c r="AF36" s="4">
        <v>0.4</v>
      </c>
      <c r="AG36">
        <v>7</v>
      </c>
      <c r="AH36">
        <v>3</v>
      </c>
      <c r="AI36">
        <v>4</v>
      </c>
      <c r="AJ36">
        <v>7</v>
      </c>
      <c r="AK36">
        <v>2</v>
      </c>
      <c r="AL36" s="4">
        <v>0.28571429999999998</v>
      </c>
      <c r="AM36">
        <v>8</v>
      </c>
      <c r="AN36">
        <v>5</v>
      </c>
      <c r="AO36">
        <v>3</v>
      </c>
      <c r="AP36">
        <v>8</v>
      </c>
      <c r="AQ36">
        <v>2</v>
      </c>
      <c r="AR36" s="4">
        <v>0.25</v>
      </c>
      <c r="AS36">
        <v>10</v>
      </c>
      <c r="AT36">
        <v>2</v>
      </c>
      <c r="AU36">
        <v>8</v>
      </c>
      <c r="AV36">
        <v>10</v>
      </c>
      <c r="AW36">
        <v>1</v>
      </c>
      <c r="AX36" s="4">
        <v>0.1</v>
      </c>
      <c r="AY36">
        <v>14</v>
      </c>
      <c r="AZ36">
        <v>4</v>
      </c>
      <c r="BA36">
        <v>10</v>
      </c>
      <c r="BB36">
        <v>13</v>
      </c>
      <c r="BC36">
        <v>3</v>
      </c>
      <c r="BD36" s="4">
        <v>0.23076920000000001</v>
      </c>
      <c r="BE36">
        <v>9</v>
      </c>
      <c r="BF36">
        <v>3</v>
      </c>
      <c r="BG36">
        <v>6</v>
      </c>
      <c r="BH36">
        <v>7</v>
      </c>
      <c r="BI36">
        <v>2</v>
      </c>
      <c r="BJ36" s="4">
        <v>0.28571429999999998</v>
      </c>
      <c r="BK36">
        <v>12</v>
      </c>
      <c r="BL36">
        <v>4</v>
      </c>
      <c r="BM36">
        <v>8</v>
      </c>
      <c r="BN36">
        <v>11</v>
      </c>
      <c r="BO36">
        <v>3</v>
      </c>
      <c r="BP36" s="4">
        <v>0.27272730000000001</v>
      </c>
      <c r="BQ36">
        <v>9</v>
      </c>
      <c r="BR36">
        <v>2</v>
      </c>
      <c r="BS36">
        <v>7</v>
      </c>
      <c r="BT36">
        <v>7</v>
      </c>
      <c r="BU36">
        <v>4</v>
      </c>
      <c r="BV36" s="4">
        <v>0.57142859999999995</v>
      </c>
      <c r="BW36" t="s">
        <v>526</v>
      </c>
      <c r="BX36" t="s">
        <v>514</v>
      </c>
      <c r="BY36" t="str">
        <f t="shared" si="0"/>
        <v>Proportion of Patients Receiving Surgery Within 8 Weeks of Assessment England</v>
      </c>
      <c r="BZ36" s="4">
        <v>0.35568645219755324</v>
      </c>
      <c r="CA36" s="4">
        <v>0.31385281385281383</v>
      </c>
      <c r="CB36" s="4">
        <v>0.32277397260273971</v>
      </c>
    </row>
    <row r="37" spans="1:80" x14ac:dyDescent="0.25">
      <c r="A37" s="2" t="s">
        <v>146</v>
      </c>
      <c r="B37" s="13" t="s">
        <v>155</v>
      </c>
      <c r="C37">
        <v>3</v>
      </c>
      <c r="D37">
        <v>2</v>
      </c>
      <c r="E37">
        <v>1</v>
      </c>
      <c r="F37">
        <v>3</v>
      </c>
      <c r="G37">
        <v>2</v>
      </c>
      <c r="H37" s="4">
        <v>0.66666669999999995</v>
      </c>
      <c r="I37">
        <v>9</v>
      </c>
      <c r="J37">
        <v>4</v>
      </c>
      <c r="K37">
        <v>5</v>
      </c>
      <c r="L37">
        <v>8</v>
      </c>
      <c r="M37">
        <v>2</v>
      </c>
      <c r="N37" s="4">
        <v>0.25</v>
      </c>
      <c r="O37">
        <v>3</v>
      </c>
      <c r="P37">
        <v>0</v>
      </c>
      <c r="Q37">
        <v>3</v>
      </c>
      <c r="R37">
        <v>3</v>
      </c>
      <c r="S37">
        <v>1</v>
      </c>
      <c r="T37" s="4">
        <v>0.3333333</v>
      </c>
      <c r="U37">
        <v>2</v>
      </c>
      <c r="V37">
        <v>0</v>
      </c>
      <c r="W37">
        <v>2</v>
      </c>
      <c r="X37">
        <v>2</v>
      </c>
      <c r="Y37">
        <v>0</v>
      </c>
      <c r="Z37" s="4">
        <v>0</v>
      </c>
      <c r="AA37">
        <v>5</v>
      </c>
      <c r="AB37">
        <v>3</v>
      </c>
      <c r="AC37">
        <v>2</v>
      </c>
      <c r="AD37">
        <v>5</v>
      </c>
      <c r="AE37">
        <v>2</v>
      </c>
      <c r="AF37" s="4">
        <v>0.4</v>
      </c>
      <c r="AG37">
        <v>8</v>
      </c>
      <c r="AH37">
        <v>5</v>
      </c>
      <c r="AI37">
        <v>3</v>
      </c>
      <c r="AJ37">
        <v>8</v>
      </c>
      <c r="AK37">
        <v>2</v>
      </c>
      <c r="AL37" s="4">
        <v>0.25</v>
      </c>
      <c r="AM37">
        <v>4</v>
      </c>
      <c r="AN37">
        <v>3</v>
      </c>
      <c r="AO37">
        <v>1</v>
      </c>
      <c r="AP37">
        <v>4</v>
      </c>
      <c r="AQ37">
        <v>1</v>
      </c>
      <c r="AR37" s="4">
        <v>0.25</v>
      </c>
      <c r="AS37">
        <v>8</v>
      </c>
      <c r="AT37">
        <v>5</v>
      </c>
      <c r="AU37">
        <v>3</v>
      </c>
      <c r="AV37">
        <v>7</v>
      </c>
      <c r="AW37">
        <v>1</v>
      </c>
      <c r="AX37" s="4">
        <v>0.14285709999999999</v>
      </c>
      <c r="AY37">
        <v>5</v>
      </c>
      <c r="AZ37">
        <v>2</v>
      </c>
      <c r="BA37">
        <v>3</v>
      </c>
      <c r="BB37">
        <v>4</v>
      </c>
      <c r="BC37">
        <v>1</v>
      </c>
      <c r="BD37" s="4">
        <v>0.25</v>
      </c>
      <c r="BE37">
        <v>3</v>
      </c>
      <c r="BF37">
        <v>1</v>
      </c>
      <c r="BG37">
        <v>2</v>
      </c>
      <c r="BH37">
        <v>3</v>
      </c>
      <c r="BI37">
        <v>1</v>
      </c>
      <c r="BJ37" s="4">
        <v>0.3333333</v>
      </c>
      <c r="BK37">
        <v>7</v>
      </c>
      <c r="BL37">
        <v>5</v>
      </c>
      <c r="BM37">
        <v>2</v>
      </c>
      <c r="BN37">
        <v>7</v>
      </c>
      <c r="BO37">
        <v>2</v>
      </c>
      <c r="BP37" s="4">
        <v>0.28571429999999998</v>
      </c>
      <c r="BQ37">
        <v>4</v>
      </c>
      <c r="BR37">
        <v>2</v>
      </c>
      <c r="BS37">
        <v>2</v>
      </c>
      <c r="BT37">
        <v>4</v>
      </c>
      <c r="BU37">
        <v>0</v>
      </c>
      <c r="BV37" s="4">
        <v>0</v>
      </c>
      <c r="BW37" t="s">
        <v>526</v>
      </c>
      <c r="BX37" t="s">
        <v>514</v>
      </c>
      <c r="BY37" t="str">
        <f t="shared" si="0"/>
        <v>Proportion of Patients Receiving Surgery Within 8 Weeks of Assessment England</v>
      </c>
      <c r="BZ37" s="4">
        <v>0.35568645219755324</v>
      </c>
      <c r="CA37" s="4">
        <v>0.31385281385281383</v>
      </c>
      <c r="CB37" s="4">
        <v>0.32277397260273971</v>
      </c>
    </row>
    <row r="38" spans="1:80" x14ac:dyDescent="0.25">
      <c r="A38" s="2" t="s">
        <v>56</v>
      </c>
      <c r="B38" s="13" t="s">
        <v>55</v>
      </c>
      <c r="C38">
        <v>8</v>
      </c>
      <c r="D38">
        <v>3</v>
      </c>
      <c r="E38">
        <v>5</v>
      </c>
      <c r="F38">
        <v>6</v>
      </c>
      <c r="G38">
        <v>2</v>
      </c>
      <c r="H38" s="4">
        <v>0.3333333</v>
      </c>
      <c r="I38">
        <v>10</v>
      </c>
      <c r="J38">
        <v>3</v>
      </c>
      <c r="K38">
        <v>7</v>
      </c>
      <c r="L38">
        <v>8</v>
      </c>
      <c r="M38">
        <v>2</v>
      </c>
      <c r="N38" s="4">
        <v>0.25</v>
      </c>
      <c r="O38">
        <v>9</v>
      </c>
      <c r="P38">
        <v>5</v>
      </c>
      <c r="Q38">
        <v>4</v>
      </c>
      <c r="R38">
        <v>8</v>
      </c>
      <c r="S38">
        <v>2</v>
      </c>
      <c r="T38" s="4">
        <v>0.25</v>
      </c>
      <c r="U38">
        <v>14</v>
      </c>
      <c r="V38">
        <v>7</v>
      </c>
      <c r="W38">
        <v>7</v>
      </c>
      <c r="X38">
        <v>14</v>
      </c>
      <c r="Y38">
        <v>3</v>
      </c>
      <c r="Z38" s="4">
        <v>0.2142857</v>
      </c>
      <c r="AA38">
        <v>15</v>
      </c>
      <c r="AB38">
        <v>10</v>
      </c>
      <c r="AC38">
        <v>5</v>
      </c>
      <c r="AD38">
        <v>13</v>
      </c>
      <c r="AE38">
        <v>4</v>
      </c>
      <c r="AF38" s="4">
        <v>0.30769229999999997</v>
      </c>
      <c r="AG38">
        <v>6</v>
      </c>
      <c r="AH38">
        <v>3</v>
      </c>
      <c r="AI38">
        <v>3</v>
      </c>
      <c r="AJ38">
        <v>6</v>
      </c>
      <c r="AK38">
        <v>1</v>
      </c>
      <c r="AL38" s="4">
        <v>0.1666667</v>
      </c>
      <c r="AM38">
        <v>9</v>
      </c>
      <c r="AN38">
        <v>4</v>
      </c>
      <c r="AO38">
        <v>5</v>
      </c>
      <c r="AP38">
        <v>7</v>
      </c>
      <c r="AQ38">
        <v>3</v>
      </c>
      <c r="AR38" s="4">
        <v>0.42857139999999999</v>
      </c>
      <c r="AS38">
        <v>6</v>
      </c>
      <c r="AT38">
        <v>2</v>
      </c>
      <c r="AU38">
        <v>4</v>
      </c>
      <c r="AV38">
        <v>4</v>
      </c>
      <c r="AW38">
        <v>3</v>
      </c>
      <c r="AX38" s="4">
        <v>0.75</v>
      </c>
      <c r="AY38">
        <v>12</v>
      </c>
      <c r="AZ38">
        <v>6</v>
      </c>
      <c r="BA38">
        <v>6</v>
      </c>
      <c r="BB38">
        <v>12</v>
      </c>
      <c r="BC38">
        <v>1</v>
      </c>
      <c r="BD38" s="4">
        <v>8.3333299999999999E-2</v>
      </c>
      <c r="BE38">
        <v>15</v>
      </c>
      <c r="BF38">
        <v>9</v>
      </c>
      <c r="BG38">
        <v>6</v>
      </c>
      <c r="BH38">
        <v>14</v>
      </c>
      <c r="BI38">
        <v>5</v>
      </c>
      <c r="BJ38" s="4">
        <v>0.35714289999999999</v>
      </c>
      <c r="BK38">
        <v>13</v>
      </c>
      <c r="BL38">
        <v>6</v>
      </c>
      <c r="BM38">
        <v>7</v>
      </c>
      <c r="BN38">
        <v>12</v>
      </c>
      <c r="BO38">
        <v>3</v>
      </c>
      <c r="BP38" s="4">
        <v>0.25</v>
      </c>
      <c r="BQ38">
        <v>12</v>
      </c>
      <c r="BR38">
        <v>3</v>
      </c>
      <c r="BS38">
        <v>9</v>
      </c>
      <c r="BT38">
        <v>12</v>
      </c>
      <c r="BU38">
        <v>5</v>
      </c>
      <c r="BV38" s="4">
        <v>0.4166667</v>
      </c>
      <c r="BW38" t="s">
        <v>526</v>
      </c>
      <c r="BX38" t="s">
        <v>514</v>
      </c>
      <c r="BY38" t="str">
        <f t="shared" si="0"/>
        <v>Proportion of Patients Receiving Surgery Within 8 Weeks of Assessment England</v>
      </c>
      <c r="BZ38" s="4">
        <v>0.35568645219755324</v>
      </c>
      <c r="CA38" s="4">
        <v>0.31385281385281383</v>
      </c>
      <c r="CB38" s="4">
        <v>0.32277397260273971</v>
      </c>
    </row>
    <row r="39" spans="1:80" x14ac:dyDescent="0.25">
      <c r="A39" s="2" t="s">
        <v>154</v>
      </c>
      <c r="B39" s="13" t="s">
        <v>153</v>
      </c>
      <c r="C39">
        <v>15</v>
      </c>
      <c r="D39">
        <v>2</v>
      </c>
      <c r="E39">
        <v>13</v>
      </c>
      <c r="F39">
        <v>15</v>
      </c>
      <c r="G39">
        <v>6</v>
      </c>
      <c r="H39" s="4">
        <v>0.4</v>
      </c>
      <c r="I39">
        <v>10</v>
      </c>
      <c r="J39">
        <v>3</v>
      </c>
      <c r="K39">
        <v>7</v>
      </c>
      <c r="L39">
        <v>10</v>
      </c>
      <c r="M39">
        <v>7</v>
      </c>
      <c r="N39" s="4">
        <v>0.7</v>
      </c>
      <c r="O39">
        <v>20</v>
      </c>
      <c r="P39">
        <v>4</v>
      </c>
      <c r="Q39">
        <v>16</v>
      </c>
      <c r="R39">
        <v>20</v>
      </c>
      <c r="S39">
        <v>6</v>
      </c>
      <c r="T39" s="4">
        <v>0.3</v>
      </c>
      <c r="U39">
        <v>19</v>
      </c>
      <c r="V39">
        <v>3</v>
      </c>
      <c r="W39">
        <v>16</v>
      </c>
      <c r="X39">
        <v>19</v>
      </c>
      <c r="Y39">
        <v>8</v>
      </c>
      <c r="Z39" s="4">
        <v>0.4210526</v>
      </c>
      <c r="AA39">
        <v>8</v>
      </c>
      <c r="AB39">
        <v>1</v>
      </c>
      <c r="AC39">
        <v>7</v>
      </c>
      <c r="AD39">
        <v>8</v>
      </c>
      <c r="AE39">
        <v>4</v>
      </c>
      <c r="AF39" s="4">
        <v>0.5</v>
      </c>
      <c r="AG39">
        <v>11</v>
      </c>
      <c r="AH39">
        <v>1</v>
      </c>
      <c r="AI39">
        <v>10</v>
      </c>
      <c r="AJ39">
        <v>9</v>
      </c>
      <c r="AK39">
        <v>6</v>
      </c>
      <c r="AL39" s="4">
        <v>0.66666669999999995</v>
      </c>
      <c r="AM39">
        <v>5</v>
      </c>
      <c r="AN39">
        <v>1</v>
      </c>
      <c r="AO39">
        <v>4</v>
      </c>
      <c r="AP39">
        <v>5</v>
      </c>
      <c r="AQ39">
        <v>0</v>
      </c>
      <c r="AR39" s="4">
        <v>0</v>
      </c>
      <c r="AS39">
        <v>8</v>
      </c>
      <c r="AT39">
        <v>2</v>
      </c>
      <c r="AU39">
        <v>6</v>
      </c>
      <c r="AV39">
        <v>8</v>
      </c>
      <c r="AW39">
        <v>4</v>
      </c>
      <c r="AX39" s="4">
        <v>0.5</v>
      </c>
      <c r="AY39">
        <v>11</v>
      </c>
      <c r="AZ39">
        <v>4</v>
      </c>
      <c r="BA39">
        <v>7</v>
      </c>
      <c r="BB39">
        <v>11</v>
      </c>
      <c r="BC39">
        <v>4</v>
      </c>
      <c r="BD39" s="4">
        <v>0.36363640000000003</v>
      </c>
      <c r="BE39">
        <v>9</v>
      </c>
      <c r="BF39">
        <v>2</v>
      </c>
      <c r="BG39">
        <v>7</v>
      </c>
      <c r="BH39">
        <v>9</v>
      </c>
      <c r="BI39">
        <v>5</v>
      </c>
      <c r="BJ39" s="4">
        <v>0.55555560000000004</v>
      </c>
      <c r="BK39">
        <v>12</v>
      </c>
      <c r="BL39">
        <v>7</v>
      </c>
      <c r="BM39">
        <v>5</v>
      </c>
      <c r="BN39">
        <v>12</v>
      </c>
      <c r="BO39">
        <v>2</v>
      </c>
      <c r="BP39" s="4">
        <v>0.1666667</v>
      </c>
      <c r="BQ39">
        <v>6</v>
      </c>
      <c r="BR39">
        <v>6</v>
      </c>
      <c r="BS39">
        <v>0</v>
      </c>
      <c r="BT39">
        <v>6</v>
      </c>
      <c r="BU39">
        <v>2</v>
      </c>
      <c r="BV39" s="4">
        <v>0.3333333</v>
      </c>
      <c r="BW39" t="s">
        <v>526</v>
      </c>
      <c r="BX39" t="s">
        <v>514</v>
      </c>
      <c r="BY39" t="str">
        <f t="shared" si="0"/>
        <v>Proportion of Patients Receiving Surgery Within 8 Weeks of Assessment England</v>
      </c>
      <c r="BZ39" s="4">
        <v>0.35568645219755324</v>
      </c>
      <c r="CA39" s="4">
        <v>0.31385281385281383</v>
      </c>
      <c r="CB39" s="4">
        <v>0.32277397260273971</v>
      </c>
    </row>
    <row r="40" spans="1:80" x14ac:dyDescent="0.25">
      <c r="A40" s="2" t="s">
        <v>93</v>
      </c>
      <c r="B40" s="13" t="s">
        <v>92</v>
      </c>
      <c r="C40">
        <v>5</v>
      </c>
      <c r="D40">
        <v>2</v>
      </c>
      <c r="E40">
        <v>3</v>
      </c>
      <c r="F40">
        <v>5</v>
      </c>
      <c r="G40">
        <v>3</v>
      </c>
      <c r="H40" s="4">
        <v>0.6</v>
      </c>
      <c r="I40">
        <v>15</v>
      </c>
      <c r="J40">
        <v>8</v>
      </c>
      <c r="K40">
        <v>7</v>
      </c>
      <c r="L40">
        <v>14</v>
      </c>
      <c r="M40">
        <v>8</v>
      </c>
      <c r="N40" s="4">
        <v>0.57142859999999995</v>
      </c>
      <c r="O40">
        <v>7</v>
      </c>
      <c r="P40">
        <v>1</v>
      </c>
      <c r="Q40">
        <v>6</v>
      </c>
      <c r="R40">
        <v>4</v>
      </c>
      <c r="S40">
        <v>2</v>
      </c>
      <c r="T40" s="4">
        <v>0.5</v>
      </c>
      <c r="U40">
        <v>12</v>
      </c>
      <c r="V40">
        <v>5</v>
      </c>
      <c r="W40">
        <v>7</v>
      </c>
      <c r="X40">
        <v>7</v>
      </c>
      <c r="Y40">
        <v>3</v>
      </c>
      <c r="Z40" s="4">
        <v>0.42857139999999999</v>
      </c>
      <c r="AA40">
        <v>9</v>
      </c>
      <c r="AB40">
        <v>5</v>
      </c>
      <c r="AC40">
        <v>4</v>
      </c>
      <c r="AD40">
        <v>8</v>
      </c>
      <c r="AE40">
        <v>2</v>
      </c>
      <c r="AF40" s="4">
        <v>0.25</v>
      </c>
      <c r="AG40">
        <v>2</v>
      </c>
      <c r="AH40">
        <v>1</v>
      </c>
      <c r="AI40">
        <v>1</v>
      </c>
      <c r="AJ40">
        <v>2</v>
      </c>
      <c r="AK40">
        <v>1</v>
      </c>
      <c r="AL40" s="4">
        <v>0.5</v>
      </c>
      <c r="AM40">
        <v>8</v>
      </c>
      <c r="AN40">
        <v>5</v>
      </c>
      <c r="AO40">
        <v>3</v>
      </c>
      <c r="AP40">
        <v>6</v>
      </c>
      <c r="AQ40">
        <v>2</v>
      </c>
      <c r="AR40" s="4">
        <v>0.3333333</v>
      </c>
      <c r="AS40">
        <v>5</v>
      </c>
      <c r="AT40">
        <v>3</v>
      </c>
      <c r="AU40">
        <v>2</v>
      </c>
      <c r="AV40">
        <v>3</v>
      </c>
      <c r="AW40">
        <v>0</v>
      </c>
      <c r="AX40" s="4">
        <v>0</v>
      </c>
      <c r="AY40">
        <v>3</v>
      </c>
      <c r="AZ40">
        <v>2</v>
      </c>
      <c r="BA40">
        <v>1</v>
      </c>
      <c r="BB40">
        <v>2</v>
      </c>
      <c r="BC40">
        <v>1</v>
      </c>
      <c r="BD40" s="4">
        <v>0.5</v>
      </c>
      <c r="BE40">
        <v>7</v>
      </c>
      <c r="BF40">
        <v>3</v>
      </c>
      <c r="BG40">
        <v>4</v>
      </c>
      <c r="BH40">
        <v>5</v>
      </c>
      <c r="BI40">
        <v>2</v>
      </c>
      <c r="BJ40" s="4">
        <v>0.4</v>
      </c>
      <c r="BK40">
        <v>6</v>
      </c>
      <c r="BL40">
        <v>3</v>
      </c>
      <c r="BM40">
        <v>3</v>
      </c>
      <c r="BN40">
        <v>2</v>
      </c>
      <c r="BO40">
        <v>1</v>
      </c>
      <c r="BP40" s="4">
        <v>0.5</v>
      </c>
      <c r="BQ40">
        <v>2</v>
      </c>
      <c r="BR40">
        <v>2</v>
      </c>
      <c r="BS40">
        <v>0</v>
      </c>
      <c r="BT40">
        <v>1</v>
      </c>
      <c r="BU40">
        <v>0</v>
      </c>
      <c r="BV40" s="4">
        <v>0</v>
      </c>
      <c r="BW40" t="s">
        <v>526</v>
      </c>
      <c r="BX40" t="s">
        <v>514</v>
      </c>
      <c r="BY40" t="str">
        <f t="shared" si="0"/>
        <v>Proportion of Patients Receiving Surgery Within 8 Weeks of Assessment England</v>
      </c>
      <c r="BZ40" s="4">
        <v>0.35568645219755324</v>
      </c>
      <c r="CA40" s="4">
        <v>0.31385281385281383</v>
      </c>
      <c r="CB40" s="4">
        <v>0.32277397260273971</v>
      </c>
    </row>
    <row r="41" spans="1:80" x14ac:dyDescent="0.25">
      <c r="A41" s="2" t="s">
        <v>132</v>
      </c>
      <c r="B41" s="13" t="s">
        <v>75</v>
      </c>
      <c r="C41">
        <v>10</v>
      </c>
      <c r="D41">
        <v>7</v>
      </c>
      <c r="E41">
        <v>3</v>
      </c>
      <c r="F41">
        <v>10</v>
      </c>
      <c r="G41">
        <v>2</v>
      </c>
      <c r="H41" s="4">
        <v>0.2</v>
      </c>
      <c r="I41">
        <v>24</v>
      </c>
      <c r="J41">
        <v>11</v>
      </c>
      <c r="K41">
        <v>13</v>
      </c>
      <c r="L41">
        <v>20</v>
      </c>
      <c r="M41">
        <v>6</v>
      </c>
      <c r="N41" s="4">
        <v>0.3</v>
      </c>
      <c r="O41">
        <v>9</v>
      </c>
      <c r="P41">
        <v>4</v>
      </c>
      <c r="Q41">
        <v>5</v>
      </c>
      <c r="R41">
        <v>9</v>
      </c>
      <c r="S41">
        <v>4</v>
      </c>
      <c r="T41" s="4">
        <v>0.44444440000000002</v>
      </c>
      <c r="U41">
        <v>23</v>
      </c>
      <c r="V41">
        <v>13</v>
      </c>
      <c r="W41">
        <v>10</v>
      </c>
      <c r="X41">
        <v>22</v>
      </c>
      <c r="Y41">
        <v>2</v>
      </c>
      <c r="Z41" s="4">
        <v>9.0909100000000007E-2</v>
      </c>
      <c r="AA41">
        <v>25</v>
      </c>
      <c r="AB41">
        <v>12</v>
      </c>
      <c r="AC41">
        <v>13</v>
      </c>
      <c r="AD41">
        <v>21</v>
      </c>
      <c r="AE41">
        <v>6</v>
      </c>
      <c r="AF41" s="4">
        <v>0.28571429999999998</v>
      </c>
      <c r="AG41">
        <v>23</v>
      </c>
      <c r="AH41">
        <v>16</v>
      </c>
      <c r="AI41">
        <v>7</v>
      </c>
      <c r="AJ41">
        <v>19</v>
      </c>
      <c r="AK41">
        <v>3</v>
      </c>
      <c r="AL41" s="4">
        <v>0.1578947</v>
      </c>
      <c r="AM41">
        <v>22</v>
      </c>
      <c r="AN41">
        <v>15</v>
      </c>
      <c r="AO41">
        <v>7</v>
      </c>
      <c r="AP41">
        <v>20</v>
      </c>
      <c r="AQ41">
        <v>5</v>
      </c>
      <c r="AR41" s="4">
        <v>0.25</v>
      </c>
      <c r="AS41">
        <v>21</v>
      </c>
      <c r="AT41">
        <v>12</v>
      </c>
      <c r="AU41">
        <v>9</v>
      </c>
      <c r="AV41">
        <v>21</v>
      </c>
      <c r="AW41">
        <v>4</v>
      </c>
      <c r="AX41" s="4">
        <v>0.19047620000000001</v>
      </c>
      <c r="AY41">
        <v>21</v>
      </c>
      <c r="AZ41">
        <v>11</v>
      </c>
      <c r="BA41">
        <v>10</v>
      </c>
      <c r="BB41">
        <v>20</v>
      </c>
      <c r="BC41">
        <v>4</v>
      </c>
      <c r="BD41" s="4">
        <v>0.2</v>
      </c>
      <c r="BE41">
        <v>16</v>
      </c>
      <c r="BF41">
        <v>7</v>
      </c>
      <c r="BG41">
        <v>9</v>
      </c>
      <c r="BH41">
        <v>16</v>
      </c>
      <c r="BI41">
        <v>3</v>
      </c>
      <c r="BJ41" s="4">
        <v>0.1875</v>
      </c>
      <c r="BK41">
        <v>18</v>
      </c>
      <c r="BL41">
        <v>13</v>
      </c>
      <c r="BM41">
        <v>5</v>
      </c>
      <c r="BN41">
        <v>15</v>
      </c>
      <c r="BO41">
        <v>4</v>
      </c>
      <c r="BP41" s="4">
        <v>0.26666669999999998</v>
      </c>
      <c r="BQ41">
        <v>19</v>
      </c>
      <c r="BR41">
        <v>11</v>
      </c>
      <c r="BS41">
        <v>8</v>
      </c>
      <c r="BT41">
        <v>18</v>
      </c>
      <c r="BU41">
        <v>8</v>
      </c>
      <c r="BV41" s="4">
        <v>0.44444440000000002</v>
      </c>
      <c r="BW41" t="s">
        <v>526</v>
      </c>
      <c r="BX41" t="s">
        <v>514</v>
      </c>
      <c r="BY41" t="str">
        <f t="shared" si="0"/>
        <v>Proportion of Patients Receiving Surgery Within 8 Weeks of Assessment England</v>
      </c>
      <c r="BZ41" s="4">
        <v>0.35568645219755324</v>
      </c>
      <c r="CA41" s="4">
        <v>0.31385281385281383</v>
      </c>
      <c r="CB41" s="4">
        <v>0.32277397260273971</v>
      </c>
    </row>
    <row r="42" spans="1:80" x14ac:dyDescent="0.25">
      <c r="A42" s="2" t="s">
        <v>61</v>
      </c>
      <c r="B42" s="13" t="s">
        <v>60</v>
      </c>
      <c r="C42">
        <v>2</v>
      </c>
      <c r="D42">
        <v>1</v>
      </c>
      <c r="E42">
        <v>1</v>
      </c>
      <c r="F42">
        <v>2</v>
      </c>
      <c r="G42">
        <v>2</v>
      </c>
      <c r="H42" s="4">
        <v>1</v>
      </c>
      <c r="I42">
        <v>5</v>
      </c>
      <c r="J42">
        <v>2</v>
      </c>
      <c r="K42">
        <v>3</v>
      </c>
      <c r="L42">
        <v>5</v>
      </c>
      <c r="M42">
        <v>2</v>
      </c>
      <c r="N42" s="4">
        <v>0.4</v>
      </c>
      <c r="O42">
        <v>1</v>
      </c>
      <c r="P42">
        <v>1</v>
      </c>
      <c r="Q42">
        <v>0</v>
      </c>
      <c r="R42">
        <v>0</v>
      </c>
      <c r="S42">
        <v>0</v>
      </c>
      <c r="T42" s="4" t="s">
        <v>122</v>
      </c>
      <c r="U42">
        <v>5</v>
      </c>
      <c r="V42">
        <v>0</v>
      </c>
      <c r="W42">
        <v>5</v>
      </c>
      <c r="X42">
        <v>5</v>
      </c>
      <c r="Y42">
        <v>2</v>
      </c>
      <c r="Z42" s="4">
        <v>0.4</v>
      </c>
      <c r="AA42">
        <v>0</v>
      </c>
      <c r="AB42">
        <v>0</v>
      </c>
      <c r="AC42">
        <v>0</v>
      </c>
      <c r="AD42">
        <v>0</v>
      </c>
      <c r="AE42">
        <v>0</v>
      </c>
      <c r="AF42" s="4" t="s">
        <v>122</v>
      </c>
      <c r="AG42">
        <v>2</v>
      </c>
      <c r="AH42">
        <v>0</v>
      </c>
      <c r="AI42">
        <v>2</v>
      </c>
      <c r="AJ42">
        <v>2</v>
      </c>
      <c r="AK42">
        <v>1</v>
      </c>
      <c r="AL42" s="4">
        <v>0.5</v>
      </c>
      <c r="AM42">
        <v>0</v>
      </c>
      <c r="AN42">
        <v>0</v>
      </c>
      <c r="AO42">
        <v>0</v>
      </c>
      <c r="AP42">
        <v>0</v>
      </c>
      <c r="AQ42">
        <v>0</v>
      </c>
      <c r="AR42" s="4" t="s">
        <v>122</v>
      </c>
      <c r="AS42">
        <v>4</v>
      </c>
      <c r="AT42">
        <v>0</v>
      </c>
      <c r="AU42">
        <v>4</v>
      </c>
      <c r="AV42">
        <v>3</v>
      </c>
      <c r="AW42">
        <v>1</v>
      </c>
      <c r="AX42" s="4">
        <v>0.3333333</v>
      </c>
      <c r="AY42">
        <v>4</v>
      </c>
      <c r="AZ42">
        <v>1</v>
      </c>
      <c r="BA42">
        <v>3</v>
      </c>
      <c r="BB42">
        <v>4</v>
      </c>
      <c r="BC42">
        <v>0</v>
      </c>
      <c r="BD42" s="4">
        <v>0</v>
      </c>
      <c r="BE42">
        <v>1</v>
      </c>
      <c r="BF42">
        <v>0</v>
      </c>
      <c r="BG42">
        <v>1</v>
      </c>
      <c r="BH42">
        <v>1</v>
      </c>
      <c r="BI42">
        <v>1</v>
      </c>
      <c r="BJ42" s="4">
        <v>1</v>
      </c>
      <c r="BK42">
        <v>3</v>
      </c>
      <c r="BL42">
        <v>0</v>
      </c>
      <c r="BM42">
        <v>3</v>
      </c>
      <c r="BN42">
        <v>3</v>
      </c>
      <c r="BO42">
        <v>0</v>
      </c>
      <c r="BP42" s="4">
        <v>0</v>
      </c>
      <c r="BQ42">
        <v>3</v>
      </c>
      <c r="BR42">
        <v>1</v>
      </c>
      <c r="BS42">
        <v>2</v>
      </c>
      <c r="BT42">
        <v>3</v>
      </c>
      <c r="BU42">
        <v>0</v>
      </c>
      <c r="BV42" s="4">
        <v>0</v>
      </c>
      <c r="BW42" t="s">
        <v>526</v>
      </c>
      <c r="BX42" t="s">
        <v>514</v>
      </c>
      <c r="BY42" t="str">
        <f t="shared" si="0"/>
        <v>Proportion of Patients Receiving Surgery Within 8 Weeks of Assessment England</v>
      </c>
      <c r="BZ42" s="4">
        <v>0.35568645219755324</v>
      </c>
      <c r="CA42" s="4">
        <v>0.31385281385281383</v>
      </c>
      <c r="CB42" s="4">
        <v>0.32277397260273971</v>
      </c>
    </row>
    <row r="43" spans="1:80" x14ac:dyDescent="0.25">
      <c r="A43" s="2" t="s">
        <v>69</v>
      </c>
      <c r="B43" s="13" t="s">
        <v>68</v>
      </c>
      <c r="C43">
        <v>0</v>
      </c>
      <c r="D43">
        <v>0</v>
      </c>
      <c r="E43">
        <v>0</v>
      </c>
      <c r="F43">
        <v>0</v>
      </c>
      <c r="G43">
        <v>0</v>
      </c>
      <c r="H43" s="4" t="s">
        <v>122</v>
      </c>
      <c r="I43">
        <v>2</v>
      </c>
      <c r="J43">
        <v>0</v>
      </c>
      <c r="K43">
        <v>2</v>
      </c>
      <c r="L43">
        <v>2</v>
      </c>
      <c r="M43">
        <v>2</v>
      </c>
      <c r="N43" s="4">
        <v>1</v>
      </c>
      <c r="O43">
        <v>0</v>
      </c>
      <c r="P43">
        <v>0</v>
      </c>
      <c r="Q43">
        <v>0</v>
      </c>
      <c r="R43">
        <v>0</v>
      </c>
      <c r="S43">
        <v>0</v>
      </c>
      <c r="T43" s="4" t="s">
        <v>122</v>
      </c>
      <c r="U43">
        <v>1</v>
      </c>
      <c r="V43">
        <v>0</v>
      </c>
      <c r="W43">
        <v>1</v>
      </c>
      <c r="X43">
        <v>1</v>
      </c>
      <c r="Y43">
        <v>0</v>
      </c>
      <c r="Z43" s="4">
        <v>0</v>
      </c>
      <c r="AA43">
        <v>3</v>
      </c>
      <c r="AB43">
        <v>2</v>
      </c>
      <c r="AC43">
        <v>1</v>
      </c>
      <c r="AD43">
        <v>3</v>
      </c>
      <c r="AE43">
        <v>0</v>
      </c>
      <c r="AF43" s="4">
        <v>0</v>
      </c>
      <c r="AG43">
        <v>1</v>
      </c>
      <c r="AH43">
        <v>0</v>
      </c>
      <c r="AI43">
        <v>1</v>
      </c>
      <c r="AJ43">
        <v>1</v>
      </c>
      <c r="AK43">
        <v>0</v>
      </c>
      <c r="AL43" s="4">
        <v>0</v>
      </c>
      <c r="AM43">
        <v>0</v>
      </c>
      <c r="AN43">
        <v>0</v>
      </c>
      <c r="AO43">
        <v>0</v>
      </c>
      <c r="AP43">
        <v>0</v>
      </c>
      <c r="AQ43">
        <v>0</v>
      </c>
      <c r="AR43" s="4" t="s">
        <v>122</v>
      </c>
      <c r="AS43">
        <v>1</v>
      </c>
      <c r="AT43">
        <v>1</v>
      </c>
      <c r="AU43">
        <v>0</v>
      </c>
      <c r="AV43">
        <v>1</v>
      </c>
      <c r="AW43">
        <v>0</v>
      </c>
      <c r="AX43" s="4">
        <v>0</v>
      </c>
      <c r="AY43">
        <v>1</v>
      </c>
      <c r="AZ43">
        <v>0</v>
      </c>
      <c r="BA43">
        <v>1</v>
      </c>
      <c r="BB43">
        <v>0</v>
      </c>
      <c r="BC43">
        <v>0</v>
      </c>
      <c r="BD43" s="4" t="s">
        <v>122</v>
      </c>
      <c r="BE43">
        <v>0</v>
      </c>
      <c r="BF43">
        <v>0</v>
      </c>
      <c r="BG43">
        <v>0</v>
      </c>
      <c r="BH43">
        <v>0</v>
      </c>
      <c r="BI43">
        <v>0</v>
      </c>
      <c r="BJ43" s="4" t="s">
        <v>122</v>
      </c>
      <c r="BK43">
        <v>1</v>
      </c>
      <c r="BL43">
        <v>0</v>
      </c>
      <c r="BM43">
        <v>1</v>
      </c>
      <c r="BN43">
        <v>0</v>
      </c>
      <c r="BO43">
        <v>0</v>
      </c>
      <c r="BP43" s="4" t="s">
        <v>122</v>
      </c>
      <c r="BQ43">
        <v>0</v>
      </c>
      <c r="BR43">
        <v>0</v>
      </c>
      <c r="BS43">
        <v>0</v>
      </c>
      <c r="BT43">
        <v>0</v>
      </c>
      <c r="BU43">
        <v>0</v>
      </c>
      <c r="BV43" s="4" t="s">
        <v>122</v>
      </c>
      <c r="BW43" t="s">
        <v>526</v>
      </c>
      <c r="BX43" t="s">
        <v>514</v>
      </c>
      <c r="BY43" t="str">
        <f t="shared" si="0"/>
        <v>Proportion of Patients Receiving Surgery Within 8 Weeks of Assessment England</v>
      </c>
      <c r="BZ43" s="4">
        <v>0.35568645219755324</v>
      </c>
      <c r="CA43" s="4">
        <v>0.31385281385281383</v>
      </c>
      <c r="CB43" s="4">
        <v>0.32277397260273971</v>
      </c>
    </row>
    <row r="44" spans="1:80" x14ac:dyDescent="0.25">
      <c r="A44" s="2" t="s">
        <v>24</v>
      </c>
      <c r="B44" s="13" t="s">
        <v>23</v>
      </c>
      <c r="C44">
        <v>3</v>
      </c>
      <c r="D44">
        <v>0</v>
      </c>
      <c r="E44">
        <v>3</v>
      </c>
      <c r="F44">
        <v>2</v>
      </c>
      <c r="G44">
        <v>1</v>
      </c>
      <c r="H44" s="4">
        <v>0.5</v>
      </c>
      <c r="I44">
        <v>5</v>
      </c>
      <c r="J44">
        <v>4</v>
      </c>
      <c r="K44">
        <v>1</v>
      </c>
      <c r="L44">
        <v>5</v>
      </c>
      <c r="M44">
        <v>1</v>
      </c>
      <c r="N44" s="4">
        <v>0.2</v>
      </c>
      <c r="O44">
        <v>3</v>
      </c>
      <c r="P44">
        <v>2</v>
      </c>
      <c r="Q44">
        <v>1</v>
      </c>
      <c r="R44">
        <v>3</v>
      </c>
      <c r="S44">
        <v>1</v>
      </c>
      <c r="T44" s="4">
        <v>0.3333333</v>
      </c>
      <c r="U44">
        <v>3</v>
      </c>
      <c r="V44">
        <v>2</v>
      </c>
      <c r="W44">
        <v>1</v>
      </c>
      <c r="X44">
        <v>3</v>
      </c>
      <c r="Y44">
        <v>0</v>
      </c>
      <c r="Z44" s="4">
        <v>0</v>
      </c>
      <c r="AA44">
        <v>4</v>
      </c>
      <c r="AB44">
        <v>3</v>
      </c>
      <c r="AC44">
        <v>1</v>
      </c>
      <c r="AD44">
        <v>4</v>
      </c>
      <c r="AE44">
        <v>3</v>
      </c>
      <c r="AF44" s="4">
        <v>0.75</v>
      </c>
      <c r="AG44">
        <v>3</v>
      </c>
      <c r="AH44">
        <v>1</v>
      </c>
      <c r="AI44">
        <v>2</v>
      </c>
      <c r="AJ44">
        <v>2</v>
      </c>
      <c r="AK44">
        <v>0</v>
      </c>
      <c r="AL44" s="4">
        <v>0</v>
      </c>
      <c r="AM44">
        <v>2</v>
      </c>
      <c r="AN44">
        <v>1</v>
      </c>
      <c r="AO44">
        <v>1</v>
      </c>
      <c r="AP44">
        <v>2</v>
      </c>
      <c r="AQ44">
        <v>2</v>
      </c>
      <c r="AR44" s="4">
        <v>1</v>
      </c>
      <c r="AS44">
        <v>5</v>
      </c>
      <c r="AT44">
        <v>3</v>
      </c>
      <c r="AU44">
        <v>2</v>
      </c>
      <c r="AV44">
        <v>5</v>
      </c>
      <c r="AW44">
        <v>1</v>
      </c>
      <c r="AX44" s="4">
        <v>0.2</v>
      </c>
      <c r="AY44">
        <v>7</v>
      </c>
      <c r="AZ44">
        <v>4</v>
      </c>
      <c r="BA44">
        <v>3</v>
      </c>
      <c r="BB44">
        <v>7</v>
      </c>
      <c r="BC44">
        <v>5</v>
      </c>
      <c r="BD44" s="4">
        <v>0.71428570000000002</v>
      </c>
      <c r="BE44">
        <v>4</v>
      </c>
      <c r="BF44">
        <v>2</v>
      </c>
      <c r="BG44">
        <v>2</v>
      </c>
      <c r="BH44">
        <v>4</v>
      </c>
      <c r="BI44">
        <v>4</v>
      </c>
      <c r="BJ44" s="4">
        <v>1</v>
      </c>
      <c r="BK44">
        <v>6</v>
      </c>
      <c r="BL44">
        <v>3</v>
      </c>
      <c r="BM44">
        <v>3</v>
      </c>
      <c r="BN44">
        <v>6</v>
      </c>
      <c r="BO44">
        <v>3</v>
      </c>
      <c r="BP44" s="4">
        <v>0.5</v>
      </c>
      <c r="BQ44">
        <v>6</v>
      </c>
      <c r="BR44">
        <v>3</v>
      </c>
      <c r="BS44">
        <v>3</v>
      </c>
      <c r="BT44">
        <v>6</v>
      </c>
      <c r="BU44">
        <v>5</v>
      </c>
      <c r="BV44" s="4">
        <v>0.83333330000000005</v>
      </c>
      <c r="BW44" t="s">
        <v>526</v>
      </c>
      <c r="BX44" t="s">
        <v>514</v>
      </c>
      <c r="BY44" t="str">
        <f t="shared" si="0"/>
        <v>Proportion of Patients Receiving Surgery Within 8 Weeks of Assessment England</v>
      </c>
      <c r="BZ44" s="4">
        <v>0.35568645219755324</v>
      </c>
      <c r="CA44" s="4">
        <v>0.31385281385281383</v>
      </c>
      <c r="CB44" s="4">
        <v>0.32277397260273971</v>
      </c>
    </row>
    <row r="45" spans="1:80" x14ac:dyDescent="0.25">
      <c r="A45" s="2" t="s">
        <v>159</v>
      </c>
      <c r="B45" s="13" t="s">
        <v>31</v>
      </c>
      <c r="C45">
        <v>7</v>
      </c>
      <c r="D45">
        <v>7</v>
      </c>
      <c r="E45">
        <v>0</v>
      </c>
      <c r="F45">
        <v>7</v>
      </c>
      <c r="G45">
        <v>4</v>
      </c>
      <c r="H45" s="4">
        <v>0.57142859999999995</v>
      </c>
      <c r="I45">
        <v>9</v>
      </c>
      <c r="J45">
        <v>3</v>
      </c>
      <c r="K45">
        <v>6</v>
      </c>
      <c r="L45">
        <v>9</v>
      </c>
      <c r="M45">
        <v>5</v>
      </c>
      <c r="N45" s="4">
        <v>0.55555560000000004</v>
      </c>
      <c r="O45">
        <v>9</v>
      </c>
      <c r="P45">
        <v>9</v>
      </c>
      <c r="Q45">
        <v>0</v>
      </c>
      <c r="R45">
        <v>8</v>
      </c>
      <c r="S45">
        <v>7</v>
      </c>
      <c r="T45" s="4">
        <v>0.875</v>
      </c>
      <c r="U45">
        <v>7</v>
      </c>
      <c r="V45">
        <v>7</v>
      </c>
      <c r="W45">
        <v>0</v>
      </c>
      <c r="X45">
        <v>7</v>
      </c>
      <c r="Y45">
        <v>4</v>
      </c>
      <c r="Z45" s="4">
        <v>0.57142859999999995</v>
      </c>
      <c r="AA45">
        <v>8</v>
      </c>
      <c r="AB45">
        <v>6</v>
      </c>
      <c r="AC45">
        <v>2</v>
      </c>
      <c r="AD45">
        <v>8</v>
      </c>
      <c r="AE45">
        <v>3</v>
      </c>
      <c r="AF45" s="4">
        <v>0.375</v>
      </c>
      <c r="AG45">
        <v>3</v>
      </c>
      <c r="AH45">
        <v>3</v>
      </c>
      <c r="AI45">
        <v>0</v>
      </c>
      <c r="AJ45">
        <v>2</v>
      </c>
      <c r="AK45">
        <v>0</v>
      </c>
      <c r="AL45" s="4">
        <v>0</v>
      </c>
      <c r="AM45">
        <v>9</v>
      </c>
      <c r="AN45">
        <v>6</v>
      </c>
      <c r="AO45">
        <v>3</v>
      </c>
      <c r="AP45">
        <v>9</v>
      </c>
      <c r="AQ45">
        <v>4</v>
      </c>
      <c r="AR45" s="4">
        <v>0.44444440000000002</v>
      </c>
      <c r="AS45">
        <v>4</v>
      </c>
      <c r="AT45">
        <v>3</v>
      </c>
      <c r="AU45">
        <v>1</v>
      </c>
      <c r="AV45">
        <v>3</v>
      </c>
      <c r="AW45">
        <v>2</v>
      </c>
      <c r="AX45" s="4">
        <v>0.66666669999999995</v>
      </c>
      <c r="AY45">
        <v>6</v>
      </c>
      <c r="AZ45">
        <v>4</v>
      </c>
      <c r="BA45">
        <v>2</v>
      </c>
      <c r="BB45">
        <v>6</v>
      </c>
      <c r="BC45">
        <v>3</v>
      </c>
      <c r="BD45" s="4">
        <v>0.5</v>
      </c>
      <c r="BE45">
        <v>5</v>
      </c>
      <c r="BF45">
        <v>4</v>
      </c>
      <c r="BG45">
        <v>1</v>
      </c>
      <c r="BH45">
        <v>5</v>
      </c>
      <c r="BI45">
        <v>3</v>
      </c>
      <c r="BJ45" s="4">
        <v>0.6</v>
      </c>
      <c r="BK45">
        <v>3</v>
      </c>
      <c r="BL45">
        <v>3</v>
      </c>
      <c r="BM45">
        <v>0</v>
      </c>
      <c r="BN45">
        <v>3</v>
      </c>
      <c r="BO45">
        <v>1</v>
      </c>
      <c r="BP45" s="4">
        <v>0.3333333</v>
      </c>
      <c r="BQ45">
        <v>9</v>
      </c>
      <c r="BR45">
        <v>6</v>
      </c>
      <c r="BS45">
        <v>3</v>
      </c>
      <c r="BT45">
        <v>9</v>
      </c>
      <c r="BU45">
        <v>6</v>
      </c>
      <c r="BV45" s="4">
        <v>0.66666669999999995</v>
      </c>
      <c r="BW45" t="s">
        <v>526</v>
      </c>
      <c r="BX45" t="s">
        <v>514</v>
      </c>
      <c r="BY45" t="str">
        <f t="shared" si="0"/>
        <v>Proportion of Patients Receiving Surgery Within 8 Weeks of Assessment England</v>
      </c>
      <c r="BZ45" s="4">
        <v>0.35568645219755324</v>
      </c>
      <c r="CA45" s="4">
        <v>0.31385281385281383</v>
      </c>
      <c r="CB45" s="4">
        <v>0.32277397260273971</v>
      </c>
    </row>
    <row r="46" spans="1:80" x14ac:dyDescent="0.25">
      <c r="A46" s="2" t="s">
        <v>16</v>
      </c>
      <c r="B46" s="13" t="s">
        <v>15</v>
      </c>
      <c r="C46">
        <v>6</v>
      </c>
      <c r="D46">
        <v>1</v>
      </c>
      <c r="E46">
        <v>5</v>
      </c>
      <c r="F46">
        <v>4</v>
      </c>
      <c r="G46">
        <v>3</v>
      </c>
      <c r="H46" s="4">
        <v>0.75</v>
      </c>
      <c r="I46">
        <v>14</v>
      </c>
      <c r="J46">
        <v>3</v>
      </c>
      <c r="K46">
        <v>11</v>
      </c>
      <c r="L46">
        <v>10</v>
      </c>
      <c r="M46">
        <v>1</v>
      </c>
      <c r="N46" s="4">
        <v>0.1</v>
      </c>
      <c r="O46">
        <v>7</v>
      </c>
      <c r="P46">
        <v>4</v>
      </c>
      <c r="Q46">
        <v>3</v>
      </c>
      <c r="R46">
        <v>6</v>
      </c>
      <c r="S46">
        <v>2</v>
      </c>
      <c r="T46" s="4">
        <v>0.3333333</v>
      </c>
      <c r="U46">
        <v>10</v>
      </c>
      <c r="V46">
        <v>2</v>
      </c>
      <c r="W46">
        <v>8</v>
      </c>
      <c r="X46">
        <v>6</v>
      </c>
      <c r="Y46">
        <v>3</v>
      </c>
      <c r="Z46" s="4">
        <v>0.5</v>
      </c>
      <c r="AA46">
        <v>10</v>
      </c>
      <c r="AB46">
        <v>4</v>
      </c>
      <c r="AC46">
        <v>6</v>
      </c>
      <c r="AD46">
        <v>6</v>
      </c>
      <c r="AE46">
        <v>2</v>
      </c>
      <c r="AF46" s="4">
        <v>0.3333333</v>
      </c>
      <c r="AG46">
        <v>6</v>
      </c>
      <c r="AH46">
        <v>2</v>
      </c>
      <c r="AI46">
        <v>4</v>
      </c>
      <c r="AJ46">
        <v>5</v>
      </c>
      <c r="AK46">
        <v>3</v>
      </c>
      <c r="AL46" s="4">
        <v>0.6</v>
      </c>
      <c r="AM46">
        <v>7</v>
      </c>
      <c r="AN46">
        <v>1</v>
      </c>
      <c r="AO46">
        <v>6</v>
      </c>
      <c r="AP46">
        <v>4</v>
      </c>
      <c r="AQ46">
        <v>2</v>
      </c>
      <c r="AR46" s="4">
        <v>0.5</v>
      </c>
      <c r="AS46">
        <v>7</v>
      </c>
      <c r="AT46">
        <v>2</v>
      </c>
      <c r="AU46">
        <v>5</v>
      </c>
      <c r="AV46">
        <v>4</v>
      </c>
      <c r="AW46">
        <v>1</v>
      </c>
      <c r="AX46" s="4">
        <v>0.25</v>
      </c>
      <c r="AY46">
        <v>10</v>
      </c>
      <c r="AZ46">
        <v>4</v>
      </c>
      <c r="BA46">
        <v>6</v>
      </c>
      <c r="BB46">
        <v>7</v>
      </c>
      <c r="BC46">
        <v>2</v>
      </c>
      <c r="BD46" s="4">
        <v>0.28571429999999998</v>
      </c>
      <c r="BE46">
        <v>9</v>
      </c>
      <c r="BF46">
        <v>5</v>
      </c>
      <c r="BG46">
        <v>4</v>
      </c>
      <c r="BH46">
        <v>6</v>
      </c>
      <c r="BI46">
        <v>2</v>
      </c>
      <c r="BJ46" s="4">
        <v>0.3333333</v>
      </c>
      <c r="BK46">
        <v>4</v>
      </c>
      <c r="BL46">
        <v>0</v>
      </c>
      <c r="BM46">
        <v>4</v>
      </c>
      <c r="BN46">
        <v>3</v>
      </c>
      <c r="BO46">
        <v>1</v>
      </c>
      <c r="BP46" s="4">
        <v>0.3333333</v>
      </c>
      <c r="BQ46">
        <v>6</v>
      </c>
      <c r="BR46">
        <v>0</v>
      </c>
      <c r="BS46">
        <v>6</v>
      </c>
      <c r="BT46">
        <v>4</v>
      </c>
      <c r="BU46">
        <v>1</v>
      </c>
      <c r="BV46" s="4">
        <v>0.25</v>
      </c>
      <c r="BW46" t="s">
        <v>526</v>
      </c>
      <c r="BX46" t="s">
        <v>514</v>
      </c>
      <c r="BY46" t="str">
        <f t="shared" si="0"/>
        <v>Proportion of Patients Receiving Surgery Within 8 Weeks of Assessment England</v>
      </c>
      <c r="BZ46" s="4">
        <v>0.35568645219755324</v>
      </c>
      <c r="CA46" s="4">
        <v>0.31385281385281383</v>
      </c>
      <c r="CB46" s="4">
        <v>0.32277397260273971</v>
      </c>
    </row>
    <row r="47" spans="1:80" x14ac:dyDescent="0.25">
      <c r="A47" s="2" t="s">
        <v>35</v>
      </c>
      <c r="B47" s="13" t="s">
        <v>34</v>
      </c>
      <c r="C47">
        <v>10</v>
      </c>
      <c r="D47">
        <v>6</v>
      </c>
      <c r="E47">
        <v>4</v>
      </c>
      <c r="F47">
        <v>8</v>
      </c>
      <c r="G47">
        <v>1</v>
      </c>
      <c r="H47" s="4">
        <v>0.125</v>
      </c>
      <c r="I47">
        <v>14</v>
      </c>
      <c r="J47">
        <v>6</v>
      </c>
      <c r="K47">
        <v>8</v>
      </c>
      <c r="L47">
        <v>8</v>
      </c>
      <c r="M47">
        <v>3</v>
      </c>
      <c r="N47" s="4">
        <v>0.375</v>
      </c>
      <c r="O47">
        <v>10</v>
      </c>
      <c r="P47">
        <v>6</v>
      </c>
      <c r="Q47">
        <v>4</v>
      </c>
      <c r="R47">
        <v>7</v>
      </c>
      <c r="S47">
        <v>0</v>
      </c>
      <c r="T47" s="4">
        <v>0</v>
      </c>
      <c r="U47">
        <v>9</v>
      </c>
      <c r="V47">
        <v>4</v>
      </c>
      <c r="W47">
        <v>5</v>
      </c>
      <c r="X47">
        <v>7</v>
      </c>
      <c r="Y47">
        <v>2</v>
      </c>
      <c r="Z47" s="4">
        <v>0.28571429999999998</v>
      </c>
      <c r="AA47">
        <v>12</v>
      </c>
      <c r="AB47">
        <v>9</v>
      </c>
      <c r="AC47">
        <v>3</v>
      </c>
      <c r="AD47">
        <v>11</v>
      </c>
      <c r="AE47">
        <v>8</v>
      </c>
      <c r="AF47" s="4">
        <v>0.72727269999999999</v>
      </c>
      <c r="AG47">
        <v>9</v>
      </c>
      <c r="AH47">
        <v>8</v>
      </c>
      <c r="AI47">
        <v>1</v>
      </c>
      <c r="AJ47">
        <v>8</v>
      </c>
      <c r="AK47">
        <v>2</v>
      </c>
      <c r="AL47" s="4">
        <v>0.25</v>
      </c>
      <c r="AM47">
        <v>4</v>
      </c>
      <c r="AN47">
        <v>4</v>
      </c>
      <c r="AO47">
        <v>0</v>
      </c>
      <c r="AP47">
        <v>3</v>
      </c>
      <c r="AQ47">
        <v>1</v>
      </c>
      <c r="AR47" s="4">
        <v>0.3333333</v>
      </c>
      <c r="AS47">
        <v>10</v>
      </c>
      <c r="AT47">
        <v>7</v>
      </c>
      <c r="AU47">
        <v>3</v>
      </c>
      <c r="AV47">
        <v>9</v>
      </c>
      <c r="AW47">
        <v>4</v>
      </c>
      <c r="AX47" s="4">
        <v>0.44444440000000002</v>
      </c>
      <c r="AY47">
        <v>12</v>
      </c>
      <c r="AZ47">
        <v>6</v>
      </c>
      <c r="BA47">
        <v>6</v>
      </c>
      <c r="BB47">
        <v>12</v>
      </c>
      <c r="BC47">
        <v>4</v>
      </c>
      <c r="BD47" s="4">
        <v>0.3333333</v>
      </c>
      <c r="BE47">
        <v>8</v>
      </c>
      <c r="BF47">
        <v>5</v>
      </c>
      <c r="BG47">
        <v>3</v>
      </c>
      <c r="BH47">
        <v>8</v>
      </c>
      <c r="BI47">
        <v>6</v>
      </c>
      <c r="BJ47" s="4">
        <v>0.75</v>
      </c>
      <c r="BK47">
        <v>20</v>
      </c>
      <c r="BL47">
        <v>9</v>
      </c>
      <c r="BM47">
        <v>11</v>
      </c>
      <c r="BN47">
        <v>20</v>
      </c>
      <c r="BO47">
        <v>10</v>
      </c>
      <c r="BP47" s="4">
        <v>0.5</v>
      </c>
      <c r="BQ47">
        <v>13</v>
      </c>
      <c r="BR47">
        <v>3</v>
      </c>
      <c r="BS47">
        <v>10</v>
      </c>
      <c r="BT47">
        <v>13</v>
      </c>
      <c r="BU47">
        <v>7</v>
      </c>
      <c r="BV47" s="4">
        <v>0.53846159999999998</v>
      </c>
      <c r="BW47" t="s">
        <v>526</v>
      </c>
      <c r="BX47" t="s">
        <v>514</v>
      </c>
      <c r="BY47" t="str">
        <f t="shared" si="0"/>
        <v>Proportion of Patients Receiving Surgery Within 8 Weeks of Assessment England</v>
      </c>
      <c r="BZ47" s="4">
        <v>0.35568645219755324</v>
      </c>
      <c r="CA47" s="4">
        <v>0.31385281385281383</v>
      </c>
      <c r="CB47" s="4">
        <v>0.32277397260273971</v>
      </c>
    </row>
    <row r="48" spans="1:80" x14ac:dyDescent="0.25">
      <c r="A48" s="2" t="s">
        <v>99</v>
      </c>
      <c r="B48" s="13" t="s">
        <v>98</v>
      </c>
      <c r="C48">
        <v>5</v>
      </c>
      <c r="D48">
        <v>1</v>
      </c>
      <c r="E48">
        <v>4</v>
      </c>
      <c r="F48">
        <v>4</v>
      </c>
      <c r="G48">
        <v>1</v>
      </c>
      <c r="H48" s="4">
        <v>0.25</v>
      </c>
      <c r="I48">
        <v>14</v>
      </c>
      <c r="J48">
        <v>5</v>
      </c>
      <c r="K48">
        <v>9</v>
      </c>
      <c r="L48">
        <v>13</v>
      </c>
      <c r="M48">
        <v>3</v>
      </c>
      <c r="N48" s="4">
        <v>0.23076920000000001</v>
      </c>
      <c r="O48">
        <v>0</v>
      </c>
      <c r="P48">
        <v>0</v>
      </c>
      <c r="Q48">
        <v>0</v>
      </c>
      <c r="R48">
        <v>0</v>
      </c>
      <c r="S48">
        <v>0</v>
      </c>
      <c r="T48" s="4" t="s">
        <v>122</v>
      </c>
      <c r="U48">
        <v>12</v>
      </c>
      <c r="V48">
        <v>6</v>
      </c>
      <c r="W48">
        <v>6</v>
      </c>
      <c r="X48">
        <v>10</v>
      </c>
      <c r="Y48">
        <v>0</v>
      </c>
      <c r="Z48" s="4">
        <v>0</v>
      </c>
      <c r="AA48">
        <v>9</v>
      </c>
      <c r="AB48">
        <v>5</v>
      </c>
      <c r="AC48">
        <v>4</v>
      </c>
      <c r="AD48">
        <v>9</v>
      </c>
      <c r="AE48">
        <v>1</v>
      </c>
      <c r="AF48" s="4">
        <v>0.1111111</v>
      </c>
      <c r="AG48">
        <v>5</v>
      </c>
      <c r="AH48">
        <v>1</v>
      </c>
      <c r="AI48">
        <v>4</v>
      </c>
      <c r="AJ48">
        <v>5</v>
      </c>
      <c r="AK48">
        <v>1</v>
      </c>
      <c r="AL48" s="4">
        <v>0.2</v>
      </c>
      <c r="AM48">
        <v>9</v>
      </c>
      <c r="AN48">
        <v>3</v>
      </c>
      <c r="AO48">
        <v>6</v>
      </c>
      <c r="AP48">
        <v>8</v>
      </c>
      <c r="AQ48">
        <v>4</v>
      </c>
      <c r="AR48" s="4">
        <v>0.5</v>
      </c>
      <c r="AS48">
        <v>4</v>
      </c>
      <c r="AT48">
        <v>1</v>
      </c>
      <c r="AU48">
        <v>3</v>
      </c>
      <c r="AV48">
        <v>4</v>
      </c>
      <c r="AW48">
        <v>0</v>
      </c>
      <c r="AX48" s="4">
        <v>0</v>
      </c>
      <c r="AY48">
        <v>9</v>
      </c>
      <c r="AZ48">
        <v>1</v>
      </c>
      <c r="BA48">
        <v>8</v>
      </c>
      <c r="BB48">
        <v>9</v>
      </c>
      <c r="BC48">
        <v>4</v>
      </c>
      <c r="BD48" s="4">
        <v>0.44444440000000002</v>
      </c>
      <c r="BE48">
        <v>11</v>
      </c>
      <c r="BF48">
        <v>4</v>
      </c>
      <c r="BG48">
        <v>7</v>
      </c>
      <c r="BH48">
        <v>11</v>
      </c>
      <c r="BI48">
        <v>6</v>
      </c>
      <c r="BJ48" s="4">
        <v>0.54545460000000001</v>
      </c>
      <c r="BK48">
        <v>7</v>
      </c>
      <c r="BL48">
        <v>3</v>
      </c>
      <c r="BM48">
        <v>4</v>
      </c>
      <c r="BN48">
        <v>7</v>
      </c>
      <c r="BO48">
        <v>0</v>
      </c>
      <c r="BP48" s="4">
        <v>0</v>
      </c>
      <c r="BQ48">
        <v>14</v>
      </c>
      <c r="BR48">
        <v>5</v>
      </c>
      <c r="BS48">
        <v>9</v>
      </c>
      <c r="BT48">
        <v>14</v>
      </c>
      <c r="BU48">
        <v>5</v>
      </c>
      <c r="BV48" s="4">
        <v>0.35714289999999999</v>
      </c>
      <c r="BW48" t="s">
        <v>526</v>
      </c>
      <c r="BX48" t="s">
        <v>514</v>
      </c>
      <c r="BY48" t="str">
        <f t="shared" si="0"/>
        <v>Proportion of Patients Receiving Surgery Within 8 Weeks of Assessment England</v>
      </c>
      <c r="BZ48" s="4">
        <v>0.35568645219755324</v>
      </c>
      <c r="CA48" s="4">
        <v>0.31385281385281383</v>
      </c>
      <c r="CB48" s="4">
        <v>0.32277397260273971</v>
      </c>
    </row>
    <row r="49" spans="1:80" x14ac:dyDescent="0.25">
      <c r="A49" s="2" t="s">
        <v>145</v>
      </c>
      <c r="B49" s="13" t="s">
        <v>144</v>
      </c>
      <c r="C49">
        <v>13</v>
      </c>
      <c r="D49">
        <v>6</v>
      </c>
      <c r="E49">
        <v>7</v>
      </c>
      <c r="F49">
        <v>12</v>
      </c>
      <c r="G49">
        <v>6</v>
      </c>
      <c r="H49" s="4">
        <v>0.5</v>
      </c>
      <c r="I49">
        <v>10</v>
      </c>
      <c r="J49">
        <v>3</v>
      </c>
      <c r="K49">
        <v>7</v>
      </c>
      <c r="L49">
        <v>10</v>
      </c>
      <c r="M49">
        <v>5</v>
      </c>
      <c r="N49" s="4">
        <v>0.5</v>
      </c>
      <c r="O49">
        <v>9</v>
      </c>
      <c r="P49">
        <v>4</v>
      </c>
      <c r="Q49">
        <v>5</v>
      </c>
      <c r="R49">
        <v>9</v>
      </c>
      <c r="S49">
        <v>3</v>
      </c>
      <c r="T49" s="4">
        <v>0.3333333</v>
      </c>
      <c r="U49">
        <v>21</v>
      </c>
      <c r="V49">
        <v>13</v>
      </c>
      <c r="W49">
        <v>8</v>
      </c>
      <c r="X49">
        <v>20</v>
      </c>
      <c r="Y49">
        <v>5</v>
      </c>
      <c r="Z49" s="4">
        <v>0.25</v>
      </c>
      <c r="AA49">
        <v>18</v>
      </c>
      <c r="AB49">
        <v>10</v>
      </c>
      <c r="AC49">
        <v>8</v>
      </c>
      <c r="AD49">
        <v>18</v>
      </c>
      <c r="AE49">
        <v>4</v>
      </c>
      <c r="AF49" s="4">
        <v>0.22222220000000001</v>
      </c>
      <c r="AG49">
        <v>10</v>
      </c>
      <c r="AH49">
        <v>4</v>
      </c>
      <c r="AI49">
        <v>6</v>
      </c>
      <c r="AJ49">
        <v>10</v>
      </c>
      <c r="AK49">
        <v>4</v>
      </c>
      <c r="AL49" s="4">
        <v>0.4</v>
      </c>
      <c r="AM49">
        <v>9</v>
      </c>
      <c r="AN49">
        <v>3</v>
      </c>
      <c r="AO49">
        <v>6</v>
      </c>
      <c r="AP49">
        <v>9</v>
      </c>
      <c r="AQ49">
        <v>7</v>
      </c>
      <c r="AR49" s="4">
        <v>0.77777779999999996</v>
      </c>
      <c r="AS49">
        <v>14</v>
      </c>
      <c r="AT49">
        <v>8</v>
      </c>
      <c r="AU49">
        <v>6</v>
      </c>
      <c r="AV49">
        <v>14</v>
      </c>
      <c r="AW49">
        <v>6</v>
      </c>
      <c r="AX49" s="4">
        <v>0.42857139999999999</v>
      </c>
      <c r="AY49">
        <v>14</v>
      </c>
      <c r="AZ49">
        <v>7</v>
      </c>
      <c r="BA49">
        <v>7</v>
      </c>
      <c r="BB49">
        <v>14</v>
      </c>
      <c r="BC49">
        <v>4</v>
      </c>
      <c r="BD49" s="4">
        <v>0.28571429999999998</v>
      </c>
      <c r="BE49">
        <v>11</v>
      </c>
      <c r="BF49">
        <v>5</v>
      </c>
      <c r="BG49">
        <v>6</v>
      </c>
      <c r="BH49">
        <v>11</v>
      </c>
      <c r="BI49">
        <v>3</v>
      </c>
      <c r="BJ49" s="4">
        <v>0.27272730000000001</v>
      </c>
      <c r="BK49">
        <v>13</v>
      </c>
      <c r="BL49">
        <v>5</v>
      </c>
      <c r="BM49">
        <v>8</v>
      </c>
      <c r="BN49">
        <v>13</v>
      </c>
      <c r="BO49">
        <v>4</v>
      </c>
      <c r="BP49" s="4">
        <v>0.30769229999999997</v>
      </c>
      <c r="BQ49">
        <v>13</v>
      </c>
      <c r="BR49">
        <v>6</v>
      </c>
      <c r="BS49">
        <v>7</v>
      </c>
      <c r="BT49">
        <v>13</v>
      </c>
      <c r="BU49">
        <v>11</v>
      </c>
      <c r="BV49" s="4">
        <v>0.84615390000000001</v>
      </c>
      <c r="BW49" t="s">
        <v>526</v>
      </c>
      <c r="BX49" t="s">
        <v>514</v>
      </c>
      <c r="BY49" t="str">
        <f t="shared" si="0"/>
        <v>Proportion of Patients Receiving Surgery Within 8 Weeks of Assessment England</v>
      </c>
      <c r="BZ49" s="4">
        <v>0.35568645219755324</v>
      </c>
      <c r="CA49" s="4">
        <v>0.31385281385281383</v>
      </c>
      <c r="CB49" s="4">
        <v>0.32277397260273971</v>
      </c>
    </row>
    <row r="50" spans="1:80" x14ac:dyDescent="0.25">
      <c r="A50" s="2" t="s">
        <v>77</v>
      </c>
      <c r="B50" s="13" t="s">
        <v>76</v>
      </c>
      <c r="C50">
        <v>4</v>
      </c>
      <c r="D50">
        <v>2</v>
      </c>
      <c r="E50">
        <v>2</v>
      </c>
      <c r="F50">
        <v>4</v>
      </c>
      <c r="G50">
        <v>3</v>
      </c>
      <c r="H50" s="4">
        <v>0.75</v>
      </c>
      <c r="I50">
        <v>10</v>
      </c>
      <c r="J50">
        <v>4</v>
      </c>
      <c r="K50">
        <v>6</v>
      </c>
      <c r="L50">
        <v>9</v>
      </c>
      <c r="M50">
        <v>4</v>
      </c>
      <c r="N50" s="4">
        <v>0.44444440000000002</v>
      </c>
      <c r="O50">
        <v>13</v>
      </c>
      <c r="P50">
        <v>3</v>
      </c>
      <c r="Q50">
        <v>10</v>
      </c>
      <c r="R50">
        <v>12</v>
      </c>
      <c r="S50">
        <v>0</v>
      </c>
      <c r="T50" s="4">
        <v>0</v>
      </c>
      <c r="U50">
        <v>10</v>
      </c>
      <c r="V50">
        <v>3</v>
      </c>
      <c r="W50">
        <v>7</v>
      </c>
      <c r="X50">
        <v>10</v>
      </c>
      <c r="Y50">
        <v>2</v>
      </c>
      <c r="Z50" s="4">
        <v>0.2</v>
      </c>
      <c r="AA50">
        <v>11</v>
      </c>
      <c r="AB50">
        <v>2</v>
      </c>
      <c r="AC50">
        <v>9</v>
      </c>
      <c r="AD50">
        <v>11</v>
      </c>
      <c r="AE50">
        <v>3</v>
      </c>
      <c r="AF50" s="4">
        <v>0.27272730000000001</v>
      </c>
      <c r="AG50">
        <v>8</v>
      </c>
      <c r="AH50">
        <v>1</v>
      </c>
      <c r="AI50">
        <v>7</v>
      </c>
      <c r="AJ50">
        <v>8</v>
      </c>
      <c r="AK50">
        <v>2</v>
      </c>
      <c r="AL50" s="4">
        <v>0.25</v>
      </c>
      <c r="AM50">
        <v>12</v>
      </c>
      <c r="AN50">
        <v>3</v>
      </c>
      <c r="AO50">
        <v>9</v>
      </c>
      <c r="AP50">
        <v>10</v>
      </c>
      <c r="AQ50">
        <v>4</v>
      </c>
      <c r="AR50" s="4">
        <v>0.4</v>
      </c>
      <c r="AS50">
        <v>11</v>
      </c>
      <c r="AT50">
        <v>4</v>
      </c>
      <c r="AU50">
        <v>7</v>
      </c>
      <c r="AV50">
        <v>10</v>
      </c>
      <c r="AW50">
        <v>1</v>
      </c>
      <c r="AX50" s="4">
        <v>0.1</v>
      </c>
      <c r="AY50">
        <v>12</v>
      </c>
      <c r="AZ50">
        <v>4</v>
      </c>
      <c r="BA50">
        <v>8</v>
      </c>
      <c r="BB50">
        <v>11</v>
      </c>
      <c r="BC50">
        <v>0</v>
      </c>
      <c r="BD50" s="4">
        <v>0</v>
      </c>
      <c r="BE50">
        <v>9</v>
      </c>
      <c r="BF50">
        <v>1</v>
      </c>
      <c r="BG50">
        <v>8</v>
      </c>
      <c r="BH50">
        <v>9</v>
      </c>
      <c r="BI50">
        <v>1</v>
      </c>
      <c r="BJ50" s="4">
        <v>0.1111111</v>
      </c>
      <c r="BK50">
        <v>11</v>
      </c>
      <c r="BL50">
        <v>2</v>
      </c>
      <c r="BM50">
        <v>9</v>
      </c>
      <c r="BN50">
        <v>11</v>
      </c>
      <c r="BO50">
        <v>2</v>
      </c>
      <c r="BP50" s="4">
        <v>0.18181820000000001</v>
      </c>
      <c r="BQ50">
        <v>10</v>
      </c>
      <c r="BR50">
        <v>1</v>
      </c>
      <c r="BS50">
        <v>9</v>
      </c>
      <c r="BT50">
        <v>10</v>
      </c>
      <c r="BU50">
        <v>3</v>
      </c>
      <c r="BV50" s="4">
        <v>0.3</v>
      </c>
      <c r="BW50" t="s">
        <v>526</v>
      </c>
      <c r="BX50" t="s">
        <v>514</v>
      </c>
      <c r="BY50" t="str">
        <f t="shared" si="0"/>
        <v>Proportion of Patients Receiving Surgery Within 8 Weeks of Assessment England</v>
      </c>
      <c r="BZ50" s="4">
        <v>0.35568645219755324</v>
      </c>
      <c r="CA50" s="4">
        <v>0.31385281385281383</v>
      </c>
      <c r="CB50" s="4">
        <v>0.32277397260273971</v>
      </c>
    </row>
    <row r="51" spans="1:80" x14ac:dyDescent="0.25">
      <c r="A51" s="2" t="s">
        <v>138</v>
      </c>
      <c r="B51" s="13" t="s">
        <v>137</v>
      </c>
      <c r="C51">
        <v>10</v>
      </c>
      <c r="D51">
        <v>2</v>
      </c>
      <c r="E51">
        <v>8</v>
      </c>
      <c r="F51">
        <v>10</v>
      </c>
      <c r="G51">
        <v>6</v>
      </c>
      <c r="H51" s="4">
        <v>0.6</v>
      </c>
      <c r="I51">
        <v>13</v>
      </c>
      <c r="J51">
        <v>4</v>
      </c>
      <c r="K51">
        <v>9</v>
      </c>
      <c r="L51">
        <v>13</v>
      </c>
      <c r="M51">
        <v>12</v>
      </c>
      <c r="N51" s="4">
        <v>0.92307689999999998</v>
      </c>
      <c r="O51">
        <v>11</v>
      </c>
      <c r="P51">
        <v>1</v>
      </c>
      <c r="Q51">
        <v>10</v>
      </c>
      <c r="R51">
        <v>11</v>
      </c>
      <c r="S51">
        <v>4</v>
      </c>
      <c r="T51" s="4">
        <v>0.36363640000000003</v>
      </c>
      <c r="U51">
        <v>15</v>
      </c>
      <c r="V51">
        <v>4</v>
      </c>
      <c r="W51">
        <v>11</v>
      </c>
      <c r="X51">
        <v>13</v>
      </c>
      <c r="Y51">
        <v>7</v>
      </c>
      <c r="Z51" s="4">
        <v>0.53846159999999998</v>
      </c>
      <c r="AA51">
        <v>12</v>
      </c>
      <c r="AB51">
        <v>4</v>
      </c>
      <c r="AC51">
        <v>8</v>
      </c>
      <c r="AD51">
        <v>11</v>
      </c>
      <c r="AE51">
        <v>6</v>
      </c>
      <c r="AF51" s="4">
        <v>0.54545460000000001</v>
      </c>
      <c r="AG51">
        <v>17</v>
      </c>
      <c r="AH51">
        <v>3</v>
      </c>
      <c r="AI51">
        <v>14</v>
      </c>
      <c r="AJ51">
        <v>16</v>
      </c>
      <c r="AK51">
        <v>6</v>
      </c>
      <c r="AL51" s="4">
        <v>0.375</v>
      </c>
      <c r="AM51">
        <v>13</v>
      </c>
      <c r="AN51">
        <v>3</v>
      </c>
      <c r="AO51">
        <v>10</v>
      </c>
      <c r="AP51">
        <v>11</v>
      </c>
      <c r="AQ51">
        <v>5</v>
      </c>
      <c r="AR51" s="4">
        <v>0.45454549999999999</v>
      </c>
      <c r="AS51">
        <v>18</v>
      </c>
      <c r="AT51">
        <v>4</v>
      </c>
      <c r="AU51">
        <v>14</v>
      </c>
      <c r="AV51">
        <v>18</v>
      </c>
      <c r="AW51">
        <v>8</v>
      </c>
      <c r="AX51" s="4">
        <v>0.44444440000000002</v>
      </c>
      <c r="AY51">
        <v>6</v>
      </c>
      <c r="AZ51">
        <v>1</v>
      </c>
      <c r="BA51">
        <v>5</v>
      </c>
      <c r="BB51">
        <v>4</v>
      </c>
      <c r="BC51">
        <v>2</v>
      </c>
      <c r="BD51" s="4">
        <v>0.5</v>
      </c>
      <c r="BE51">
        <v>15</v>
      </c>
      <c r="BF51">
        <v>3</v>
      </c>
      <c r="BG51">
        <v>12</v>
      </c>
      <c r="BH51">
        <v>15</v>
      </c>
      <c r="BI51">
        <v>5</v>
      </c>
      <c r="BJ51" s="4">
        <v>0.3333333</v>
      </c>
      <c r="BK51">
        <v>8</v>
      </c>
      <c r="BL51">
        <v>0</v>
      </c>
      <c r="BM51">
        <v>8</v>
      </c>
      <c r="BN51">
        <v>8</v>
      </c>
      <c r="BO51">
        <v>4</v>
      </c>
      <c r="BP51" s="4">
        <v>0.5</v>
      </c>
      <c r="BQ51">
        <v>12</v>
      </c>
      <c r="BR51">
        <v>2</v>
      </c>
      <c r="BS51">
        <v>10</v>
      </c>
      <c r="BT51">
        <v>12</v>
      </c>
      <c r="BU51">
        <v>5</v>
      </c>
      <c r="BV51" s="4">
        <v>0.4166667</v>
      </c>
      <c r="BW51" t="s">
        <v>526</v>
      </c>
      <c r="BX51" t="s">
        <v>514</v>
      </c>
      <c r="BY51" t="str">
        <f t="shared" si="0"/>
        <v>Proportion of Patients Receiving Surgery Within 8 Weeks of Assessment England</v>
      </c>
      <c r="BZ51" s="4">
        <v>0.35568645219755324</v>
      </c>
      <c r="CA51" s="4">
        <v>0.31385281385281383</v>
      </c>
      <c r="CB51" s="4">
        <v>0.32277397260273971</v>
      </c>
    </row>
    <row r="52" spans="1:80" x14ac:dyDescent="0.25">
      <c r="A52" s="2" t="s">
        <v>41</v>
      </c>
      <c r="B52" s="13" t="s">
        <v>40</v>
      </c>
      <c r="C52">
        <v>15</v>
      </c>
      <c r="D52">
        <v>2</v>
      </c>
      <c r="E52">
        <v>13</v>
      </c>
      <c r="F52">
        <v>11</v>
      </c>
      <c r="G52">
        <v>3</v>
      </c>
      <c r="H52" s="4">
        <v>0.27272730000000001</v>
      </c>
      <c r="I52">
        <v>13</v>
      </c>
      <c r="J52">
        <v>1</v>
      </c>
      <c r="K52">
        <v>12</v>
      </c>
      <c r="L52">
        <v>13</v>
      </c>
      <c r="M52">
        <v>6</v>
      </c>
      <c r="N52" s="4">
        <v>0.46153850000000002</v>
      </c>
      <c r="O52">
        <v>14</v>
      </c>
      <c r="P52">
        <v>0</v>
      </c>
      <c r="Q52">
        <v>14</v>
      </c>
      <c r="R52">
        <v>12</v>
      </c>
      <c r="S52">
        <v>6</v>
      </c>
      <c r="T52" s="4">
        <v>0.5</v>
      </c>
      <c r="U52">
        <v>11</v>
      </c>
      <c r="V52">
        <v>2</v>
      </c>
      <c r="W52">
        <v>9</v>
      </c>
      <c r="X52">
        <v>11</v>
      </c>
      <c r="Y52">
        <v>1</v>
      </c>
      <c r="Z52" s="4">
        <v>9.0909100000000007E-2</v>
      </c>
      <c r="AA52">
        <v>15</v>
      </c>
      <c r="AB52">
        <v>0</v>
      </c>
      <c r="AC52">
        <v>15</v>
      </c>
      <c r="AD52">
        <v>12</v>
      </c>
      <c r="AE52">
        <v>6</v>
      </c>
      <c r="AF52" s="4">
        <v>0.5</v>
      </c>
      <c r="AG52">
        <v>8</v>
      </c>
      <c r="AH52">
        <v>0</v>
      </c>
      <c r="AI52">
        <v>8</v>
      </c>
      <c r="AJ52">
        <v>5</v>
      </c>
      <c r="AK52">
        <v>0</v>
      </c>
      <c r="AL52" s="4">
        <v>0</v>
      </c>
      <c r="AM52">
        <v>14</v>
      </c>
      <c r="AN52">
        <v>1</v>
      </c>
      <c r="AO52">
        <v>13</v>
      </c>
      <c r="AP52">
        <v>13</v>
      </c>
      <c r="AQ52">
        <v>7</v>
      </c>
      <c r="AR52" s="4">
        <v>0.53846159999999998</v>
      </c>
      <c r="AS52">
        <v>18</v>
      </c>
      <c r="AT52">
        <v>1</v>
      </c>
      <c r="AU52">
        <v>17</v>
      </c>
      <c r="AV52">
        <v>13</v>
      </c>
      <c r="AW52">
        <v>3</v>
      </c>
      <c r="AX52" s="4">
        <v>0.23076920000000001</v>
      </c>
      <c r="AY52">
        <v>14</v>
      </c>
      <c r="AZ52">
        <v>0</v>
      </c>
      <c r="BA52">
        <v>14</v>
      </c>
      <c r="BB52">
        <v>12</v>
      </c>
      <c r="BC52">
        <v>4</v>
      </c>
      <c r="BD52" s="4">
        <v>0.3333333</v>
      </c>
      <c r="BE52">
        <v>13</v>
      </c>
      <c r="BF52">
        <v>1</v>
      </c>
      <c r="BG52">
        <v>12</v>
      </c>
      <c r="BH52">
        <v>11</v>
      </c>
      <c r="BI52">
        <v>2</v>
      </c>
      <c r="BJ52" s="4">
        <v>0.18181820000000001</v>
      </c>
      <c r="BK52">
        <v>12</v>
      </c>
      <c r="BL52">
        <v>1</v>
      </c>
      <c r="BM52">
        <v>11</v>
      </c>
      <c r="BN52">
        <v>10</v>
      </c>
      <c r="BO52">
        <v>5</v>
      </c>
      <c r="BP52" s="4">
        <v>0.5</v>
      </c>
      <c r="BQ52">
        <v>12</v>
      </c>
      <c r="BR52">
        <v>2</v>
      </c>
      <c r="BS52">
        <v>10</v>
      </c>
      <c r="BT52">
        <v>11</v>
      </c>
      <c r="BU52">
        <v>3</v>
      </c>
      <c r="BV52" s="4">
        <v>0.27272730000000001</v>
      </c>
      <c r="BW52" t="s">
        <v>526</v>
      </c>
      <c r="BX52" t="s">
        <v>514</v>
      </c>
      <c r="BY52" t="str">
        <f t="shared" si="0"/>
        <v>Proportion of Patients Receiving Surgery Within 8 Weeks of Assessment England</v>
      </c>
      <c r="BZ52" s="4">
        <v>0.35568645219755324</v>
      </c>
      <c r="CA52" s="4">
        <v>0.31385281385281383</v>
      </c>
      <c r="CB52" s="4">
        <v>0.32277397260273971</v>
      </c>
    </row>
    <row r="53" spans="1:80" x14ac:dyDescent="0.25">
      <c r="A53" s="2" t="s">
        <v>119</v>
      </c>
      <c r="B53" s="13" t="s">
        <v>2</v>
      </c>
      <c r="C53">
        <v>6</v>
      </c>
      <c r="D53">
        <v>3</v>
      </c>
      <c r="E53">
        <v>3</v>
      </c>
      <c r="F53">
        <v>6</v>
      </c>
      <c r="G53">
        <v>1</v>
      </c>
      <c r="H53" s="4">
        <v>0.1666667</v>
      </c>
      <c r="I53">
        <v>10</v>
      </c>
      <c r="J53">
        <v>5</v>
      </c>
      <c r="K53">
        <v>5</v>
      </c>
      <c r="L53">
        <v>10</v>
      </c>
      <c r="M53">
        <v>0</v>
      </c>
      <c r="N53" s="4">
        <v>0</v>
      </c>
      <c r="O53">
        <v>8</v>
      </c>
      <c r="P53">
        <v>5</v>
      </c>
      <c r="Q53">
        <v>3</v>
      </c>
      <c r="R53">
        <v>8</v>
      </c>
      <c r="S53">
        <v>1</v>
      </c>
      <c r="T53" s="4">
        <v>0.125</v>
      </c>
      <c r="U53">
        <v>11</v>
      </c>
      <c r="V53">
        <v>5</v>
      </c>
      <c r="W53">
        <v>6</v>
      </c>
      <c r="X53">
        <v>11</v>
      </c>
      <c r="Y53">
        <v>1</v>
      </c>
      <c r="Z53" s="4">
        <v>9.0909100000000007E-2</v>
      </c>
      <c r="AA53">
        <v>10</v>
      </c>
      <c r="AB53">
        <v>7</v>
      </c>
      <c r="AC53">
        <v>3</v>
      </c>
      <c r="AD53">
        <v>10</v>
      </c>
      <c r="AE53">
        <v>1</v>
      </c>
      <c r="AF53" s="4">
        <v>0.1</v>
      </c>
      <c r="AG53">
        <v>13</v>
      </c>
      <c r="AH53">
        <v>8</v>
      </c>
      <c r="AI53">
        <v>5</v>
      </c>
      <c r="AJ53">
        <v>13</v>
      </c>
      <c r="AK53">
        <v>0</v>
      </c>
      <c r="AL53" s="4">
        <v>0</v>
      </c>
      <c r="AM53">
        <v>14</v>
      </c>
      <c r="AN53">
        <v>6</v>
      </c>
      <c r="AO53">
        <v>8</v>
      </c>
      <c r="AP53">
        <v>13</v>
      </c>
      <c r="AQ53">
        <v>0</v>
      </c>
      <c r="AR53" s="4">
        <v>0</v>
      </c>
      <c r="AS53">
        <v>13</v>
      </c>
      <c r="AT53">
        <v>10</v>
      </c>
      <c r="AU53">
        <v>3</v>
      </c>
      <c r="AV53">
        <v>13</v>
      </c>
      <c r="AW53">
        <v>0</v>
      </c>
      <c r="AX53" s="4">
        <v>0</v>
      </c>
      <c r="AY53">
        <v>13</v>
      </c>
      <c r="AZ53">
        <v>7</v>
      </c>
      <c r="BA53">
        <v>6</v>
      </c>
      <c r="BB53">
        <v>13</v>
      </c>
      <c r="BC53">
        <v>2</v>
      </c>
      <c r="BD53" s="4">
        <v>0.15384619999999999</v>
      </c>
      <c r="BE53">
        <v>13</v>
      </c>
      <c r="BF53">
        <v>6</v>
      </c>
      <c r="BG53">
        <v>7</v>
      </c>
      <c r="BH53">
        <v>13</v>
      </c>
      <c r="BI53">
        <v>3</v>
      </c>
      <c r="BJ53" s="4">
        <v>0.23076920000000001</v>
      </c>
      <c r="BK53">
        <v>9</v>
      </c>
      <c r="BL53">
        <v>5</v>
      </c>
      <c r="BM53">
        <v>4</v>
      </c>
      <c r="BN53">
        <v>9</v>
      </c>
      <c r="BO53">
        <v>1</v>
      </c>
      <c r="BP53" s="4">
        <v>0.1111111</v>
      </c>
      <c r="BQ53">
        <v>13</v>
      </c>
      <c r="BR53">
        <v>6</v>
      </c>
      <c r="BS53">
        <v>7</v>
      </c>
      <c r="BT53">
        <v>13</v>
      </c>
      <c r="BU53">
        <v>2</v>
      </c>
      <c r="BV53" s="4">
        <v>0.15384619999999999</v>
      </c>
      <c r="BW53" t="s">
        <v>527</v>
      </c>
      <c r="BX53" t="s">
        <v>514</v>
      </c>
      <c r="BY53" t="str">
        <f t="shared" si="0"/>
        <v>Proportion of Patients Receiving Surgery Within 8 Weeks of Assessment Wales</v>
      </c>
      <c r="BZ53" s="4">
        <v>0.2711864406779661</v>
      </c>
      <c r="CA53" s="4">
        <v>0.17293233082706766</v>
      </c>
      <c r="CB53" s="4">
        <v>0.17910447761194029</v>
      </c>
    </row>
    <row r="54" spans="1:80" x14ac:dyDescent="0.25">
      <c r="A54" s="2" t="s">
        <v>54</v>
      </c>
      <c r="B54" s="13" t="s">
        <v>53</v>
      </c>
      <c r="C54">
        <v>12</v>
      </c>
      <c r="D54">
        <v>4</v>
      </c>
      <c r="E54">
        <v>8</v>
      </c>
      <c r="F54">
        <v>11</v>
      </c>
      <c r="G54">
        <v>6</v>
      </c>
      <c r="H54" s="4">
        <v>0.54545460000000001</v>
      </c>
      <c r="I54">
        <v>4</v>
      </c>
      <c r="J54">
        <v>0</v>
      </c>
      <c r="K54">
        <v>4</v>
      </c>
      <c r="L54">
        <v>4</v>
      </c>
      <c r="M54">
        <v>1</v>
      </c>
      <c r="N54" s="4">
        <v>0.25</v>
      </c>
      <c r="O54">
        <v>9</v>
      </c>
      <c r="P54">
        <v>3</v>
      </c>
      <c r="Q54">
        <v>6</v>
      </c>
      <c r="R54">
        <v>8</v>
      </c>
      <c r="S54">
        <v>3</v>
      </c>
      <c r="T54" s="4">
        <v>0.375</v>
      </c>
      <c r="U54">
        <v>12</v>
      </c>
      <c r="V54">
        <v>5</v>
      </c>
      <c r="W54">
        <v>7</v>
      </c>
      <c r="X54">
        <v>8</v>
      </c>
      <c r="Y54">
        <v>2</v>
      </c>
      <c r="Z54" s="4">
        <v>0.25</v>
      </c>
      <c r="AA54">
        <v>11</v>
      </c>
      <c r="AB54">
        <v>6</v>
      </c>
      <c r="AC54">
        <v>5</v>
      </c>
      <c r="AD54">
        <v>8</v>
      </c>
      <c r="AE54">
        <v>2</v>
      </c>
      <c r="AF54" s="4">
        <v>0.25</v>
      </c>
      <c r="AG54">
        <v>8</v>
      </c>
      <c r="AH54">
        <v>4</v>
      </c>
      <c r="AI54">
        <v>4</v>
      </c>
      <c r="AJ54">
        <v>7</v>
      </c>
      <c r="AK54">
        <v>1</v>
      </c>
      <c r="AL54" s="4">
        <v>0.14285709999999999</v>
      </c>
      <c r="AM54">
        <v>12</v>
      </c>
      <c r="AN54">
        <v>6</v>
      </c>
      <c r="AO54">
        <v>6</v>
      </c>
      <c r="AP54">
        <v>11</v>
      </c>
      <c r="AQ54">
        <v>5</v>
      </c>
      <c r="AR54" s="4">
        <v>0.45454549999999999</v>
      </c>
      <c r="AS54">
        <v>7</v>
      </c>
      <c r="AT54">
        <v>2</v>
      </c>
      <c r="AU54">
        <v>5</v>
      </c>
      <c r="AV54">
        <v>7</v>
      </c>
      <c r="AW54">
        <v>3</v>
      </c>
      <c r="AX54" s="4">
        <v>0.42857139999999999</v>
      </c>
      <c r="AY54">
        <v>12</v>
      </c>
      <c r="AZ54">
        <v>4</v>
      </c>
      <c r="BA54">
        <v>8</v>
      </c>
      <c r="BB54">
        <v>8</v>
      </c>
      <c r="BC54">
        <v>5</v>
      </c>
      <c r="BD54" s="4">
        <v>0.625</v>
      </c>
      <c r="BE54">
        <v>9</v>
      </c>
      <c r="BF54">
        <v>3</v>
      </c>
      <c r="BG54">
        <v>6</v>
      </c>
      <c r="BH54">
        <v>6</v>
      </c>
      <c r="BI54">
        <v>4</v>
      </c>
      <c r="BJ54" s="4">
        <v>0.66666669999999995</v>
      </c>
      <c r="BK54">
        <v>13</v>
      </c>
      <c r="BL54">
        <v>10</v>
      </c>
      <c r="BM54">
        <v>3</v>
      </c>
      <c r="BN54">
        <v>11</v>
      </c>
      <c r="BO54">
        <v>5</v>
      </c>
      <c r="BP54" s="4">
        <v>0.45454549999999999</v>
      </c>
      <c r="BQ54">
        <v>14</v>
      </c>
      <c r="BR54">
        <v>2</v>
      </c>
      <c r="BS54">
        <v>12</v>
      </c>
      <c r="BT54">
        <v>12</v>
      </c>
      <c r="BU54">
        <v>5</v>
      </c>
      <c r="BV54" s="4">
        <v>0.4166667</v>
      </c>
      <c r="BW54" t="s">
        <v>526</v>
      </c>
      <c r="BX54" t="s">
        <v>514</v>
      </c>
      <c r="BY54" t="str">
        <f t="shared" si="0"/>
        <v>Proportion of Patients Receiving Surgery Within 8 Weeks of Assessment England</v>
      </c>
      <c r="BZ54" s="4">
        <v>0.35568645219755324</v>
      </c>
      <c r="CA54" s="4">
        <v>0.31385281385281383</v>
      </c>
      <c r="CB54" s="4">
        <v>0.32277397260273971</v>
      </c>
    </row>
    <row r="55" spans="1:80" x14ac:dyDescent="0.25">
      <c r="A55" s="2" t="s">
        <v>84</v>
      </c>
      <c r="B55" s="13" t="s">
        <v>83</v>
      </c>
      <c r="C55">
        <v>9</v>
      </c>
      <c r="D55">
        <v>8</v>
      </c>
      <c r="E55">
        <v>1</v>
      </c>
      <c r="F55">
        <v>9</v>
      </c>
      <c r="G55">
        <v>1</v>
      </c>
      <c r="H55" s="4">
        <v>0.1111111</v>
      </c>
      <c r="I55">
        <v>5</v>
      </c>
      <c r="J55">
        <v>5</v>
      </c>
      <c r="K55">
        <v>0</v>
      </c>
      <c r="L55">
        <v>5</v>
      </c>
      <c r="M55">
        <v>1</v>
      </c>
      <c r="N55" s="4">
        <v>0.2</v>
      </c>
      <c r="O55">
        <v>4</v>
      </c>
      <c r="P55">
        <v>1</v>
      </c>
      <c r="Q55">
        <v>3</v>
      </c>
      <c r="R55">
        <v>4</v>
      </c>
      <c r="S55">
        <v>0</v>
      </c>
      <c r="T55" s="4">
        <v>0</v>
      </c>
      <c r="U55">
        <v>13</v>
      </c>
      <c r="V55">
        <v>10</v>
      </c>
      <c r="W55">
        <v>3</v>
      </c>
      <c r="X55">
        <v>13</v>
      </c>
      <c r="Y55">
        <v>2</v>
      </c>
      <c r="Z55" s="4">
        <v>0.15384619999999999</v>
      </c>
      <c r="AA55">
        <v>11</v>
      </c>
      <c r="AB55">
        <v>4</v>
      </c>
      <c r="AC55">
        <v>7</v>
      </c>
      <c r="AD55">
        <v>11</v>
      </c>
      <c r="AE55">
        <v>5</v>
      </c>
      <c r="AF55" s="4">
        <v>0.45454549999999999</v>
      </c>
      <c r="AG55">
        <v>13</v>
      </c>
      <c r="AH55">
        <v>7</v>
      </c>
      <c r="AI55">
        <v>6</v>
      </c>
      <c r="AJ55">
        <v>13</v>
      </c>
      <c r="AK55">
        <v>2</v>
      </c>
      <c r="AL55" s="4">
        <v>0.15384619999999999</v>
      </c>
      <c r="AM55">
        <v>8</v>
      </c>
      <c r="AN55">
        <v>2</v>
      </c>
      <c r="AO55">
        <v>6</v>
      </c>
      <c r="AP55">
        <v>8</v>
      </c>
      <c r="AQ55">
        <v>2</v>
      </c>
      <c r="AR55" s="4">
        <v>0.25</v>
      </c>
      <c r="AS55">
        <v>2</v>
      </c>
      <c r="AT55">
        <v>1</v>
      </c>
      <c r="AU55">
        <v>1</v>
      </c>
      <c r="AV55">
        <v>2</v>
      </c>
      <c r="AW55">
        <v>1</v>
      </c>
      <c r="AX55" s="4">
        <v>0.5</v>
      </c>
      <c r="AY55">
        <v>10</v>
      </c>
      <c r="AZ55">
        <v>6</v>
      </c>
      <c r="BA55">
        <v>4</v>
      </c>
      <c r="BB55">
        <v>10</v>
      </c>
      <c r="BC55">
        <v>1</v>
      </c>
      <c r="BD55" s="4">
        <v>0.1</v>
      </c>
      <c r="BE55">
        <v>9</v>
      </c>
      <c r="BF55">
        <v>7</v>
      </c>
      <c r="BG55">
        <v>2</v>
      </c>
      <c r="BH55">
        <v>8</v>
      </c>
      <c r="BI55">
        <v>2</v>
      </c>
      <c r="BJ55" s="4">
        <v>0.25</v>
      </c>
      <c r="BK55">
        <v>3</v>
      </c>
      <c r="BL55">
        <v>1</v>
      </c>
      <c r="BM55">
        <v>2</v>
      </c>
      <c r="BN55">
        <v>3</v>
      </c>
      <c r="BO55">
        <v>2</v>
      </c>
      <c r="BP55" s="4">
        <v>0.66666669999999995</v>
      </c>
      <c r="BQ55">
        <v>6</v>
      </c>
      <c r="BR55">
        <v>2</v>
      </c>
      <c r="BS55">
        <v>4</v>
      </c>
      <c r="BT55">
        <v>6</v>
      </c>
      <c r="BU55">
        <v>3</v>
      </c>
      <c r="BV55" s="4">
        <v>0.5</v>
      </c>
      <c r="BW55" t="s">
        <v>526</v>
      </c>
      <c r="BX55" t="s">
        <v>514</v>
      </c>
      <c r="BY55" t="str">
        <f t="shared" si="0"/>
        <v>Proportion of Patients Receiving Surgery Within 8 Weeks of Assessment England</v>
      </c>
      <c r="BZ55" s="4">
        <v>0.35568645219755324</v>
      </c>
      <c r="CA55" s="4">
        <v>0.31385281385281383</v>
      </c>
      <c r="CB55" s="4">
        <v>0.32277397260273971</v>
      </c>
    </row>
    <row r="56" spans="1:80" x14ac:dyDescent="0.25">
      <c r="A56" s="2" t="s">
        <v>43</v>
      </c>
      <c r="B56" s="13" t="s">
        <v>42</v>
      </c>
      <c r="C56">
        <v>21</v>
      </c>
      <c r="D56">
        <v>10</v>
      </c>
      <c r="E56">
        <v>11</v>
      </c>
      <c r="F56">
        <v>21</v>
      </c>
      <c r="G56">
        <v>5</v>
      </c>
      <c r="H56" s="4">
        <v>0.23809520000000001</v>
      </c>
      <c r="I56">
        <v>16</v>
      </c>
      <c r="J56">
        <v>9</v>
      </c>
      <c r="K56">
        <v>7</v>
      </c>
      <c r="L56">
        <v>16</v>
      </c>
      <c r="M56">
        <v>7</v>
      </c>
      <c r="N56" s="4">
        <v>0.4375</v>
      </c>
      <c r="O56">
        <v>5</v>
      </c>
      <c r="P56">
        <v>2</v>
      </c>
      <c r="Q56">
        <v>3</v>
      </c>
      <c r="R56">
        <v>5</v>
      </c>
      <c r="S56">
        <v>2</v>
      </c>
      <c r="T56" s="4">
        <v>0.4</v>
      </c>
      <c r="U56">
        <v>33</v>
      </c>
      <c r="V56">
        <v>19</v>
      </c>
      <c r="W56">
        <v>14</v>
      </c>
      <c r="X56">
        <v>30</v>
      </c>
      <c r="Y56">
        <v>3</v>
      </c>
      <c r="Z56" s="4">
        <v>0.1</v>
      </c>
      <c r="AA56">
        <v>37</v>
      </c>
      <c r="AB56">
        <v>18</v>
      </c>
      <c r="AC56">
        <v>19</v>
      </c>
      <c r="AD56">
        <v>37</v>
      </c>
      <c r="AE56">
        <v>6</v>
      </c>
      <c r="AF56" s="4">
        <v>0.16216220000000001</v>
      </c>
      <c r="AG56">
        <v>35</v>
      </c>
      <c r="AH56">
        <v>10</v>
      </c>
      <c r="AI56">
        <v>25</v>
      </c>
      <c r="AJ56">
        <v>34</v>
      </c>
      <c r="AK56">
        <v>8</v>
      </c>
      <c r="AL56" s="4">
        <v>0.23529410000000001</v>
      </c>
      <c r="AM56">
        <v>37</v>
      </c>
      <c r="AN56">
        <v>15</v>
      </c>
      <c r="AO56">
        <v>22</v>
      </c>
      <c r="AP56">
        <v>36</v>
      </c>
      <c r="AQ56">
        <v>7</v>
      </c>
      <c r="AR56" s="4">
        <v>0.19444439999999999</v>
      </c>
      <c r="AS56">
        <v>20</v>
      </c>
      <c r="AT56">
        <v>10</v>
      </c>
      <c r="AU56">
        <v>10</v>
      </c>
      <c r="AV56">
        <v>20</v>
      </c>
      <c r="AW56">
        <v>5</v>
      </c>
      <c r="AX56" s="4">
        <v>0.25</v>
      </c>
      <c r="AY56">
        <v>24</v>
      </c>
      <c r="AZ56">
        <v>12</v>
      </c>
      <c r="BA56">
        <v>12</v>
      </c>
      <c r="BB56">
        <v>24</v>
      </c>
      <c r="BC56">
        <v>12</v>
      </c>
      <c r="BD56" s="4">
        <v>0.5</v>
      </c>
      <c r="BE56">
        <v>18</v>
      </c>
      <c r="BF56">
        <v>9</v>
      </c>
      <c r="BG56">
        <v>9</v>
      </c>
      <c r="BH56">
        <v>18</v>
      </c>
      <c r="BI56">
        <v>5</v>
      </c>
      <c r="BJ56" s="4">
        <v>0.27777780000000002</v>
      </c>
      <c r="BK56">
        <v>20</v>
      </c>
      <c r="BL56">
        <v>8</v>
      </c>
      <c r="BM56">
        <v>12</v>
      </c>
      <c r="BN56">
        <v>20</v>
      </c>
      <c r="BO56">
        <v>5</v>
      </c>
      <c r="BP56" s="4">
        <v>0.25</v>
      </c>
      <c r="BQ56">
        <v>18</v>
      </c>
      <c r="BR56">
        <v>5</v>
      </c>
      <c r="BS56">
        <v>13</v>
      </c>
      <c r="BT56">
        <v>18</v>
      </c>
      <c r="BU56">
        <v>4</v>
      </c>
      <c r="BV56" s="4">
        <v>0.22222220000000001</v>
      </c>
      <c r="BW56" t="s">
        <v>526</v>
      </c>
      <c r="BX56" t="s">
        <v>514</v>
      </c>
      <c r="BY56" t="str">
        <f t="shared" si="0"/>
        <v>Proportion of Patients Receiving Surgery Within 8 Weeks of Assessment England</v>
      </c>
      <c r="BZ56" s="4">
        <v>0.35568645219755324</v>
      </c>
      <c r="CA56" s="4">
        <v>0.31385281385281383</v>
      </c>
      <c r="CB56" s="4">
        <v>0.32277397260273971</v>
      </c>
    </row>
    <row r="57" spans="1:80" x14ac:dyDescent="0.25">
      <c r="A57" s="2" t="s">
        <v>33</v>
      </c>
      <c r="B57" s="13" t="s">
        <v>32</v>
      </c>
      <c r="C57">
        <v>24</v>
      </c>
      <c r="D57">
        <v>10</v>
      </c>
      <c r="E57">
        <v>14</v>
      </c>
      <c r="F57">
        <v>17</v>
      </c>
      <c r="G57">
        <v>7</v>
      </c>
      <c r="H57" s="4">
        <v>0.41176469999999998</v>
      </c>
      <c r="I57">
        <v>24</v>
      </c>
      <c r="J57">
        <v>9</v>
      </c>
      <c r="K57">
        <v>15</v>
      </c>
      <c r="L57">
        <v>20</v>
      </c>
      <c r="M57">
        <v>6</v>
      </c>
      <c r="N57" s="4">
        <v>0.3</v>
      </c>
      <c r="O57">
        <v>22</v>
      </c>
      <c r="P57">
        <v>6</v>
      </c>
      <c r="Q57">
        <v>16</v>
      </c>
      <c r="R57">
        <v>16</v>
      </c>
      <c r="S57">
        <v>2</v>
      </c>
      <c r="T57" s="4">
        <v>0.125</v>
      </c>
      <c r="U57">
        <v>14</v>
      </c>
      <c r="V57">
        <v>5</v>
      </c>
      <c r="W57">
        <v>9</v>
      </c>
      <c r="X57">
        <v>11</v>
      </c>
      <c r="Y57">
        <v>5</v>
      </c>
      <c r="Z57" s="4">
        <v>0.45454549999999999</v>
      </c>
      <c r="AA57">
        <v>20</v>
      </c>
      <c r="AB57">
        <v>6</v>
      </c>
      <c r="AC57">
        <v>14</v>
      </c>
      <c r="AD57">
        <v>18</v>
      </c>
      <c r="AE57">
        <v>10</v>
      </c>
      <c r="AF57" s="4">
        <v>0.55555560000000004</v>
      </c>
      <c r="AG57">
        <v>16</v>
      </c>
      <c r="AH57">
        <v>6</v>
      </c>
      <c r="AI57">
        <v>10</v>
      </c>
      <c r="AJ57">
        <v>15</v>
      </c>
      <c r="AK57">
        <v>7</v>
      </c>
      <c r="AL57" s="4">
        <v>0.46666669999999999</v>
      </c>
      <c r="AM57">
        <v>18</v>
      </c>
      <c r="AN57">
        <v>9</v>
      </c>
      <c r="AO57">
        <v>9</v>
      </c>
      <c r="AP57">
        <v>15</v>
      </c>
      <c r="AQ57">
        <v>4</v>
      </c>
      <c r="AR57" s="4">
        <v>0.26666669999999998</v>
      </c>
      <c r="AS57">
        <v>23</v>
      </c>
      <c r="AT57">
        <v>8</v>
      </c>
      <c r="AU57">
        <v>15</v>
      </c>
      <c r="AV57">
        <v>19</v>
      </c>
      <c r="AW57">
        <v>6</v>
      </c>
      <c r="AX57" s="4">
        <v>0.3157895</v>
      </c>
      <c r="AY57">
        <v>25</v>
      </c>
      <c r="AZ57">
        <v>8</v>
      </c>
      <c r="BA57">
        <v>17</v>
      </c>
      <c r="BB57">
        <v>22</v>
      </c>
      <c r="BC57">
        <v>12</v>
      </c>
      <c r="BD57" s="4">
        <v>0.54545460000000001</v>
      </c>
      <c r="BE57">
        <v>11</v>
      </c>
      <c r="BF57">
        <v>5</v>
      </c>
      <c r="BG57">
        <v>6</v>
      </c>
      <c r="BH57">
        <v>9</v>
      </c>
      <c r="BI57">
        <v>7</v>
      </c>
      <c r="BJ57" s="4">
        <v>0.77777779999999996</v>
      </c>
      <c r="BK57">
        <v>23</v>
      </c>
      <c r="BL57">
        <v>11</v>
      </c>
      <c r="BM57">
        <v>12</v>
      </c>
      <c r="BN57">
        <v>19</v>
      </c>
      <c r="BO57">
        <v>5</v>
      </c>
      <c r="BP57" s="4">
        <v>0.2631579</v>
      </c>
      <c r="BQ57">
        <v>27</v>
      </c>
      <c r="BR57">
        <v>9</v>
      </c>
      <c r="BS57">
        <v>18</v>
      </c>
      <c r="BT57">
        <v>24</v>
      </c>
      <c r="BU57">
        <v>5</v>
      </c>
      <c r="BV57" s="4">
        <v>0.2083333</v>
      </c>
      <c r="BW57" t="s">
        <v>526</v>
      </c>
      <c r="BX57" t="s">
        <v>514</v>
      </c>
      <c r="BY57" t="str">
        <f t="shared" si="0"/>
        <v>Proportion of Patients Receiving Surgery Within 8 Weeks of Assessment England</v>
      </c>
      <c r="BZ57" s="4">
        <v>0.35568645219755324</v>
      </c>
      <c r="CA57" s="4">
        <v>0.31385281385281383</v>
      </c>
      <c r="CB57" s="4">
        <v>0.32277397260273971</v>
      </c>
    </row>
    <row r="58" spans="1:80" x14ac:dyDescent="0.25">
      <c r="A58" s="2" t="s">
        <v>148</v>
      </c>
      <c r="B58" s="13" t="s">
        <v>147</v>
      </c>
      <c r="C58">
        <v>20</v>
      </c>
      <c r="D58">
        <v>3</v>
      </c>
      <c r="E58">
        <v>17</v>
      </c>
      <c r="F58">
        <v>19</v>
      </c>
      <c r="G58">
        <v>2</v>
      </c>
      <c r="H58" s="4">
        <v>0.1052632</v>
      </c>
      <c r="I58">
        <v>21</v>
      </c>
      <c r="J58">
        <v>5</v>
      </c>
      <c r="K58">
        <v>16</v>
      </c>
      <c r="L58">
        <v>21</v>
      </c>
      <c r="M58">
        <v>7</v>
      </c>
      <c r="N58" s="4">
        <v>0.3333333</v>
      </c>
      <c r="O58">
        <v>3</v>
      </c>
      <c r="P58">
        <v>0</v>
      </c>
      <c r="Q58">
        <v>3</v>
      </c>
      <c r="R58">
        <v>3</v>
      </c>
      <c r="S58">
        <v>0</v>
      </c>
      <c r="T58" s="4">
        <v>0</v>
      </c>
      <c r="U58">
        <v>33</v>
      </c>
      <c r="V58">
        <v>10</v>
      </c>
      <c r="W58">
        <v>23</v>
      </c>
      <c r="X58">
        <v>32</v>
      </c>
      <c r="Y58">
        <v>5</v>
      </c>
      <c r="Z58" s="4">
        <v>0.15625</v>
      </c>
      <c r="AA58">
        <v>18</v>
      </c>
      <c r="AB58">
        <v>3</v>
      </c>
      <c r="AC58">
        <v>15</v>
      </c>
      <c r="AD58">
        <v>18</v>
      </c>
      <c r="AE58">
        <v>1</v>
      </c>
      <c r="AF58" s="4">
        <v>5.5555599999999997E-2</v>
      </c>
      <c r="AG58">
        <v>18</v>
      </c>
      <c r="AH58">
        <v>4</v>
      </c>
      <c r="AI58">
        <v>14</v>
      </c>
      <c r="AJ58">
        <v>17</v>
      </c>
      <c r="AK58">
        <v>6</v>
      </c>
      <c r="AL58" s="4">
        <v>0.35294120000000001</v>
      </c>
      <c r="AM58">
        <v>23</v>
      </c>
      <c r="AN58">
        <v>6</v>
      </c>
      <c r="AO58">
        <v>17</v>
      </c>
      <c r="AP58">
        <v>23</v>
      </c>
      <c r="AQ58">
        <v>3</v>
      </c>
      <c r="AR58" s="4">
        <v>0.13043479999999999</v>
      </c>
      <c r="AS58">
        <v>20</v>
      </c>
      <c r="AT58">
        <v>5</v>
      </c>
      <c r="AU58">
        <v>15</v>
      </c>
      <c r="AV58">
        <v>20</v>
      </c>
      <c r="AW58">
        <v>1</v>
      </c>
      <c r="AX58" s="4">
        <v>0.05</v>
      </c>
      <c r="AY58">
        <v>19</v>
      </c>
      <c r="AZ58">
        <v>4</v>
      </c>
      <c r="BA58">
        <v>15</v>
      </c>
      <c r="BB58">
        <v>19</v>
      </c>
      <c r="BC58">
        <v>1</v>
      </c>
      <c r="BD58" s="4">
        <v>5.2631600000000001E-2</v>
      </c>
      <c r="BE58">
        <v>15</v>
      </c>
      <c r="BF58">
        <v>4</v>
      </c>
      <c r="BG58">
        <v>11</v>
      </c>
      <c r="BH58">
        <v>15</v>
      </c>
      <c r="BI58">
        <v>2</v>
      </c>
      <c r="BJ58" s="4">
        <v>0.13333329999999999</v>
      </c>
      <c r="BK58">
        <v>13</v>
      </c>
      <c r="BL58">
        <v>3</v>
      </c>
      <c r="BM58">
        <v>10</v>
      </c>
      <c r="BN58">
        <v>13</v>
      </c>
      <c r="BO58">
        <v>0</v>
      </c>
      <c r="BP58" s="4">
        <v>0</v>
      </c>
      <c r="BQ58">
        <v>16</v>
      </c>
      <c r="BR58">
        <v>2</v>
      </c>
      <c r="BS58">
        <v>14</v>
      </c>
      <c r="BT58">
        <v>16</v>
      </c>
      <c r="BU58">
        <v>1</v>
      </c>
      <c r="BV58" s="4">
        <v>6.25E-2</v>
      </c>
      <c r="BW58" t="s">
        <v>526</v>
      </c>
      <c r="BX58" t="s">
        <v>514</v>
      </c>
      <c r="BY58" t="str">
        <f t="shared" si="0"/>
        <v>Proportion of Patients Receiving Surgery Within 8 Weeks of Assessment England</v>
      </c>
      <c r="BZ58" s="4">
        <v>0.35568645219755324</v>
      </c>
      <c r="CA58" s="4">
        <v>0.31385281385281383</v>
      </c>
      <c r="CB58" s="4">
        <v>0.32277397260273971</v>
      </c>
    </row>
    <row r="59" spans="1:80" x14ac:dyDescent="0.25">
      <c r="A59" s="2" t="s">
        <v>65</v>
      </c>
      <c r="B59" s="13" t="s">
        <v>64</v>
      </c>
      <c r="C59">
        <v>10</v>
      </c>
      <c r="D59">
        <v>2</v>
      </c>
      <c r="E59">
        <v>8</v>
      </c>
      <c r="F59">
        <v>9</v>
      </c>
      <c r="G59">
        <v>1</v>
      </c>
      <c r="H59" s="4">
        <v>0.1111111</v>
      </c>
      <c r="I59">
        <v>6</v>
      </c>
      <c r="J59">
        <v>3</v>
      </c>
      <c r="K59">
        <v>3</v>
      </c>
      <c r="L59">
        <v>6</v>
      </c>
      <c r="M59">
        <v>0</v>
      </c>
      <c r="N59" s="4">
        <v>0</v>
      </c>
      <c r="O59">
        <v>4</v>
      </c>
      <c r="P59">
        <v>0</v>
      </c>
      <c r="Q59">
        <v>4</v>
      </c>
      <c r="R59">
        <v>3</v>
      </c>
      <c r="S59">
        <v>1</v>
      </c>
      <c r="T59" s="4">
        <v>0.3333333</v>
      </c>
      <c r="U59">
        <v>13</v>
      </c>
      <c r="V59">
        <v>3</v>
      </c>
      <c r="W59">
        <v>10</v>
      </c>
      <c r="X59">
        <v>11</v>
      </c>
      <c r="Y59">
        <v>2</v>
      </c>
      <c r="Z59" s="4">
        <v>0.18181820000000001</v>
      </c>
      <c r="AA59">
        <v>15</v>
      </c>
      <c r="AB59">
        <v>3</v>
      </c>
      <c r="AC59">
        <v>12</v>
      </c>
      <c r="AD59">
        <v>15</v>
      </c>
      <c r="AE59">
        <v>2</v>
      </c>
      <c r="AF59" s="4">
        <v>0.13333329999999999</v>
      </c>
      <c r="AG59">
        <v>9</v>
      </c>
      <c r="AH59">
        <v>2</v>
      </c>
      <c r="AI59">
        <v>7</v>
      </c>
      <c r="AJ59">
        <v>8</v>
      </c>
      <c r="AK59">
        <v>2</v>
      </c>
      <c r="AL59" s="4">
        <v>0.25</v>
      </c>
      <c r="AM59">
        <v>16</v>
      </c>
      <c r="AN59">
        <v>6</v>
      </c>
      <c r="AO59">
        <v>10</v>
      </c>
      <c r="AP59">
        <v>15</v>
      </c>
      <c r="AQ59">
        <v>2</v>
      </c>
      <c r="AR59" s="4">
        <v>0.13333329999999999</v>
      </c>
      <c r="AS59">
        <v>8</v>
      </c>
      <c r="AT59">
        <v>3</v>
      </c>
      <c r="AU59">
        <v>5</v>
      </c>
      <c r="AV59">
        <v>8</v>
      </c>
      <c r="AW59">
        <v>1</v>
      </c>
      <c r="AX59" s="4">
        <v>0.125</v>
      </c>
      <c r="AY59">
        <v>6</v>
      </c>
      <c r="AZ59">
        <v>4</v>
      </c>
      <c r="BA59">
        <v>2</v>
      </c>
      <c r="BB59">
        <v>6</v>
      </c>
      <c r="BC59">
        <v>0</v>
      </c>
      <c r="BD59" s="4">
        <v>0</v>
      </c>
      <c r="BE59">
        <v>11</v>
      </c>
      <c r="BF59">
        <v>2</v>
      </c>
      <c r="BG59">
        <v>9</v>
      </c>
      <c r="BH59">
        <v>11</v>
      </c>
      <c r="BI59">
        <v>2</v>
      </c>
      <c r="BJ59" s="4">
        <v>0.18181820000000001</v>
      </c>
      <c r="BK59">
        <v>6</v>
      </c>
      <c r="BL59">
        <v>0</v>
      </c>
      <c r="BM59">
        <v>6</v>
      </c>
      <c r="BN59">
        <v>6</v>
      </c>
      <c r="BO59">
        <v>1</v>
      </c>
      <c r="BP59" s="4">
        <v>0.1666667</v>
      </c>
      <c r="BQ59">
        <v>4</v>
      </c>
      <c r="BR59">
        <v>1</v>
      </c>
      <c r="BS59">
        <v>3</v>
      </c>
      <c r="BT59">
        <v>4</v>
      </c>
      <c r="BU59">
        <v>3</v>
      </c>
      <c r="BV59" s="4">
        <v>0.75</v>
      </c>
      <c r="BW59" t="s">
        <v>526</v>
      </c>
      <c r="BX59" t="s">
        <v>514</v>
      </c>
      <c r="BY59" t="str">
        <f t="shared" si="0"/>
        <v>Proportion of Patients Receiving Surgery Within 8 Weeks of Assessment England</v>
      </c>
      <c r="BZ59" s="4">
        <v>0.35568645219755324</v>
      </c>
      <c r="CA59" s="4">
        <v>0.31385281385281383</v>
      </c>
      <c r="CB59" s="4">
        <v>0.32277397260273971</v>
      </c>
    </row>
    <row r="60" spans="1:80" x14ac:dyDescent="0.25">
      <c r="A60" s="2" t="s">
        <v>50</v>
      </c>
      <c r="B60" s="13" t="s">
        <v>49</v>
      </c>
      <c r="C60">
        <v>12</v>
      </c>
      <c r="D60">
        <v>7</v>
      </c>
      <c r="E60">
        <v>5</v>
      </c>
      <c r="F60">
        <v>9</v>
      </c>
      <c r="G60">
        <v>3</v>
      </c>
      <c r="H60" s="4">
        <v>0.3333333</v>
      </c>
      <c r="I60">
        <v>22</v>
      </c>
      <c r="J60">
        <v>7</v>
      </c>
      <c r="K60">
        <v>15</v>
      </c>
      <c r="L60">
        <v>21</v>
      </c>
      <c r="M60">
        <v>1</v>
      </c>
      <c r="N60" s="4">
        <v>4.7619000000000002E-2</v>
      </c>
      <c r="O60">
        <v>10</v>
      </c>
      <c r="P60">
        <v>6</v>
      </c>
      <c r="Q60">
        <v>4</v>
      </c>
      <c r="R60">
        <v>9</v>
      </c>
      <c r="S60">
        <v>2</v>
      </c>
      <c r="T60" s="4">
        <v>0.22222220000000001</v>
      </c>
      <c r="U60">
        <v>15</v>
      </c>
      <c r="V60">
        <v>5</v>
      </c>
      <c r="W60">
        <v>10</v>
      </c>
      <c r="X60">
        <v>13</v>
      </c>
      <c r="Y60">
        <v>5</v>
      </c>
      <c r="Z60" s="4">
        <v>0.3846154</v>
      </c>
      <c r="AA60">
        <v>7</v>
      </c>
      <c r="AB60">
        <v>3</v>
      </c>
      <c r="AC60">
        <v>4</v>
      </c>
      <c r="AD60">
        <v>6</v>
      </c>
      <c r="AE60">
        <v>1</v>
      </c>
      <c r="AF60" s="4">
        <v>0.1666667</v>
      </c>
      <c r="AG60">
        <v>15</v>
      </c>
      <c r="AH60">
        <v>5</v>
      </c>
      <c r="AI60">
        <v>10</v>
      </c>
      <c r="AJ60">
        <v>11</v>
      </c>
      <c r="AK60">
        <v>1</v>
      </c>
      <c r="AL60" s="4">
        <v>9.0909100000000007E-2</v>
      </c>
      <c r="AM60">
        <v>12</v>
      </c>
      <c r="AN60">
        <v>5</v>
      </c>
      <c r="AO60">
        <v>7</v>
      </c>
      <c r="AP60">
        <v>12</v>
      </c>
      <c r="AQ60">
        <v>3</v>
      </c>
      <c r="AR60" s="4">
        <v>0.25</v>
      </c>
      <c r="AS60">
        <v>22</v>
      </c>
      <c r="AT60">
        <v>6</v>
      </c>
      <c r="AU60">
        <v>16</v>
      </c>
      <c r="AV60">
        <v>22</v>
      </c>
      <c r="AW60">
        <v>5</v>
      </c>
      <c r="AX60" s="4">
        <v>0.22727269999999999</v>
      </c>
      <c r="AY60">
        <v>12</v>
      </c>
      <c r="AZ60">
        <v>7</v>
      </c>
      <c r="BA60">
        <v>5</v>
      </c>
      <c r="BB60">
        <v>12</v>
      </c>
      <c r="BC60">
        <v>0</v>
      </c>
      <c r="BD60" s="4">
        <v>0</v>
      </c>
      <c r="BE60">
        <v>14</v>
      </c>
      <c r="BF60">
        <v>4</v>
      </c>
      <c r="BG60">
        <v>10</v>
      </c>
      <c r="BH60">
        <v>14</v>
      </c>
      <c r="BI60">
        <v>3</v>
      </c>
      <c r="BJ60" s="4">
        <v>0.2142857</v>
      </c>
      <c r="BK60">
        <v>13</v>
      </c>
      <c r="BL60">
        <v>8</v>
      </c>
      <c r="BM60">
        <v>5</v>
      </c>
      <c r="BN60">
        <v>12</v>
      </c>
      <c r="BO60">
        <v>3</v>
      </c>
      <c r="BP60" s="4">
        <v>0.25</v>
      </c>
      <c r="BQ60">
        <v>11</v>
      </c>
      <c r="BR60">
        <v>3</v>
      </c>
      <c r="BS60">
        <v>8</v>
      </c>
      <c r="BT60">
        <v>10</v>
      </c>
      <c r="BU60">
        <v>0</v>
      </c>
      <c r="BV60" s="4">
        <v>0</v>
      </c>
      <c r="BW60" t="s">
        <v>526</v>
      </c>
      <c r="BX60" t="s">
        <v>514</v>
      </c>
      <c r="BY60" t="str">
        <f t="shared" si="0"/>
        <v>Proportion of Patients Receiving Surgery Within 8 Weeks of Assessment England</v>
      </c>
      <c r="BZ60" s="4">
        <v>0.35568645219755324</v>
      </c>
      <c r="CA60" s="4">
        <v>0.31385281385281383</v>
      </c>
      <c r="CB60" s="4">
        <v>0.32277397260273971</v>
      </c>
    </row>
    <row r="61" spans="1:80" x14ac:dyDescent="0.25">
      <c r="A61" s="2" t="s">
        <v>140</v>
      </c>
      <c r="B61" s="13" t="s">
        <v>139</v>
      </c>
      <c r="C61">
        <v>24</v>
      </c>
      <c r="D61">
        <v>9</v>
      </c>
      <c r="E61">
        <v>15</v>
      </c>
      <c r="F61">
        <v>24</v>
      </c>
      <c r="G61">
        <v>11</v>
      </c>
      <c r="H61" s="4">
        <v>0.4583333</v>
      </c>
      <c r="I61">
        <v>16</v>
      </c>
      <c r="J61">
        <v>9</v>
      </c>
      <c r="K61">
        <v>7</v>
      </c>
      <c r="L61">
        <v>15</v>
      </c>
      <c r="M61">
        <v>7</v>
      </c>
      <c r="N61" s="4">
        <v>0.46666669999999999</v>
      </c>
      <c r="O61">
        <v>8</v>
      </c>
      <c r="P61">
        <v>2</v>
      </c>
      <c r="Q61">
        <v>6</v>
      </c>
      <c r="R61">
        <v>8</v>
      </c>
      <c r="S61">
        <v>4</v>
      </c>
      <c r="T61" s="4">
        <v>0.5</v>
      </c>
      <c r="U61">
        <v>21</v>
      </c>
      <c r="V61">
        <v>9</v>
      </c>
      <c r="W61">
        <v>12</v>
      </c>
      <c r="X61">
        <v>21</v>
      </c>
      <c r="Y61">
        <v>8</v>
      </c>
      <c r="Z61" s="4">
        <v>0.38095240000000002</v>
      </c>
      <c r="AA61">
        <v>19</v>
      </c>
      <c r="AB61">
        <v>9</v>
      </c>
      <c r="AC61">
        <v>10</v>
      </c>
      <c r="AD61">
        <v>18</v>
      </c>
      <c r="AE61">
        <v>6</v>
      </c>
      <c r="AF61" s="4">
        <v>0.3333333</v>
      </c>
      <c r="AG61">
        <v>17</v>
      </c>
      <c r="AH61">
        <v>8</v>
      </c>
      <c r="AI61">
        <v>9</v>
      </c>
      <c r="AJ61">
        <v>17</v>
      </c>
      <c r="AK61">
        <v>4</v>
      </c>
      <c r="AL61" s="4">
        <v>0.23529410000000001</v>
      </c>
      <c r="AM61">
        <v>20</v>
      </c>
      <c r="AN61">
        <v>9</v>
      </c>
      <c r="AO61">
        <v>11</v>
      </c>
      <c r="AP61">
        <v>20</v>
      </c>
      <c r="AQ61">
        <v>7</v>
      </c>
      <c r="AR61" s="4">
        <v>0.35</v>
      </c>
      <c r="AS61">
        <v>10</v>
      </c>
      <c r="AT61">
        <v>8</v>
      </c>
      <c r="AU61">
        <v>2</v>
      </c>
      <c r="AV61">
        <v>10</v>
      </c>
      <c r="AW61">
        <v>5</v>
      </c>
      <c r="AX61" s="4">
        <v>0.5</v>
      </c>
      <c r="AY61">
        <v>12</v>
      </c>
      <c r="AZ61">
        <v>7</v>
      </c>
      <c r="BA61">
        <v>5</v>
      </c>
      <c r="BB61">
        <v>12</v>
      </c>
      <c r="BC61">
        <v>4</v>
      </c>
      <c r="BD61" s="4">
        <v>0.3333333</v>
      </c>
      <c r="BE61">
        <v>5</v>
      </c>
      <c r="BF61">
        <v>1</v>
      </c>
      <c r="BG61">
        <v>4</v>
      </c>
      <c r="BH61">
        <v>5</v>
      </c>
      <c r="BI61">
        <v>0</v>
      </c>
      <c r="BJ61" s="4">
        <v>0</v>
      </c>
      <c r="BK61">
        <v>13</v>
      </c>
      <c r="BL61">
        <v>9</v>
      </c>
      <c r="BM61">
        <v>4</v>
      </c>
      <c r="BN61">
        <v>13</v>
      </c>
      <c r="BO61">
        <v>5</v>
      </c>
      <c r="BP61" s="4">
        <v>0.3846154</v>
      </c>
      <c r="BQ61">
        <v>8</v>
      </c>
      <c r="BR61">
        <v>3</v>
      </c>
      <c r="BS61">
        <v>5</v>
      </c>
      <c r="BT61">
        <v>8</v>
      </c>
      <c r="BU61">
        <v>3</v>
      </c>
      <c r="BV61" s="4">
        <v>0.375</v>
      </c>
      <c r="BW61" t="s">
        <v>526</v>
      </c>
      <c r="BX61" t="s">
        <v>514</v>
      </c>
      <c r="BY61" t="str">
        <f t="shared" si="0"/>
        <v>Proportion of Patients Receiving Surgery Within 8 Weeks of Assessment England</v>
      </c>
      <c r="BZ61" s="4">
        <v>0.35568645219755324</v>
      </c>
      <c r="CA61" s="4">
        <v>0.31385281385281383</v>
      </c>
      <c r="CB61" s="4">
        <v>0.32277397260273971</v>
      </c>
    </row>
    <row r="62" spans="1:80" x14ac:dyDescent="0.25">
      <c r="A62" s="2" t="s">
        <v>123</v>
      </c>
      <c r="B62" s="13" t="s">
        <v>74</v>
      </c>
      <c r="C62">
        <v>7</v>
      </c>
      <c r="D62">
        <v>3</v>
      </c>
      <c r="E62">
        <v>4</v>
      </c>
      <c r="F62">
        <v>7</v>
      </c>
      <c r="G62">
        <v>4</v>
      </c>
      <c r="H62" s="4">
        <v>0.57142859999999995</v>
      </c>
      <c r="I62">
        <v>9</v>
      </c>
      <c r="J62">
        <v>2</v>
      </c>
      <c r="K62">
        <v>7</v>
      </c>
      <c r="L62">
        <v>9</v>
      </c>
      <c r="M62">
        <v>6</v>
      </c>
      <c r="N62" s="4">
        <v>0.66666669999999995</v>
      </c>
      <c r="O62">
        <v>7</v>
      </c>
      <c r="P62">
        <v>0</v>
      </c>
      <c r="Q62">
        <v>7</v>
      </c>
      <c r="R62">
        <v>7</v>
      </c>
      <c r="S62">
        <v>2</v>
      </c>
      <c r="T62" s="4">
        <v>0.28571429999999998</v>
      </c>
      <c r="U62">
        <v>18</v>
      </c>
      <c r="V62">
        <v>7</v>
      </c>
      <c r="W62">
        <v>11</v>
      </c>
      <c r="X62">
        <v>17</v>
      </c>
      <c r="Y62">
        <v>4</v>
      </c>
      <c r="Z62" s="4">
        <v>0.23529410000000001</v>
      </c>
      <c r="AA62">
        <v>12</v>
      </c>
      <c r="AB62">
        <v>0</v>
      </c>
      <c r="AC62">
        <v>12</v>
      </c>
      <c r="AD62">
        <v>12</v>
      </c>
      <c r="AE62">
        <v>4</v>
      </c>
      <c r="AF62" s="4">
        <v>0.3333333</v>
      </c>
      <c r="AG62">
        <v>19</v>
      </c>
      <c r="AH62">
        <v>6</v>
      </c>
      <c r="AI62">
        <v>13</v>
      </c>
      <c r="AJ62">
        <v>19</v>
      </c>
      <c r="AK62">
        <v>7</v>
      </c>
      <c r="AL62" s="4">
        <v>0.368421</v>
      </c>
      <c r="AM62">
        <v>5</v>
      </c>
      <c r="AN62">
        <v>1</v>
      </c>
      <c r="AO62">
        <v>4</v>
      </c>
      <c r="AP62">
        <v>5</v>
      </c>
      <c r="AQ62">
        <v>4</v>
      </c>
      <c r="AR62" s="4">
        <v>0.8</v>
      </c>
      <c r="AS62">
        <v>14</v>
      </c>
      <c r="AT62">
        <v>8</v>
      </c>
      <c r="AU62">
        <v>6</v>
      </c>
      <c r="AV62">
        <v>14</v>
      </c>
      <c r="AW62">
        <v>8</v>
      </c>
      <c r="AX62" s="4">
        <v>0.57142859999999995</v>
      </c>
      <c r="AY62">
        <v>19</v>
      </c>
      <c r="AZ62">
        <v>8</v>
      </c>
      <c r="BA62">
        <v>11</v>
      </c>
      <c r="BB62">
        <v>19</v>
      </c>
      <c r="BC62">
        <v>6</v>
      </c>
      <c r="BD62" s="4">
        <v>0.3157895</v>
      </c>
      <c r="BE62">
        <v>13</v>
      </c>
      <c r="BF62">
        <v>3</v>
      </c>
      <c r="BG62">
        <v>10</v>
      </c>
      <c r="BH62">
        <v>13</v>
      </c>
      <c r="BI62">
        <v>4</v>
      </c>
      <c r="BJ62" s="4">
        <v>0.30769229999999997</v>
      </c>
      <c r="BK62">
        <v>9</v>
      </c>
      <c r="BL62">
        <v>3</v>
      </c>
      <c r="BM62">
        <v>6</v>
      </c>
      <c r="BN62">
        <v>9</v>
      </c>
      <c r="BO62">
        <v>2</v>
      </c>
      <c r="BP62" s="4">
        <v>0.22222220000000001</v>
      </c>
      <c r="BQ62">
        <v>16</v>
      </c>
      <c r="BR62">
        <v>2</v>
      </c>
      <c r="BS62">
        <v>14</v>
      </c>
      <c r="BT62">
        <v>16</v>
      </c>
      <c r="BU62">
        <v>1</v>
      </c>
      <c r="BV62" s="4">
        <v>6.25E-2</v>
      </c>
      <c r="BW62" t="s">
        <v>526</v>
      </c>
      <c r="BX62" t="s">
        <v>514</v>
      </c>
      <c r="BY62" t="str">
        <f t="shared" si="0"/>
        <v>Proportion of Patients Receiving Surgery Within 8 Weeks of Assessment England</v>
      </c>
      <c r="BZ62" s="4">
        <v>0.35568645219755324</v>
      </c>
      <c r="CA62" s="4">
        <v>0.31385281385281383</v>
      </c>
      <c r="CB62" s="4">
        <v>0.32277397260273971</v>
      </c>
    </row>
    <row r="63" spans="1:80" x14ac:dyDescent="0.25">
      <c r="A63" s="2" t="s">
        <v>86</v>
      </c>
      <c r="B63" s="13" t="s">
        <v>85</v>
      </c>
      <c r="C63">
        <v>9</v>
      </c>
      <c r="D63">
        <v>5</v>
      </c>
      <c r="E63">
        <v>4</v>
      </c>
      <c r="F63">
        <v>6</v>
      </c>
      <c r="G63">
        <v>1</v>
      </c>
      <c r="H63" s="4">
        <v>0.1666667</v>
      </c>
      <c r="I63">
        <v>20</v>
      </c>
      <c r="J63">
        <v>6</v>
      </c>
      <c r="K63">
        <v>14</v>
      </c>
      <c r="L63">
        <v>14</v>
      </c>
      <c r="M63">
        <v>2</v>
      </c>
      <c r="N63" s="4">
        <v>0.14285709999999999</v>
      </c>
      <c r="O63">
        <v>7</v>
      </c>
      <c r="P63">
        <v>0</v>
      </c>
      <c r="Q63">
        <v>7</v>
      </c>
      <c r="R63">
        <v>5</v>
      </c>
      <c r="S63">
        <v>0</v>
      </c>
      <c r="T63" s="4">
        <v>0</v>
      </c>
      <c r="U63">
        <v>16</v>
      </c>
      <c r="V63">
        <v>2</v>
      </c>
      <c r="W63">
        <v>14</v>
      </c>
      <c r="X63">
        <v>13</v>
      </c>
      <c r="Y63">
        <v>5</v>
      </c>
      <c r="Z63" s="4">
        <v>0.3846154</v>
      </c>
      <c r="AA63">
        <v>16</v>
      </c>
      <c r="AB63">
        <v>5</v>
      </c>
      <c r="AC63">
        <v>11</v>
      </c>
      <c r="AD63">
        <v>9</v>
      </c>
      <c r="AE63">
        <v>0</v>
      </c>
      <c r="AF63" s="4">
        <v>0</v>
      </c>
      <c r="AG63">
        <v>12</v>
      </c>
      <c r="AH63">
        <v>5</v>
      </c>
      <c r="AI63">
        <v>7</v>
      </c>
      <c r="AJ63">
        <v>9</v>
      </c>
      <c r="AK63">
        <v>2</v>
      </c>
      <c r="AL63" s="4">
        <v>0.22222220000000001</v>
      </c>
      <c r="AM63">
        <v>15</v>
      </c>
      <c r="AN63">
        <v>6</v>
      </c>
      <c r="AO63">
        <v>9</v>
      </c>
      <c r="AP63">
        <v>15</v>
      </c>
      <c r="AQ63">
        <v>0</v>
      </c>
      <c r="AR63" s="4">
        <v>0</v>
      </c>
      <c r="AS63">
        <v>16</v>
      </c>
      <c r="AT63">
        <v>7</v>
      </c>
      <c r="AU63">
        <v>9</v>
      </c>
      <c r="AV63">
        <v>16</v>
      </c>
      <c r="AW63">
        <v>4</v>
      </c>
      <c r="AX63" s="4">
        <v>0.25</v>
      </c>
      <c r="AY63">
        <v>11</v>
      </c>
      <c r="AZ63">
        <v>0</v>
      </c>
      <c r="BA63">
        <v>11</v>
      </c>
      <c r="BB63">
        <v>11</v>
      </c>
      <c r="BC63">
        <v>3</v>
      </c>
      <c r="BD63" s="4">
        <v>0.27272730000000001</v>
      </c>
      <c r="BE63">
        <v>13</v>
      </c>
      <c r="BF63">
        <v>3</v>
      </c>
      <c r="BG63">
        <v>10</v>
      </c>
      <c r="BH63">
        <v>13</v>
      </c>
      <c r="BI63">
        <v>1</v>
      </c>
      <c r="BJ63" s="4">
        <v>7.6923099999999994E-2</v>
      </c>
      <c r="BK63">
        <v>12</v>
      </c>
      <c r="BL63">
        <v>1</v>
      </c>
      <c r="BM63">
        <v>11</v>
      </c>
      <c r="BN63">
        <v>12</v>
      </c>
      <c r="BO63">
        <v>3</v>
      </c>
      <c r="BP63" s="4">
        <v>0.25</v>
      </c>
      <c r="BQ63">
        <v>18</v>
      </c>
      <c r="BR63">
        <v>6</v>
      </c>
      <c r="BS63">
        <v>12</v>
      </c>
      <c r="BT63">
        <v>17</v>
      </c>
      <c r="BU63">
        <v>2</v>
      </c>
      <c r="BV63" s="4">
        <v>0.1176471</v>
      </c>
      <c r="BW63" t="s">
        <v>526</v>
      </c>
      <c r="BX63" t="s">
        <v>514</v>
      </c>
      <c r="BY63" t="str">
        <f t="shared" si="0"/>
        <v>Proportion of Patients Receiving Surgery Within 8 Weeks of Assessment England</v>
      </c>
      <c r="BZ63" s="4">
        <v>0.35568645219755324</v>
      </c>
      <c r="CA63" s="4">
        <v>0.31385281385281383</v>
      </c>
      <c r="CB63" s="4">
        <v>0.32277397260273971</v>
      </c>
    </row>
    <row r="64" spans="1:80" x14ac:dyDescent="0.25">
      <c r="A64" s="2" t="s">
        <v>120</v>
      </c>
      <c r="B64" s="13" t="s">
        <v>48</v>
      </c>
      <c r="C64">
        <v>5</v>
      </c>
      <c r="D64">
        <v>3</v>
      </c>
      <c r="E64">
        <v>2</v>
      </c>
      <c r="F64">
        <v>4</v>
      </c>
      <c r="G64">
        <v>2</v>
      </c>
      <c r="H64" s="4">
        <v>0.5</v>
      </c>
      <c r="I64">
        <v>7</v>
      </c>
      <c r="J64">
        <v>4</v>
      </c>
      <c r="K64">
        <v>3</v>
      </c>
      <c r="L64">
        <v>7</v>
      </c>
      <c r="M64">
        <v>4</v>
      </c>
      <c r="N64" s="4">
        <v>0.57142859999999995</v>
      </c>
      <c r="O64">
        <v>8</v>
      </c>
      <c r="P64">
        <v>4</v>
      </c>
      <c r="Q64">
        <v>4</v>
      </c>
      <c r="R64">
        <v>8</v>
      </c>
      <c r="S64">
        <v>5</v>
      </c>
      <c r="T64" s="4">
        <v>0.625</v>
      </c>
      <c r="U64">
        <v>5</v>
      </c>
      <c r="V64">
        <v>3</v>
      </c>
      <c r="W64">
        <v>2</v>
      </c>
      <c r="X64">
        <v>5</v>
      </c>
      <c r="Y64">
        <v>3</v>
      </c>
      <c r="Z64" s="4">
        <v>0.6</v>
      </c>
      <c r="AA64">
        <v>7</v>
      </c>
      <c r="AB64">
        <v>2</v>
      </c>
      <c r="AC64">
        <v>5</v>
      </c>
      <c r="AD64">
        <v>7</v>
      </c>
      <c r="AE64">
        <v>4</v>
      </c>
      <c r="AF64" s="4">
        <v>0.57142859999999995</v>
      </c>
      <c r="AG64">
        <v>9</v>
      </c>
      <c r="AH64">
        <v>4</v>
      </c>
      <c r="AI64">
        <v>5</v>
      </c>
      <c r="AJ64">
        <v>9</v>
      </c>
      <c r="AK64">
        <v>2</v>
      </c>
      <c r="AL64" s="4">
        <v>0.22222220000000001</v>
      </c>
      <c r="AM64">
        <v>4</v>
      </c>
      <c r="AN64">
        <v>2</v>
      </c>
      <c r="AO64">
        <v>2</v>
      </c>
      <c r="AP64">
        <v>4</v>
      </c>
      <c r="AQ64">
        <v>0</v>
      </c>
      <c r="AR64" s="4">
        <v>0</v>
      </c>
      <c r="AS64">
        <v>11</v>
      </c>
      <c r="AT64">
        <v>6</v>
      </c>
      <c r="AU64">
        <v>5</v>
      </c>
      <c r="AV64">
        <v>8</v>
      </c>
      <c r="AW64">
        <v>5</v>
      </c>
      <c r="AX64" s="4">
        <v>0.625</v>
      </c>
      <c r="AY64">
        <v>6</v>
      </c>
      <c r="AZ64">
        <v>1</v>
      </c>
      <c r="BA64">
        <v>5</v>
      </c>
      <c r="BB64">
        <v>6</v>
      </c>
      <c r="BC64">
        <v>2</v>
      </c>
      <c r="BD64" s="4">
        <v>0.3333333</v>
      </c>
      <c r="BE64">
        <v>6</v>
      </c>
      <c r="BF64">
        <v>1</v>
      </c>
      <c r="BG64">
        <v>5</v>
      </c>
      <c r="BH64">
        <v>6</v>
      </c>
      <c r="BI64">
        <v>3</v>
      </c>
      <c r="BJ64" s="4">
        <v>0.5</v>
      </c>
      <c r="BK64">
        <v>8</v>
      </c>
      <c r="BL64">
        <v>4</v>
      </c>
      <c r="BM64">
        <v>4</v>
      </c>
      <c r="BN64">
        <v>7</v>
      </c>
      <c r="BO64">
        <v>6</v>
      </c>
      <c r="BP64" s="4">
        <v>0.85714290000000004</v>
      </c>
      <c r="BQ64">
        <v>6</v>
      </c>
      <c r="BR64">
        <v>2</v>
      </c>
      <c r="BS64">
        <v>4</v>
      </c>
      <c r="BT64">
        <v>5</v>
      </c>
      <c r="BU64">
        <v>2</v>
      </c>
      <c r="BV64" s="4">
        <v>0.4</v>
      </c>
      <c r="BW64" t="s">
        <v>526</v>
      </c>
      <c r="BX64" t="s">
        <v>514</v>
      </c>
      <c r="BY64" t="str">
        <f t="shared" si="0"/>
        <v>Proportion of Patients Receiving Surgery Within 8 Weeks of Assessment England</v>
      </c>
      <c r="BZ64" s="4">
        <v>0.35568645219755324</v>
      </c>
      <c r="CA64" s="4">
        <v>0.31385281385281383</v>
      </c>
      <c r="CB64" s="4">
        <v>0.32277397260273971</v>
      </c>
    </row>
    <row r="65" spans="1:80" x14ac:dyDescent="0.25">
      <c r="A65" t="s">
        <v>156</v>
      </c>
      <c r="B65" s="13" t="s">
        <v>87</v>
      </c>
      <c r="C65">
        <v>2</v>
      </c>
      <c r="D65">
        <v>0</v>
      </c>
      <c r="E65">
        <v>2</v>
      </c>
      <c r="F65">
        <v>2</v>
      </c>
      <c r="G65">
        <v>1</v>
      </c>
      <c r="H65" s="4">
        <v>0.5</v>
      </c>
      <c r="I65">
        <v>8</v>
      </c>
      <c r="J65">
        <v>3</v>
      </c>
      <c r="K65">
        <v>5</v>
      </c>
      <c r="L65">
        <v>8</v>
      </c>
      <c r="M65">
        <v>4</v>
      </c>
      <c r="N65" s="4">
        <v>0.5</v>
      </c>
      <c r="O65">
        <v>2</v>
      </c>
      <c r="P65">
        <v>0</v>
      </c>
      <c r="Q65">
        <v>2</v>
      </c>
      <c r="R65">
        <v>2</v>
      </c>
      <c r="S65">
        <v>2</v>
      </c>
      <c r="T65" s="4">
        <v>1</v>
      </c>
      <c r="U65">
        <v>6</v>
      </c>
      <c r="V65">
        <v>0</v>
      </c>
      <c r="W65">
        <v>6</v>
      </c>
      <c r="X65">
        <v>6</v>
      </c>
      <c r="Y65">
        <v>1</v>
      </c>
      <c r="Z65" s="4">
        <v>0.1666667</v>
      </c>
      <c r="AA65">
        <v>7</v>
      </c>
      <c r="AB65">
        <v>0</v>
      </c>
      <c r="AC65">
        <v>7</v>
      </c>
      <c r="AD65">
        <v>7</v>
      </c>
      <c r="AE65">
        <v>1</v>
      </c>
      <c r="AF65" s="4">
        <v>0.14285709999999999</v>
      </c>
      <c r="AG65">
        <v>2</v>
      </c>
      <c r="AH65">
        <v>0</v>
      </c>
      <c r="AI65">
        <v>2</v>
      </c>
      <c r="AJ65">
        <v>2</v>
      </c>
      <c r="AK65">
        <v>1</v>
      </c>
      <c r="AL65" s="4">
        <v>0.5</v>
      </c>
      <c r="AM65">
        <v>6</v>
      </c>
      <c r="AN65">
        <v>2</v>
      </c>
      <c r="AO65">
        <v>4</v>
      </c>
      <c r="AP65">
        <v>5</v>
      </c>
      <c r="AQ65">
        <v>1</v>
      </c>
      <c r="AR65" s="4">
        <v>0.2</v>
      </c>
      <c r="AS65">
        <v>5</v>
      </c>
      <c r="AT65">
        <v>1</v>
      </c>
      <c r="AU65">
        <v>4</v>
      </c>
      <c r="AV65">
        <v>5</v>
      </c>
      <c r="AW65">
        <v>2</v>
      </c>
      <c r="AX65" s="4">
        <v>0.4</v>
      </c>
      <c r="AY65">
        <v>15</v>
      </c>
      <c r="AZ65">
        <v>2</v>
      </c>
      <c r="BA65">
        <v>13</v>
      </c>
      <c r="BB65">
        <v>15</v>
      </c>
      <c r="BC65">
        <v>4</v>
      </c>
      <c r="BD65" s="4">
        <v>0.26666669999999998</v>
      </c>
      <c r="BE65">
        <v>7</v>
      </c>
      <c r="BF65">
        <v>2</v>
      </c>
      <c r="BG65">
        <v>5</v>
      </c>
      <c r="BH65">
        <v>7</v>
      </c>
      <c r="BI65">
        <v>3</v>
      </c>
      <c r="BJ65" s="4">
        <v>0.42857139999999999</v>
      </c>
      <c r="BK65">
        <v>3</v>
      </c>
      <c r="BL65">
        <v>1</v>
      </c>
      <c r="BM65">
        <v>2</v>
      </c>
      <c r="BN65">
        <v>3</v>
      </c>
      <c r="BO65">
        <v>0</v>
      </c>
      <c r="BP65" s="4">
        <v>0</v>
      </c>
      <c r="BQ65">
        <v>9</v>
      </c>
      <c r="BR65">
        <v>1</v>
      </c>
      <c r="BS65">
        <v>8</v>
      </c>
      <c r="BT65">
        <v>9</v>
      </c>
      <c r="BU65">
        <v>2</v>
      </c>
      <c r="BV65" s="4">
        <v>0.22222220000000001</v>
      </c>
      <c r="BW65" t="s">
        <v>526</v>
      </c>
      <c r="BX65" t="s">
        <v>514</v>
      </c>
      <c r="BY65" t="str">
        <f t="shared" si="0"/>
        <v>Proportion of Patients Receiving Surgery Within 8 Weeks of Assessment England</v>
      </c>
      <c r="BZ65" s="4">
        <v>0.35568645219755324</v>
      </c>
      <c r="CA65" s="4">
        <v>0.31385281385281383</v>
      </c>
      <c r="CB65" s="4">
        <v>0.32277397260273971</v>
      </c>
    </row>
    <row r="66" spans="1:80" x14ac:dyDescent="0.25">
      <c r="A66" s="2" t="s">
        <v>91</v>
      </c>
      <c r="B66" s="13" t="s">
        <v>90</v>
      </c>
      <c r="C66">
        <v>14</v>
      </c>
      <c r="D66">
        <v>5</v>
      </c>
      <c r="E66">
        <v>9</v>
      </c>
      <c r="F66">
        <v>14</v>
      </c>
      <c r="G66">
        <v>5</v>
      </c>
      <c r="H66" s="4">
        <v>0.35714289999999999</v>
      </c>
      <c r="I66">
        <v>12</v>
      </c>
      <c r="J66">
        <v>7</v>
      </c>
      <c r="K66">
        <v>5</v>
      </c>
      <c r="L66">
        <v>12</v>
      </c>
      <c r="M66">
        <v>5</v>
      </c>
      <c r="N66" s="4">
        <v>0.4166667</v>
      </c>
      <c r="O66">
        <v>9</v>
      </c>
      <c r="P66">
        <v>6</v>
      </c>
      <c r="Q66">
        <v>3</v>
      </c>
      <c r="R66">
        <v>9</v>
      </c>
      <c r="S66">
        <v>5</v>
      </c>
      <c r="T66" s="4">
        <v>0.55555560000000004</v>
      </c>
      <c r="U66">
        <v>16</v>
      </c>
      <c r="V66">
        <v>8</v>
      </c>
      <c r="W66">
        <v>8</v>
      </c>
      <c r="X66">
        <v>16</v>
      </c>
      <c r="Y66">
        <v>9</v>
      </c>
      <c r="Z66" s="4">
        <v>0.5625</v>
      </c>
      <c r="AA66">
        <v>13</v>
      </c>
      <c r="AB66">
        <v>6</v>
      </c>
      <c r="AC66">
        <v>7</v>
      </c>
      <c r="AD66">
        <v>13</v>
      </c>
      <c r="AE66">
        <v>7</v>
      </c>
      <c r="AF66" s="4">
        <v>0.53846159999999998</v>
      </c>
      <c r="AG66">
        <v>13</v>
      </c>
      <c r="AH66">
        <v>5</v>
      </c>
      <c r="AI66">
        <v>8</v>
      </c>
      <c r="AJ66">
        <v>13</v>
      </c>
      <c r="AK66">
        <v>7</v>
      </c>
      <c r="AL66" s="4">
        <v>0.53846159999999998</v>
      </c>
      <c r="AM66">
        <v>22</v>
      </c>
      <c r="AN66">
        <v>9</v>
      </c>
      <c r="AO66">
        <v>13</v>
      </c>
      <c r="AP66">
        <v>22</v>
      </c>
      <c r="AQ66">
        <v>6</v>
      </c>
      <c r="AR66" s="4">
        <v>0.27272730000000001</v>
      </c>
      <c r="AS66">
        <v>18</v>
      </c>
      <c r="AT66">
        <v>4</v>
      </c>
      <c r="AU66">
        <v>14</v>
      </c>
      <c r="AV66">
        <v>18</v>
      </c>
      <c r="AW66">
        <v>4</v>
      </c>
      <c r="AX66" s="4">
        <v>0.22222220000000001</v>
      </c>
      <c r="AY66">
        <v>18</v>
      </c>
      <c r="AZ66">
        <v>10</v>
      </c>
      <c r="BA66">
        <v>8</v>
      </c>
      <c r="BB66">
        <v>17</v>
      </c>
      <c r="BC66">
        <v>13</v>
      </c>
      <c r="BD66" s="4">
        <v>0.76470590000000005</v>
      </c>
      <c r="BE66">
        <v>16</v>
      </c>
      <c r="BF66">
        <v>6</v>
      </c>
      <c r="BG66">
        <v>10</v>
      </c>
      <c r="BH66">
        <v>16</v>
      </c>
      <c r="BI66">
        <v>8</v>
      </c>
      <c r="BJ66" s="4">
        <v>0.5</v>
      </c>
      <c r="BK66">
        <v>17</v>
      </c>
      <c r="BL66">
        <v>7</v>
      </c>
      <c r="BM66">
        <v>10</v>
      </c>
      <c r="BN66">
        <v>17</v>
      </c>
      <c r="BO66">
        <v>6</v>
      </c>
      <c r="BP66" s="4">
        <v>0.35294120000000001</v>
      </c>
      <c r="BQ66">
        <v>10</v>
      </c>
      <c r="BR66">
        <v>2</v>
      </c>
      <c r="BS66">
        <v>8</v>
      </c>
      <c r="BT66">
        <v>10</v>
      </c>
      <c r="BU66">
        <v>5</v>
      </c>
      <c r="BV66" s="4">
        <v>0.5</v>
      </c>
      <c r="BW66" t="s">
        <v>526</v>
      </c>
      <c r="BX66" t="s">
        <v>514</v>
      </c>
      <c r="BY66" t="str">
        <f t="shared" si="0"/>
        <v>Proportion of Patients Receiving Surgery Within 8 Weeks of Assessment England</v>
      </c>
      <c r="BZ66" s="4">
        <v>0.35568645219755324</v>
      </c>
      <c r="CA66" s="4">
        <v>0.31385281385281383</v>
      </c>
      <c r="CB66" s="4">
        <v>0.32277397260273971</v>
      </c>
    </row>
    <row r="67" spans="1:80" x14ac:dyDescent="0.25">
      <c r="A67" s="2" t="s">
        <v>19</v>
      </c>
      <c r="B67" s="13" t="s">
        <v>18</v>
      </c>
      <c r="C67">
        <v>11</v>
      </c>
      <c r="D67">
        <v>7</v>
      </c>
      <c r="E67">
        <v>4</v>
      </c>
      <c r="F67">
        <v>8</v>
      </c>
      <c r="G67">
        <v>2</v>
      </c>
      <c r="H67" s="4">
        <v>0.25</v>
      </c>
      <c r="I67">
        <v>11</v>
      </c>
      <c r="J67">
        <v>7</v>
      </c>
      <c r="K67">
        <v>4</v>
      </c>
      <c r="L67">
        <v>9</v>
      </c>
      <c r="M67">
        <v>3</v>
      </c>
      <c r="N67" s="4">
        <v>0.3333333</v>
      </c>
      <c r="O67">
        <v>2</v>
      </c>
      <c r="P67">
        <v>0</v>
      </c>
      <c r="Q67">
        <v>2</v>
      </c>
      <c r="R67">
        <v>2</v>
      </c>
      <c r="S67">
        <v>1</v>
      </c>
      <c r="T67" s="4">
        <v>0.5</v>
      </c>
      <c r="U67">
        <v>23</v>
      </c>
      <c r="V67">
        <v>16</v>
      </c>
      <c r="W67">
        <v>7</v>
      </c>
      <c r="X67">
        <v>18</v>
      </c>
      <c r="Y67">
        <v>2</v>
      </c>
      <c r="Z67" s="4">
        <v>0.1111111</v>
      </c>
      <c r="AA67">
        <v>19</v>
      </c>
      <c r="AB67">
        <v>9</v>
      </c>
      <c r="AC67">
        <v>10</v>
      </c>
      <c r="AD67">
        <v>18</v>
      </c>
      <c r="AE67">
        <v>4</v>
      </c>
      <c r="AF67" s="4">
        <v>0.22222220000000001</v>
      </c>
      <c r="AG67">
        <v>5</v>
      </c>
      <c r="AH67">
        <v>4</v>
      </c>
      <c r="AI67">
        <v>1</v>
      </c>
      <c r="AJ67">
        <v>4</v>
      </c>
      <c r="AK67">
        <v>2</v>
      </c>
      <c r="AL67" s="4">
        <v>0.5</v>
      </c>
      <c r="AM67">
        <v>10</v>
      </c>
      <c r="AN67">
        <v>7</v>
      </c>
      <c r="AO67">
        <v>3</v>
      </c>
      <c r="AP67">
        <v>7</v>
      </c>
      <c r="AQ67">
        <v>3</v>
      </c>
      <c r="AR67" s="4">
        <v>0.42857139999999999</v>
      </c>
      <c r="AS67">
        <v>10</v>
      </c>
      <c r="AT67">
        <v>7</v>
      </c>
      <c r="AU67">
        <v>3</v>
      </c>
      <c r="AV67">
        <v>7</v>
      </c>
      <c r="AW67">
        <v>1</v>
      </c>
      <c r="AX67" s="4">
        <v>0.14285709999999999</v>
      </c>
      <c r="AY67">
        <v>13</v>
      </c>
      <c r="AZ67">
        <v>7</v>
      </c>
      <c r="BA67">
        <v>6</v>
      </c>
      <c r="BB67">
        <v>13</v>
      </c>
      <c r="BC67">
        <v>5</v>
      </c>
      <c r="BD67" s="4">
        <v>0.3846154</v>
      </c>
      <c r="BE67">
        <v>12</v>
      </c>
      <c r="BF67">
        <v>7</v>
      </c>
      <c r="BG67">
        <v>5</v>
      </c>
      <c r="BH67">
        <v>12</v>
      </c>
      <c r="BI67">
        <v>6</v>
      </c>
      <c r="BJ67" s="4">
        <v>0.5</v>
      </c>
      <c r="BK67">
        <v>19</v>
      </c>
      <c r="BL67">
        <v>11</v>
      </c>
      <c r="BM67">
        <v>8</v>
      </c>
      <c r="BN67">
        <v>17</v>
      </c>
      <c r="BO67">
        <v>2</v>
      </c>
      <c r="BP67" s="4">
        <v>0.1176471</v>
      </c>
      <c r="BQ67">
        <v>11</v>
      </c>
      <c r="BR67">
        <v>4</v>
      </c>
      <c r="BS67">
        <v>7</v>
      </c>
      <c r="BT67">
        <v>11</v>
      </c>
      <c r="BU67">
        <v>3</v>
      </c>
      <c r="BV67" s="4">
        <v>0.27272730000000001</v>
      </c>
      <c r="BW67" t="s">
        <v>526</v>
      </c>
      <c r="BX67" t="s">
        <v>514</v>
      </c>
      <c r="BY67" t="str">
        <f t="shared" ref="BY67" si="1">BX67&amp;" "&amp;BW67</f>
        <v>Proportion of Patients Receiving Surgery Within 8 Weeks of Assessment England</v>
      </c>
      <c r="BZ67" s="4">
        <v>0.35568645219755324</v>
      </c>
      <c r="CA67" s="4">
        <v>0.31385281385281383</v>
      </c>
      <c r="CB67" s="4">
        <v>0.32277397260273971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CB76"/>
  <sheetViews>
    <sheetView workbookViewId="0">
      <pane xSplit="2" ySplit="1" topLeftCell="BW2" activePane="bottomRight" state="frozen"/>
      <selection pane="topRight" activeCell="C1" sqref="C1"/>
      <selection pane="bottomLeft" activeCell="A2" sqref="A2"/>
      <selection pane="bottomRight" activeCell="BY2" sqref="BY2"/>
    </sheetView>
  </sheetViews>
  <sheetFormatPr defaultRowHeight="15" x14ac:dyDescent="0.25"/>
  <cols>
    <col min="1" max="1" width="61" bestFit="1" customWidth="1"/>
    <col min="2" max="2" width="10" bestFit="1" customWidth="1"/>
    <col min="3" max="3" width="12.85546875" bestFit="1" customWidth="1"/>
    <col min="4" max="4" width="13.42578125" bestFit="1" customWidth="1"/>
    <col min="5" max="5" width="14.42578125" bestFit="1" customWidth="1"/>
    <col min="6" max="7" width="24.140625" bestFit="1" customWidth="1"/>
    <col min="8" max="8" width="25.85546875" style="4" bestFit="1" customWidth="1"/>
    <col min="9" max="9" width="12.85546875" bestFit="1" customWidth="1"/>
    <col min="10" max="10" width="13.42578125" bestFit="1" customWidth="1"/>
    <col min="11" max="11" width="14.42578125" bestFit="1" customWidth="1"/>
    <col min="12" max="13" width="24.140625" bestFit="1" customWidth="1"/>
    <col min="14" max="14" width="25.85546875" style="4" bestFit="1" customWidth="1"/>
    <col min="15" max="15" width="12.85546875" bestFit="1" customWidth="1"/>
    <col min="16" max="16" width="13.42578125" bestFit="1" customWidth="1"/>
    <col min="17" max="17" width="14.42578125" bestFit="1" customWidth="1"/>
    <col min="18" max="19" width="24.140625" bestFit="1" customWidth="1"/>
    <col min="20" max="20" width="25.85546875" style="4" bestFit="1" customWidth="1"/>
    <col min="21" max="21" width="12.85546875" bestFit="1" customWidth="1"/>
    <col min="22" max="22" width="13.42578125" bestFit="1" customWidth="1"/>
    <col min="23" max="23" width="14.42578125" bestFit="1" customWidth="1"/>
    <col min="24" max="25" width="24.140625" bestFit="1" customWidth="1"/>
    <col min="26" max="26" width="25.85546875" style="4" bestFit="1" customWidth="1"/>
    <col min="27" max="27" width="12.85546875" bestFit="1" customWidth="1"/>
    <col min="28" max="28" width="13.42578125" bestFit="1" customWidth="1"/>
    <col min="29" max="29" width="14.42578125" bestFit="1" customWidth="1"/>
    <col min="30" max="31" width="24.140625" bestFit="1" customWidth="1"/>
    <col min="32" max="32" width="25.85546875" style="4" bestFit="1" customWidth="1"/>
    <col min="33" max="33" width="12.85546875" bestFit="1" customWidth="1"/>
    <col min="34" max="34" width="13.42578125" bestFit="1" customWidth="1"/>
    <col min="35" max="35" width="14.42578125" bestFit="1" customWidth="1"/>
    <col min="36" max="37" width="24.140625" bestFit="1" customWidth="1"/>
    <col min="38" max="38" width="25.85546875" style="4" bestFit="1" customWidth="1"/>
    <col min="39" max="39" width="12.85546875" bestFit="1" customWidth="1"/>
    <col min="40" max="40" width="13.42578125" bestFit="1" customWidth="1"/>
    <col min="41" max="41" width="14.42578125" bestFit="1" customWidth="1"/>
    <col min="42" max="43" width="24.140625" bestFit="1" customWidth="1"/>
    <col min="44" max="44" width="25.85546875" style="4" bestFit="1" customWidth="1"/>
    <col min="45" max="45" width="12.85546875" bestFit="1" customWidth="1"/>
    <col min="46" max="46" width="13.42578125" bestFit="1" customWidth="1"/>
    <col min="47" max="47" width="14.42578125" bestFit="1" customWidth="1"/>
    <col min="48" max="49" width="24.140625" bestFit="1" customWidth="1"/>
    <col min="50" max="50" width="25.85546875" style="4" bestFit="1" customWidth="1"/>
    <col min="51" max="51" width="12.85546875" bestFit="1" customWidth="1"/>
    <col min="52" max="52" width="13.42578125" bestFit="1" customWidth="1"/>
    <col min="53" max="53" width="14.42578125" bestFit="1" customWidth="1"/>
    <col min="54" max="55" width="24.140625" bestFit="1" customWidth="1"/>
    <col min="56" max="56" width="25.85546875" style="4" bestFit="1" customWidth="1"/>
    <col min="57" max="57" width="12.85546875" bestFit="1" customWidth="1"/>
    <col min="58" max="58" width="13.42578125" bestFit="1" customWidth="1"/>
    <col min="59" max="59" width="14.42578125" bestFit="1" customWidth="1"/>
    <col min="60" max="61" width="24.140625" bestFit="1" customWidth="1"/>
    <col min="62" max="62" width="25.85546875" style="4" bestFit="1" customWidth="1"/>
    <col min="63" max="63" width="12.85546875" bestFit="1" customWidth="1"/>
    <col min="64" max="64" width="13.42578125" bestFit="1" customWidth="1"/>
    <col min="65" max="65" width="14.42578125" bestFit="1" customWidth="1"/>
    <col min="66" max="67" width="24.140625" bestFit="1" customWidth="1"/>
    <col min="68" max="68" width="25.85546875" style="4" bestFit="1" customWidth="1"/>
    <col min="69" max="69" width="12.85546875" bestFit="1" customWidth="1"/>
    <col min="70" max="70" width="13.42578125" bestFit="1" customWidth="1"/>
    <col min="71" max="71" width="14.42578125" bestFit="1" customWidth="1"/>
    <col min="72" max="73" width="24.140625" bestFit="1" customWidth="1"/>
    <col min="74" max="74" width="25.85546875" style="4" bestFit="1" customWidth="1"/>
    <col min="76" max="76" width="36.7109375" bestFit="1" customWidth="1"/>
    <col min="77" max="77" width="52.5703125" bestFit="1" customWidth="1"/>
    <col min="78" max="80" width="21.5703125" bestFit="1" customWidth="1"/>
  </cols>
  <sheetData>
    <row r="1" spans="1:80" s="9" customFormat="1" x14ac:dyDescent="0.25">
      <c r="A1" s="12" t="s">
        <v>195</v>
      </c>
      <c r="B1" s="12" t="s">
        <v>164</v>
      </c>
      <c r="C1" s="14" t="s">
        <v>273</v>
      </c>
      <c r="D1" s="14" t="s">
        <v>274</v>
      </c>
      <c r="E1" s="14" t="s">
        <v>275</v>
      </c>
      <c r="F1" s="14" t="s">
        <v>276</v>
      </c>
      <c r="G1" s="14" t="s">
        <v>277</v>
      </c>
      <c r="H1" s="32" t="s">
        <v>323</v>
      </c>
      <c r="I1" s="14" t="s">
        <v>278</v>
      </c>
      <c r="J1" s="14" t="s">
        <v>279</v>
      </c>
      <c r="K1" s="14" t="s">
        <v>280</v>
      </c>
      <c r="L1" s="14" t="s">
        <v>281</v>
      </c>
      <c r="M1" s="14" t="s">
        <v>282</v>
      </c>
      <c r="N1" s="32" t="s">
        <v>324</v>
      </c>
      <c r="O1" s="14" t="s">
        <v>283</v>
      </c>
      <c r="P1" s="14" t="s">
        <v>284</v>
      </c>
      <c r="Q1" s="14" t="s">
        <v>285</v>
      </c>
      <c r="R1" s="14" t="s">
        <v>286</v>
      </c>
      <c r="S1" s="14" t="s">
        <v>287</v>
      </c>
      <c r="T1" s="32" t="s">
        <v>325</v>
      </c>
      <c r="U1" s="14" t="s">
        <v>288</v>
      </c>
      <c r="V1" s="14" t="s">
        <v>289</v>
      </c>
      <c r="W1" s="14" t="s">
        <v>290</v>
      </c>
      <c r="X1" s="14" t="s">
        <v>291</v>
      </c>
      <c r="Y1" s="14" t="s">
        <v>292</v>
      </c>
      <c r="Z1" s="32" t="s">
        <v>326</v>
      </c>
      <c r="AA1" s="14" t="s">
        <v>293</v>
      </c>
      <c r="AB1" s="14" t="s">
        <v>294</v>
      </c>
      <c r="AC1" s="14" t="s">
        <v>295</v>
      </c>
      <c r="AD1" s="14" t="s">
        <v>296</v>
      </c>
      <c r="AE1" s="14" t="s">
        <v>297</v>
      </c>
      <c r="AF1" s="32" t="s">
        <v>327</v>
      </c>
      <c r="AG1" s="14" t="s">
        <v>298</v>
      </c>
      <c r="AH1" s="14" t="s">
        <v>299</v>
      </c>
      <c r="AI1" s="14" t="s">
        <v>300</v>
      </c>
      <c r="AJ1" s="14" t="s">
        <v>301</v>
      </c>
      <c r="AK1" s="14" t="s">
        <v>302</v>
      </c>
      <c r="AL1" s="32" t="s">
        <v>328</v>
      </c>
      <c r="AM1" s="14" t="s">
        <v>303</v>
      </c>
      <c r="AN1" s="14" t="s">
        <v>304</v>
      </c>
      <c r="AO1" s="14" t="s">
        <v>305</v>
      </c>
      <c r="AP1" s="14" t="s">
        <v>306</v>
      </c>
      <c r="AQ1" s="14" t="s">
        <v>307</v>
      </c>
      <c r="AR1" s="32" t="s">
        <v>329</v>
      </c>
      <c r="AS1" s="14" t="s">
        <v>308</v>
      </c>
      <c r="AT1" s="14" t="s">
        <v>309</v>
      </c>
      <c r="AU1" s="14" t="s">
        <v>310</v>
      </c>
      <c r="AV1" s="14" t="s">
        <v>311</v>
      </c>
      <c r="AW1" s="14" t="s">
        <v>312</v>
      </c>
      <c r="AX1" s="32" t="s">
        <v>330</v>
      </c>
      <c r="AY1" s="14" t="s">
        <v>313</v>
      </c>
      <c r="AZ1" s="14" t="s">
        <v>314</v>
      </c>
      <c r="BA1" s="14" t="s">
        <v>315</v>
      </c>
      <c r="BB1" s="14" t="s">
        <v>316</v>
      </c>
      <c r="BC1" s="14" t="s">
        <v>317</v>
      </c>
      <c r="BD1" s="32" t="s">
        <v>331</v>
      </c>
      <c r="BE1" s="14" t="s">
        <v>318</v>
      </c>
      <c r="BF1" s="14" t="s">
        <v>319</v>
      </c>
      <c r="BG1" s="14" t="s">
        <v>320</v>
      </c>
      <c r="BH1" s="14" t="s">
        <v>321</v>
      </c>
      <c r="BI1" s="14" t="s">
        <v>322</v>
      </c>
      <c r="BJ1" s="32" t="s">
        <v>332</v>
      </c>
      <c r="BK1" s="14" t="s">
        <v>479</v>
      </c>
      <c r="BL1" s="14" t="s">
        <v>480</v>
      </c>
      <c r="BM1" s="14" t="s">
        <v>481</v>
      </c>
      <c r="BN1" s="14" t="s">
        <v>482</v>
      </c>
      <c r="BO1" s="14" t="s">
        <v>483</v>
      </c>
      <c r="BP1" s="32" t="s">
        <v>484</v>
      </c>
      <c r="BQ1" s="14" t="s">
        <v>485</v>
      </c>
      <c r="BR1" s="14" t="s">
        <v>486</v>
      </c>
      <c r="BS1" s="14" t="s">
        <v>487</v>
      </c>
      <c r="BT1" s="14" t="s">
        <v>488</v>
      </c>
      <c r="BU1" s="14" t="s">
        <v>489</v>
      </c>
      <c r="BV1" s="32" t="s">
        <v>490</v>
      </c>
      <c r="BW1" s="9" t="s">
        <v>525</v>
      </c>
      <c r="BX1" s="9" t="s">
        <v>529</v>
      </c>
      <c r="BY1" s="9" t="s">
        <v>530</v>
      </c>
      <c r="BZ1" s="9" t="s">
        <v>532</v>
      </c>
      <c r="CA1" s="9" t="s">
        <v>533</v>
      </c>
      <c r="CB1" s="9" t="s">
        <v>534</v>
      </c>
    </row>
    <row r="2" spans="1:80" x14ac:dyDescent="0.25">
      <c r="A2" s="15" t="s">
        <v>127</v>
      </c>
      <c r="B2" s="15" t="s">
        <v>26</v>
      </c>
      <c r="C2" s="13">
        <v>40</v>
      </c>
      <c r="D2" s="13">
        <v>7</v>
      </c>
      <c r="E2" s="13">
        <v>0</v>
      </c>
      <c r="F2" s="13">
        <v>13</v>
      </c>
      <c r="G2" s="13">
        <v>3</v>
      </c>
      <c r="H2" s="16">
        <v>0.23</v>
      </c>
      <c r="I2" s="13">
        <v>32</v>
      </c>
      <c r="J2" s="13">
        <v>3</v>
      </c>
      <c r="K2" s="13">
        <v>0</v>
      </c>
      <c r="L2" s="13">
        <v>10</v>
      </c>
      <c r="M2" s="13">
        <v>5</v>
      </c>
      <c r="N2" s="16">
        <v>0.5</v>
      </c>
      <c r="O2" s="13">
        <v>27</v>
      </c>
      <c r="P2" s="13">
        <v>8</v>
      </c>
      <c r="Q2" s="13">
        <v>0</v>
      </c>
      <c r="R2" s="13">
        <v>11</v>
      </c>
      <c r="S2" s="13">
        <v>5</v>
      </c>
      <c r="T2" s="16">
        <v>0.45</v>
      </c>
      <c r="U2" s="13">
        <v>33</v>
      </c>
      <c r="V2" s="13">
        <v>10</v>
      </c>
      <c r="W2" s="13">
        <v>1</v>
      </c>
      <c r="X2" s="13">
        <v>7</v>
      </c>
      <c r="Y2" s="13">
        <v>3</v>
      </c>
      <c r="Z2" s="16">
        <v>0.43</v>
      </c>
      <c r="AA2" s="13">
        <v>43</v>
      </c>
      <c r="AB2" s="13">
        <v>3</v>
      </c>
      <c r="AC2" s="13">
        <v>1</v>
      </c>
      <c r="AD2" s="13">
        <v>8</v>
      </c>
      <c r="AE2" s="13">
        <v>5</v>
      </c>
      <c r="AF2" s="16">
        <v>0.63</v>
      </c>
      <c r="AG2" s="13">
        <v>24</v>
      </c>
      <c r="AH2" s="13">
        <v>10</v>
      </c>
      <c r="AI2" s="13">
        <v>5</v>
      </c>
      <c r="AJ2" s="13">
        <v>20</v>
      </c>
      <c r="AK2" s="13">
        <v>11</v>
      </c>
      <c r="AL2" s="16">
        <v>0.55000000000000004</v>
      </c>
      <c r="AM2" s="13">
        <v>31</v>
      </c>
      <c r="AN2" s="13">
        <v>6</v>
      </c>
      <c r="AO2" s="13">
        <v>4</v>
      </c>
      <c r="AP2" s="13">
        <v>18</v>
      </c>
      <c r="AQ2" s="13">
        <v>5</v>
      </c>
      <c r="AR2" s="16">
        <v>0.28000000000000003</v>
      </c>
      <c r="AS2" s="13">
        <v>35</v>
      </c>
      <c r="AT2" s="13">
        <v>6</v>
      </c>
      <c r="AU2" s="13">
        <v>5</v>
      </c>
      <c r="AV2" s="13">
        <v>7</v>
      </c>
      <c r="AW2" s="13">
        <v>4</v>
      </c>
      <c r="AX2" s="16">
        <v>0.56999999999999995</v>
      </c>
      <c r="AY2" s="13">
        <v>32</v>
      </c>
      <c r="AZ2" s="13">
        <v>6</v>
      </c>
      <c r="BA2" s="13">
        <v>2</v>
      </c>
      <c r="BB2" s="13">
        <v>10</v>
      </c>
      <c r="BC2" s="13">
        <v>5</v>
      </c>
      <c r="BD2" s="16">
        <v>0.5</v>
      </c>
      <c r="BE2" s="13">
        <v>16</v>
      </c>
      <c r="BF2" s="13">
        <v>6</v>
      </c>
      <c r="BG2" s="13">
        <v>0</v>
      </c>
      <c r="BH2" s="13">
        <v>5</v>
      </c>
      <c r="BI2" s="13">
        <v>0</v>
      </c>
      <c r="BJ2" s="16">
        <v>0</v>
      </c>
      <c r="BK2" s="13">
        <v>2</v>
      </c>
      <c r="BL2" s="13">
        <v>5</v>
      </c>
      <c r="BM2" s="13">
        <v>0</v>
      </c>
      <c r="BN2" s="13">
        <v>2</v>
      </c>
      <c r="BO2" s="13">
        <v>1</v>
      </c>
      <c r="BP2" s="16">
        <v>0.5</v>
      </c>
      <c r="BQ2" s="13">
        <v>1</v>
      </c>
      <c r="BR2" s="13">
        <v>13</v>
      </c>
      <c r="BS2" s="13">
        <v>0</v>
      </c>
      <c r="BT2" s="13">
        <v>0</v>
      </c>
      <c r="BU2" s="13">
        <v>0</v>
      </c>
      <c r="BV2" s="16" t="s">
        <v>122</v>
      </c>
      <c r="BW2" t="s">
        <v>526</v>
      </c>
      <c r="BX2" t="s">
        <v>520</v>
      </c>
      <c r="BY2" t="str">
        <f>BX2&amp;" "&amp;BW2</f>
        <v>Proportion of CLTI treated within 5 days England</v>
      </c>
      <c r="BZ2" s="4">
        <v>0.56897054534849811</v>
      </c>
      <c r="CA2" s="4">
        <v>0.52658569500674768</v>
      </c>
      <c r="CB2" s="4">
        <v>0.50914298303591099</v>
      </c>
    </row>
    <row r="3" spans="1:80" x14ac:dyDescent="0.25">
      <c r="A3" s="15" t="s">
        <v>8</v>
      </c>
      <c r="B3" s="15" t="s">
        <v>7</v>
      </c>
      <c r="C3" s="13">
        <v>37</v>
      </c>
      <c r="D3" s="13">
        <v>11</v>
      </c>
      <c r="E3" s="13">
        <v>5</v>
      </c>
      <c r="F3" s="13">
        <v>29</v>
      </c>
      <c r="G3" s="13">
        <v>6</v>
      </c>
      <c r="H3" s="16">
        <v>0.21</v>
      </c>
      <c r="I3" s="13">
        <v>35</v>
      </c>
      <c r="J3" s="13">
        <v>2</v>
      </c>
      <c r="K3" s="13">
        <v>1</v>
      </c>
      <c r="L3" s="13">
        <v>13</v>
      </c>
      <c r="M3" s="13">
        <v>3</v>
      </c>
      <c r="N3" s="16">
        <v>0.23</v>
      </c>
      <c r="O3" s="13">
        <v>26</v>
      </c>
      <c r="P3" s="13">
        <v>6</v>
      </c>
      <c r="Q3" s="13">
        <v>4</v>
      </c>
      <c r="R3" s="13">
        <v>22</v>
      </c>
      <c r="S3" s="13">
        <v>9</v>
      </c>
      <c r="T3" s="16">
        <v>0.41</v>
      </c>
      <c r="U3" s="13">
        <v>14</v>
      </c>
      <c r="V3" s="13">
        <v>10</v>
      </c>
      <c r="W3" s="13">
        <v>3</v>
      </c>
      <c r="X3" s="13">
        <v>14</v>
      </c>
      <c r="Y3" s="13">
        <v>4</v>
      </c>
      <c r="Z3" s="16">
        <v>0.28999999999999998</v>
      </c>
      <c r="AA3" s="13">
        <v>5</v>
      </c>
      <c r="AB3" s="13">
        <v>3</v>
      </c>
      <c r="AC3" s="13">
        <v>4</v>
      </c>
      <c r="AD3" s="13">
        <v>8</v>
      </c>
      <c r="AE3" s="13">
        <v>0</v>
      </c>
      <c r="AF3" s="16">
        <v>0</v>
      </c>
      <c r="AG3" s="13">
        <v>10</v>
      </c>
      <c r="AH3" s="13">
        <v>4</v>
      </c>
      <c r="AI3" s="13">
        <v>2</v>
      </c>
      <c r="AJ3" s="13">
        <v>6</v>
      </c>
      <c r="AK3" s="13">
        <v>2</v>
      </c>
      <c r="AL3" s="16">
        <v>0.33</v>
      </c>
      <c r="AM3" s="13">
        <v>32</v>
      </c>
      <c r="AN3" s="13">
        <v>4</v>
      </c>
      <c r="AO3" s="13">
        <v>3</v>
      </c>
      <c r="AP3" s="13">
        <v>16</v>
      </c>
      <c r="AQ3" s="13">
        <v>6</v>
      </c>
      <c r="AR3" s="16">
        <v>0.38</v>
      </c>
      <c r="AS3" s="13">
        <v>11</v>
      </c>
      <c r="AT3" s="13">
        <v>2</v>
      </c>
      <c r="AU3" s="13">
        <v>3</v>
      </c>
      <c r="AV3" s="13">
        <v>7</v>
      </c>
      <c r="AW3" s="13">
        <v>2</v>
      </c>
      <c r="AX3" s="16">
        <v>0.28999999999999998</v>
      </c>
      <c r="AY3" s="13">
        <v>0</v>
      </c>
      <c r="AZ3" s="13">
        <v>0</v>
      </c>
      <c r="BA3" s="13">
        <v>0</v>
      </c>
      <c r="BB3" s="13">
        <v>0</v>
      </c>
      <c r="BC3" s="13">
        <v>0</v>
      </c>
      <c r="BD3" s="16" t="s">
        <v>122</v>
      </c>
      <c r="BE3" s="13">
        <v>0</v>
      </c>
      <c r="BF3" s="13">
        <v>0</v>
      </c>
      <c r="BG3" s="13">
        <v>0</v>
      </c>
      <c r="BH3" s="13">
        <v>0</v>
      </c>
      <c r="BI3" s="13">
        <v>0</v>
      </c>
      <c r="BJ3" s="16" t="s">
        <v>122</v>
      </c>
      <c r="BK3" s="13">
        <v>16</v>
      </c>
      <c r="BL3" s="13">
        <v>4</v>
      </c>
      <c r="BM3" s="13">
        <v>6</v>
      </c>
      <c r="BN3" s="13">
        <v>5</v>
      </c>
      <c r="BO3" s="13">
        <v>1</v>
      </c>
      <c r="BP3" s="16">
        <v>0.2</v>
      </c>
      <c r="BQ3" s="13">
        <v>24</v>
      </c>
      <c r="BR3" s="13">
        <v>11</v>
      </c>
      <c r="BS3" s="13">
        <v>3</v>
      </c>
      <c r="BT3" s="13">
        <v>17</v>
      </c>
      <c r="BU3" s="13">
        <v>5</v>
      </c>
      <c r="BV3" s="16">
        <v>0.28999999999999998</v>
      </c>
      <c r="BW3" t="s">
        <v>526</v>
      </c>
      <c r="BX3" t="s">
        <v>520</v>
      </c>
      <c r="BY3" t="str">
        <f t="shared" ref="BY3:BY66" si="0">BX3&amp;" "&amp;BW3</f>
        <v>Proportion of CLTI treated within 5 days England</v>
      </c>
      <c r="BZ3" s="4">
        <v>0.56897054534849811</v>
      </c>
      <c r="CA3" s="4">
        <v>0.52658569500674768</v>
      </c>
      <c r="CB3" s="4">
        <v>0.50914298303591099</v>
      </c>
    </row>
    <row r="4" spans="1:80" x14ac:dyDescent="0.25">
      <c r="A4" s="15" t="s">
        <v>152</v>
      </c>
      <c r="B4" s="15" t="s">
        <v>151</v>
      </c>
      <c r="C4" s="13">
        <v>35</v>
      </c>
      <c r="D4" s="13">
        <v>18</v>
      </c>
      <c r="E4" s="13">
        <v>6</v>
      </c>
      <c r="F4" s="13">
        <v>10</v>
      </c>
      <c r="G4" s="13">
        <v>5</v>
      </c>
      <c r="H4" s="16">
        <v>0.5</v>
      </c>
      <c r="I4" s="13">
        <v>23</v>
      </c>
      <c r="J4" s="13">
        <v>12</v>
      </c>
      <c r="K4" s="13">
        <v>8</v>
      </c>
      <c r="L4" s="13">
        <v>3</v>
      </c>
      <c r="M4" s="13">
        <v>3</v>
      </c>
      <c r="N4" s="16">
        <v>1</v>
      </c>
      <c r="O4" s="13">
        <v>29</v>
      </c>
      <c r="P4" s="13">
        <v>9</v>
      </c>
      <c r="Q4" s="13">
        <v>4</v>
      </c>
      <c r="R4" s="13">
        <v>6</v>
      </c>
      <c r="S4" s="13">
        <v>5</v>
      </c>
      <c r="T4" s="16">
        <v>0.83</v>
      </c>
      <c r="U4" s="13">
        <v>40</v>
      </c>
      <c r="V4" s="13">
        <v>18</v>
      </c>
      <c r="W4" s="13">
        <v>2</v>
      </c>
      <c r="X4" s="13">
        <v>10</v>
      </c>
      <c r="Y4" s="13">
        <v>8</v>
      </c>
      <c r="Z4" s="16">
        <v>0.8</v>
      </c>
      <c r="AA4" s="13">
        <v>28</v>
      </c>
      <c r="AB4" s="13">
        <v>29</v>
      </c>
      <c r="AC4" s="13">
        <v>10</v>
      </c>
      <c r="AD4" s="13">
        <v>17</v>
      </c>
      <c r="AE4" s="13">
        <v>11</v>
      </c>
      <c r="AF4" s="16">
        <v>0.65</v>
      </c>
      <c r="AG4" s="13">
        <v>34</v>
      </c>
      <c r="AH4" s="13">
        <v>19</v>
      </c>
      <c r="AI4" s="13">
        <v>7</v>
      </c>
      <c r="AJ4" s="13">
        <v>17</v>
      </c>
      <c r="AK4" s="13">
        <v>9</v>
      </c>
      <c r="AL4" s="16">
        <v>0.53</v>
      </c>
      <c r="AM4" s="13">
        <v>33</v>
      </c>
      <c r="AN4" s="13">
        <v>15</v>
      </c>
      <c r="AO4" s="13">
        <v>5</v>
      </c>
      <c r="AP4" s="13">
        <v>10</v>
      </c>
      <c r="AQ4" s="13">
        <v>7</v>
      </c>
      <c r="AR4" s="16">
        <v>0.7</v>
      </c>
      <c r="AS4" s="13">
        <v>38</v>
      </c>
      <c r="AT4" s="13">
        <v>17</v>
      </c>
      <c r="AU4" s="13">
        <v>10</v>
      </c>
      <c r="AV4" s="13">
        <v>14</v>
      </c>
      <c r="AW4" s="13">
        <v>10</v>
      </c>
      <c r="AX4" s="16">
        <v>0.71</v>
      </c>
      <c r="AY4" s="13">
        <v>33</v>
      </c>
      <c r="AZ4" s="13">
        <v>18</v>
      </c>
      <c r="BA4" s="13">
        <v>7</v>
      </c>
      <c r="BB4" s="13">
        <v>16</v>
      </c>
      <c r="BC4" s="13">
        <v>9</v>
      </c>
      <c r="BD4" s="16">
        <v>0.56000000000000005</v>
      </c>
      <c r="BE4" s="13">
        <v>31</v>
      </c>
      <c r="BF4" s="13">
        <v>18</v>
      </c>
      <c r="BG4" s="13">
        <v>11</v>
      </c>
      <c r="BH4" s="13">
        <v>17</v>
      </c>
      <c r="BI4" s="13">
        <v>10</v>
      </c>
      <c r="BJ4" s="16">
        <v>0.59</v>
      </c>
      <c r="BK4" s="13">
        <v>35</v>
      </c>
      <c r="BL4" s="13">
        <v>22</v>
      </c>
      <c r="BM4" s="13">
        <v>5</v>
      </c>
      <c r="BN4" s="13">
        <v>23</v>
      </c>
      <c r="BO4" s="13">
        <v>12</v>
      </c>
      <c r="BP4" s="16">
        <v>0.52</v>
      </c>
      <c r="BQ4" s="13">
        <v>52</v>
      </c>
      <c r="BR4" s="13">
        <v>8</v>
      </c>
      <c r="BS4" s="13">
        <v>4</v>
      </c>
      <c r="BT4" s="13">
        <v>17</v>
      </c>
      <c r="BU4" s="13">
        <v>11</v>
      </c>
      <c r="BV4" s="16">
        <v>0.65</v>
      </c>
      <c r="BW4" t="s">
        <v>526</v>
      </c>
      <c r="BX4" t="s">
        <v>520</v>
      </c>
      <c r="BY4" t="str">
        <f t="shared" si="0"/>
        <v>Proportion of CLTI treated within 5 days England</v>
      </c>
      <c r="BZ4" s="4">
        <v>0.56897054534849811</v>
      </c>
      <c r="CA4" s="4">
        <v>0.52658569500674768</v>
      </c>
      <c r="CB4" s="4">
        <v>0.50914298303591099</v>
      </c>
    </row>
    <row r="5" spans="1:80" x14ac:dyDescent="0.25">
      <c r="A5" s="15" t="s">
        <v>117</v>
      </c>
      <c r="B5" s="15" t="s">
        <v>116</v>
      </c>
      <c r="C5" s="13">
        <v>14</v>
      </c>
      <c r="D5" s="13">
        <v>31</v>
      </c>
      <c r="E5" s="13">
        <v>7</v>
      </c>
      <c r="F5" s="13">
        <v>17</v>
      </c>
      <c r="G5" s="13">
        <v>7</v>
      </c>
      <c r="H5" s="16">
        <v>0.41</v>
      </c>
      <c r="I5" s="13">
        <v>26</v>
      </c>
      <c r="J5" s="13">
        <v>22</v>
      </c>
      <c r="K5" s="13">
        <v>7</v>
      </c>
      <c r="L5" s="13">
        <v>13</v>
      </c>
      <c r="M5" s="13">
        <v>8</v>
      </c>
      <c r="N5" s="16">
        <v>0.62</v>
      </c>
      <c r="O5" s="13">
        <v>23</v>
      </c>
      <c r="P5" s="13">
        <v>18</v>
      </c>
      <c r="Q5" s="13">
        <v>9</v>
      </c>
      <c r="R5" s="13">
        <v>27</v>
      </c>
      <c r="S5" s="13">
        <v>15</v>
      </c>
      <c r="T5" s="16">
        <v>0.56000000000000005</v>
      </c>
      <c r="U5" s="13">
        <v>24</v>
      </c>
      <c r="V5" s="13">
        <v>38</v>
      </c>
      <c r="W5" s="13">
        <v>10</v>
      </c>
      <c r="X5" s="13">
        <v>20</v>
      </c>
      <c r="Y5" s="13">
        <v>9</v>
      </c>
      <c r="Z5" s="16">
        <v>0.45</v>
      </c>
      <c r="AA5" s="13">
        <v>26</v>
      </c>
      <c r="AB5" s="13">
        <v>16</v>
      </c>
      <c r="AC5" s="13">
        <v>9</v>
      </c>
      <c r="AD5" s="13">
        <v>16</v>
      </c>
      <c r="AE5" s="13">
        <v>8</v>
      </c>
      <c r="AF5" s="16">
        <v>0.5</v>
      </c>
      <c r="AG5" s="13">
        <v>35</v>
      </c>
      <c r="AH5" s="13">
        <v>41</v>
      </c>
      <c r="AI5" s="13">
        <v>12</v>
      </c>
      <c r="AJ5" s="13">
        <v>21</v>
      </c>
      <c r="AK5" s="13">
        <v>8</v>
      </c>
      <c r="AL5" s="16">
        <v>0.38</v>
      </c>
      <c r="AM5" s="13">
        <v>16</v>
      </c>
      <c r="AN5" s="13">
        <v>34</v>
      </c>
      <c r="AO5" s="13">
        <v>20</v>
      </c>
      <c r="AP5" s="13">
        <v>33</v>
      </c>
      <c r="AQ5" s="13">
        <v>14</v>
      </c>
      <c r="AR5" s="16">
        <v>0.42</v>
      </c>
      <c r="AS5" s="13">
        <v>18</v>
      </c>
      <c r="AT5" s="13">
        <v>36</v>
      </c>
      <c r="AU5" s="13">
        <v>19</v>
      </c>
      <c r="AV5" s="13">
        <v>33</v>
      </c>
      <c r="AW5" s="13">
        <v>22</v>
      </c>
      <c r="AX5" s="16">
        <v>0.67</v>
      </c>
      <c r="AY5" s="13">
        <v>29</v>
      </c>
      <c r="AZ5" s="13">
        <v>29</v>
      </c>
      <c r="BA5" s="13">
        <v>10</v>
      </c>
      <c r="BB5" s="13">
        <v>28</v>
      </c>
      <c r="BC5" s="13">
        <v>18</v>
      </c>
      <c r="BD5" s="16">
        <v>0.64</v>
      </c>
      <c r="BE5" s="13">
        <v>66</v>
      </c>
      <c r="BF5" s="13">
        <v>31</v>
      </c>
      <c r="BG5" s="13">
        <v>24</v>
      </c>
      <c r="BH5" s="13">
        <v>25</v>
      </c>
      <c r="BI5" s="13">
        <v>17</v>
      </c>
      <c r="BJ5" s="16">
        <v>0.68</v>
      </c>
      <c r="BK5" s="13">
        <v>90</v>
      </c>
      <c r="BL5" s="13">
        <v>50</v>
      </c>
      <c r="BM5" s="13">
        <v>17</v>
      </c>
      <c r="BN5" s="13">
        <v>68</v>
      </c>
      <c r="BO5" s="13">
        <v>27</v>
      </c>
      <c r="BP5" s="16">
        <v>0.4</v>
      </c>
      <c r="BQ5" s="13">
        <v>111</v>
      </c>
      <c r="BR5" s="13">
        <v>57</v>
      </c>
      <c r="BS5" s="13">
        <v>8</v>
      </c>
      <c r="BT5" s="13">
        <v>72</v>
      </c>
      <c r="BU5" s="13">
        <v>23</v>
      </c>
      <c r="BV5" s="16">
        <v>0.32</v>
      </c>
      <c r="BW5" t="s">
        <v>531</v>
      </c>
      <c r="BX5" t="s">
        <v>520</v>
      </c>
      <c r="BY5" t="str">
        <f t="shared" si="0"/>
        <v>Proportion of CLTI treated within 5 days Northern Ireland</v>
      </c>
      <c r="BZ5" s="4">
        <v>0.50649350649350644</v>
      </c>
      <c r="CA5" s="4">
        <v>0.50485436893203883</v>
      </c>
      <c r="CB5" s="4">
        <v>0.44041450777202074</v>
      </c>
    </row>
    <row r="6" spans="1:80" x14ac:dyDescent="0.25">
      <c r="A6" s="15" t="s">
        <v>1</v>
      </c>
      <c r="B6" s="15" t="s">
        <v>0</v>
      </c>
      <c r="C6" s="13">
        <v>2</v>
      </c>
      <c r="D6" s="13">
        <v>20</v>
      </c>
      <c r="E6" s="13">
        <v>8</v>
      </c>
      <c r="F6" s="13">
        <v>12</v>
      </c>
      <c r="G6" s="13">
        <v>2</v>
      </c>
      <c r="H6" s="16">
        <v>0.17</v>
      </c>
      <c r="I6" s="13">
        <v>0</v>
      </c>
      <c r="J6" s="13">
        <v>18</v>
      </c>
      <c r="K6" s="13">
        <v>5</v>
      </c>
      <c r="L6" s="13">
        <v>7</v>
      </c>
      <c r="M6" s="13">
        <v>1</v>
      </c>
      <c r="N6" s="16">
        <v>0.14000000000000001</v>
      </c>
      <c r="O6" s="13">
        <v>2</v>
      </c>
      <c r="P6" s="13">
        <v>14</v>
      </c>
      <c r="Q6" s="13">
        <v>10</v>
      </c>
      <c r="R6" s="13">
        <v>10</v>
      </c>
      <c r="S6" s="13">
        <v>2</v>
      </c>
      <c r="T6" s="16">
        <v>0.2</v>
      </c>
      <c r="U6" s="13">
        <v>0</v>
      </c>
      <c r="V6" s="13">
        <v>19</v>
      </c>
      <c r="W6" s="13">
        <v>6</v>
      </c>
      <c r="X6" s="13">
        <v>12</v>
      </c>
      <c r="Y6" s="13">
        <v>5</v>
      </c>
      <c r="Z6" s="16">
        <v>0.42</v>
      </c>
      <c r="AA6" s="13">
        <v>0</v>
      </c>
      <c r="AB6" s="13">
        <v>9</v>
      </c>
      <c r="AC6" s="13">
        <v>7</v>
      </c>
      <c r="AD6" s="13">
        <v>4</v>
      </c>
      <c r="AE6" s="13">
        <v>2</v>
      </c>
      <c r="AF6" s="16">
        <v>0.5</v>
      </c>
      <c r="AG6" s="13">
        <v>0</v>
      </c>
      <c r="AH6" s="13">
        <v>17</v>
      </c>
      <c r="AI6" s="13">
        <v>15</v>
      </c>
      <c r="AJ6" s="13">
        <v>7</v>
      </c>
      <c r="AK6" s="13">
        <v>3</v>
      </c>
      <c r="AL6" s="16">
        <v>0.43</v>
      </c>
      <c r="AM6" s="13">
        <v>0</v>
      </c>
      <c r="AN6" s="13">
        <v>20</v>
      </c>
      <c r="AO6" s="13">
        <v>8</v>
      </c>
      <c r="AP6" s="13">
        <v>8</v>
      </c>
      <c r="AQ6" s="13">
        <v>2</v>
      </c>
      <c r="AR6" s="16">
        <v>0.25</v>
      </c>
      <c r="AS6" s="13">
        <v>0</v>
      </c>
      <c r="AT6" s="13">
        <v>18</v>
      </c>
      <c r="AU6" s="13">
        <v>11</v>
      </c>
      <c r="AV6" s="13">
        <v>14</v>
      </c>
      <c r="AW6" s="13">
        <v>3</v>
      </c>
      <c r="AX6" s="16">
        <v>0.21</v>
      </c>
      <c r="AY6" s="13">
        <v>1</v>
      </c>
      <c r="AZ6" s="13">
        <v>13</v>
      </c>
      <c r="BA6" s="13">
        <v>5</v>
      </c>
      <c r="BB6" s="13">
        <v>5</v>
      </c>
      <c r="BC6" s="13">
        <v>1</v>
      </c>
      <c r="BD6" s="16">
        <v>0.2</v>
      </c>
      <c r="BE6" s="13">
        <v>2</v>
      </c>
      <c r="BF6" s="13">
        <v>16</v>
      </c>
      <c r="BG6" s="13">
        <v>7</v>
      </c>
      <c r="BH6" s="13">
        <v>8</v>
      </c>
      <c r="BI6" s="13">
        <v>0</v>
      </c>
      <c r="BJ6" s="16">
        <v>0</v>
      </c>
      <c r="BK6" s="13">
        <v>1</v>
      </c>
      <c r="BL6" s="13">
        <v>16</v>
      </c>
      <c r="BM6" s="13">
        <v>10</v>
      </c>
      <c r="BN6" s="13">
        <v>17</v>
      </c>
      <c r="BO6" s="13">
        <v>4</v>
      </c>
      <c r="BP6" s="16">
        <v>0.24</v>
      </c>
      <c r="BQ6" s="13">
        <v>0</v>
      </c>
      <c r="BR6" s="13">
        <v>14</v>
      </c>
      <c r="BS6" s="13">
        <v>6</v>
      </c>
      <c r="BT6" s="13">
        <v>10</v>
      </c>
      <c r="BU6" s="13">
        <v>1</v>
      </c>
      <c r="BV6" s="16">
        <v>0.1</v>
      </c>
      <c r="BW6" t="s">
        <v>527</v>
      </c>
      <c r="BX6" t="s">
        <v>520</v>
      </c>
      <c r="BY6" t="str">
        <f t="shared" si="0"/>
        <v>Proportion of CLTI treated within 5 days Wales</v>
      </c>
      <c r="BZ6" s="4">
        <v>0.44727272727272727</v>
      </c>
      <c r="CA6" s="4">
        <v>0.41212121212121211</v>
      </c>
      <c r="CB6" s="4">
        <v>0.43224299065420563</v>
      </c>
    </row>
    <row r="7" spans="1:80" x14ac:dyDescent="0.25">
      <c r="A7" s="15" t="s">
        <v>13</v>
      </c>
      <c r="B7" s="15" t="s">
        <v>12</v>
      </c>
      <c r="C7" s="13">
        <v>0</v>
      </c>
      <c r="D7" s="13">
        <v>11</v>
      </c>
      <c r="E7" s="13">
        <v>0</v>
      </c>
      <c r="F7" s="13">
        <v>6</v>
      </c>
      <c r="G7" s="13">
        <v>5</v>
      </c>
      <c r="H7" s="16">
        <v>0.83</v>
      </c>
      <c r="I7" s="13">
        <v>0</v>
      </c>
      <c r="J7" s="13">
        <v>12</v>
      </c>
      <c r="K7" s="13">
        <v>3</v>
      </c>
      <c r="L7" s="13">
        <v>6</v>
      </c>
      <c r="M7" s="13">
        <v>3</v>
      </c>
      <c r="N7" s="16">
        <v>0.5</v>
      </c>
      <c r="O7" s="13">
        <v>0</v>
      </c>
      <c r="P7" s="13">
        <v>14</v>
      </c>
      <c r="Q7" s="13">
        <v>2</v>
      </c>
      <c r="R7" s="13">
        <v>5</v>
      </c>
      <c r="S7" s="13">
        <v>1</v>
      </c>
      <c r="T7" s="16">
        <v>0.2</v>
      </c>
      <c r="U7" s="13">
        <v>0</v>
      </c>
      <c r="V7" s="13">
        <v>11</v>
      </c>
      <c r="W7" s="13">
        <v>4</v>
      </c>
      <c r="X7" s="13">
        <v>6</v>
      </c>
      <c r="Y7" s="13">
        <v>6</v>
      </c>
      <c r="Z7" s="16">
        <v>1</v>
      </c>
      <c r="AA7" s="13">
        <v>0</v>
      </c>
      <c r="AB7" s="13">
        <v>10</v>
      </c>
      <c r="AC7" s="13">
        <v>3</v>
      </c>
      <c r="AD7" s="13">
        <v>3</v>
      </c>
      <c r="AE7" s="13">
        <v>1</v>
      </c>
      <c r="AF7" s="16">
        <v>0.33</v>
      </c>
      <c r="AG7" s="13">
        <v>0</v>
      </c>
      <c r="AH7" s="13">
        <v>11</v>
      </c>
      <c r="AI7" s="13">
        <v>3</v>
      </c>
      <c r="AJ7" s="13">
        <v>4</v>
      </c>
      <c r="AK7" s="13">
        <v>2</v>
      </c>
      <c r="AL7" s="16">
        <v>0.5</v>
      </c>
      <c r="AM7" s="13">
        <v>13</v>
      </c>
      <c r="AN7" s="13">
        <v>27</v>
      </c>
      <c r="AO7" s="13">
        <v>3</v>
      </c>
      <c r="AP7" s="13">
        <v>27</v>
      </c>
      <c r="AQ7" s="13">
        <v>8</v>
      </c>
      <c r="AR7" s="16">
        <v>0.3</v>
      </c>
      <c r="AS7" s="13">
        <v>10</v>
      </c>
      <c r="AT7" s="13">
        <v>18</v>
      </c>
      <c r="AU7" s="13">
        <v>4</v>
      </c>
      <c r="AV7" s="13">
        <v>14</v>
      </c>
      <c r="AW7" s="13">
        <v>8</v>
      </c>
      <c r="AX7" s="16">
        <v>0.56999999999999995</v>
      </c>
      <c r="AY7" s="13">
        <v>6</v>
      </c>
      <c r="AZ7" s="13">
        <v>15</v>
      </c>
      <c r="BA7" s="13">
        <v>4</v>
      </c>
      <c r="BB7" s="13">
        <v>10</v>
      </c>
      <c r="BC7" s="13">
        <v>4</v>
      </c>
      <c r="BD7" s="16">
        <v>0.4</v>
      </c>
      <c r="BE7" s="13">
        <v>6</v>
      </c>
      <c r="BF7" s="13">
        <v>13</v>
      </c>
      <c r="BG7" s="13">
        <v>5</v>
      </c>
      <c r="BH7" s="13">
        <v>10</v>
      </c>
      <c r="BI7" s="13">
        <v>6</v>
      </c>
      <c r="BJ7" s="16">
        <v>0.6</v>
      </c>
      <c r="BK7" s="13">
        <v>16</v>
      </c>
      <c r="BL7" s="13">
        <v>22</v>
      </c>
      <c r="BM7" s="13">
        <v>4</v>
      </c>
      <c r="BN7" s="13">
        <v>20</v>
      </c>
      <c r="BO7" s="13">
        <v>8</v>
      </c>
      <c r="BP7" s="16">
        <v>0.4</v>
      </c>
      <c r="BQ7" s="13">
        <v>16</v>
      </c>
      <c r="BR7" s="13">
        <v>25</v>
      </c>
      <c r="BS7" s="13">
        <v>6</v>
      </c>
      <c r="BT7" s="13">
        <v>20</v>
      </c>
      <c r="BU7" s="13">
        <v>11</v>
      </c>
      <c r="BV7" s="16">
        <v>0.55000000000000004</v>
      </c>
      <c r="BW7" t="s">
        <v>526</v>
      </c>
      <c r="BX7" t="s">
        <v>520</v>
      </c>
      <c r="BY7" t="str">
        <f t="shared" si="0"/>
        <v>Proportion of CLTI treated within 5 days England</v>
      </c>
      <c r="BZ7" s="4">
        <v>0.56897054534849811</v>
      </c>
      <c r="CA7" s="4">
        <v>0.52658569500674768</v>
      </c>
      <c r="CB7" s="4">
        <v>0.50914298303591099</v>
      </c>
    </row>
    <row r="8" spans="1:80" x14ac:dyDescent="0.25">
      <c r="A8" s="15" t="s">
        <v>30</v>
      </c>
      <c r="B8" s="15" t="s">
        <v>29</v>
      </c>
      <c r="C8" s="13">
        <v>3</v>
      </c>
      <c r="D8" s="13">
        <v>22</v>
      </c>
      <c r="E8" s="13">
        <v>4</v>
      </c>
      <c r="F8" s="13">
        <v>5</v>
      </c>
      <c r="G8" s="13">
        <v>2</v>
      </c>
      <c r="H8" s="16">
        <v>0.4</v>
      </c>
      <c r="I8" s="13">
        <v>7</v>
      </c>
      <c r="J8" s="13">
        <v>25</v>
      </c>
      <c r="K8" s="13">
        <v>5</v>
      </c>
      <c r="L8" s="13">
        <v>8</v>
      </c>
      <c r="M8" s="13">
        <v>4</v>
      </c>
      <c r="N8" s="16">
        <v>0.5</v>
      </c>
      <c r="O8" s="13">
        <v>4</v>
      </c>
      <c r="P8" s="13">
        <v>20</v>
      </c>
      <c r="Q8" s="13">
        <v>4</v>
      </c>
      <c r="R8" s="13">
        <v>7</v>
      </c>
      <c r="S8" s="13">
        <v>6</v>
      </c>
      <c r="T8" s="16">
        <v>0.86</v>
      </c>
      <c r="U8" s="13">
        <v>3</v>
      </c>
      <c r="V8" s="13">
        <v>32</v>
      </c>
      <c r="W8" s="13">
        <v>10</v>
      </c>
      <c r="X8" s="13">
        <v>9</v>
      </c>
      <c r="Y8" s="13">
        <v>5</v>
      </c>
      <c r="Z8" s="16">
        <v>0.56000000000000005</v>
      </c>
      <c r="AA8" s="13">
        <v>8</v>
      </c>
      <c r="AB8" s="13">
        <v>27</v>
      </c>
      <c r="AC8" s="13">
        <v>8</v>
      </c>
      <c r="AD8" s="13">
        <v>8</v>
      </c>
      <c r="AE8" s="13">
        <v>4</v>
      </c>
      <c r="AF8" s="16">
        <v>0.5</v>
      </c>
      <c r="AG8" s="13">
        <v>2</v>
      </c>
      <c r="AH8" s="13">
        <v>30</v>
      </c>
      <c r="AI8" s="13">
        <v>8</v>
      </c>
      <c r="AJ8" s="13">
        <v>10</v>
      </c>
      <c r="AK8" s="13">
        <v>4</v>
      </c>
      <c r="AL8" s="16">
        <v>0.4</v>
      </c>
      <c r="AM8" s="13">
        <v>8</v>
      </c>
      <c r="AN8" s="13">
        <v>34</v>
      </c>
      <c r="AO8" s="13">
        <v>8</v>
      </c>
      <c r="AP8" s="13">
        <v>18</v>
      </c>
      <c r="AQ8" s="13">
        <v>7</v>
      </c>
      <c r="AR8" s="16">
        <v>0.39</v>
      </c>
      <c r="AS8" s="13">
        <v>26</v>
      </c>
      <c r="AT8" s="13">
        <v>23</v>
      </c>
      <c r="AU8" s="13">
        <v>14</v>
      </c>
      <c r="AV8" s="13">
        <v>10</v>
      </c>
      <c r="AW8" s="13">
        <v>7</v>
      </c>
      <c r="AX8" s="16">
        <v>0.7</v>
      </c>
      <c r="AY8" s="13">
        <v>8</v>
      </c>
      <c r="AZ8" s="13">
        <v>24</v>
      </c>
      <c r="BA8" s="13">
        <v>9</v>
      </c>
      <c r="BB8" s="13">
        <v>12</v>
      </c>
      <c r="BC8" s="13">
        <v>6</v>
      </c>
      <c r="BD8" s="16">
        <v>0.5</v>
      </c>
      <c r="BE8" s="13">
        <v>21</v>
      </c>
      <c r="BF8" s="13">
        <v>31</v>
      </c>
      <c r="BG8" s="13">
        <v>12</v>
      </c>
      <c r="BH8" s="13">
        <v>17</v>
      </c>
      <c r="BI8" s="13">
        <v>11</v>
      </c>
      <c r="BJ8" s="16">
        <v>0.65</v>
      </c>
      <c r="BK8" s="13">
        <v>45</v>
      </c>
      <c r="BL8" s="13">
        <v>28</v>
      </c>
      <c r="BM8" s="13">
        <v>15</v>
      </c>
      <c r="BN8" s="13">
        <v>16</v>
      </c>
      <c r="BO8" s="13">
        <v>8</v>
      </c>
      <c r="BP8" s="16">
        <v>0.5</v>
      </c>
      <c r="BQ8" s="13">
        <v>41</v>
      </c>
      <c r="BR8" s="13">
        <v>45</v>
      </c>
      <c r="BS8" s="13">
        <v>23</v>
      </c>
      <c r="BT8" s="13">
        <v>29</v>
      </c>
      <c r="BU8" s="13">
        <v>17</v>
      </c>
      <c r="BV8" s="16">
        <v>0.59</v>
      </c>
      <c r="BW8" t="s">
        <v>526</v>
      </c>
      <c r="BX8" t="s">
        <v>520</v>
      </c>
      <c r="BY8" t="str">
        <f t="shared" si="0"/>
        <v>Proportion of CLTI treated within 5 days England</v>
      </c>
      <c r="BZ8" s="4">
        <v>0.56897054534849811</v>
      </c>
      <c r="CA8" s="4">
        <v>0.52658569500674768</v>
      </c>
      <c r="CB8" s="4">
        <v>0.50914298303591099</v>
      </c>
    </row>
    <row r="9" spans="1:80" x14ac:dyDescent="0.25">
      <c r="A9" s="15" t="s">
        <v>4</v>
      </c>
      <c r="B9" s="15" t="s">
        <v>3</v>
      </c>
      <c r="C9" s="13">
        <v>6</v>
      </c>
      <c r="D9" s="13">
        <v>19</v>
      </c>
      <c r="E9" s="13">
        <v>0</v>
      </c>
      <c r="F9" s="13">
        <v>8</v>
      </c>
      <c r="G9" s="13">
        <v>6</v>
      </c>
      <c r="H9" s="16">
        <v>0.75</v>
      </c>
      <c r="I9" s="13">
        <v>10</v>
      </c>
      <c r="J9" s="13">
        <v>15</v>
      </c>
      <c r="K9" s="13">
        <v>4</v>
      </c>
      <c r="L9" s="13">
        <v>15</v>
      </c>
      <c r="M9" s="13">
        <v>9</v>
      </c>
      <c r="N9" s="16">
        <v>0.6</v>
      </c>
      <c r="O9" s="13">
        <v>13</v>
      </c>
      <c r="P9" s="13">
        <v>8</v>
      </c>
      <c r="Q9" s="13">
        <v>0</v>
      </c>
      <c r="R9" s="13">
        <v>13</v>
      </c>
      <c r="S9" s="13">
        <v>4</v>
      </c>
      <c r="T9" s="16">
        <v>0.31</v>
      </c>
      <c r="U9" s="13">
        <v>15</v>
      </c>
      <c r="V9" s="13">
        <v>19</v>
      </c>
      <c r="W9" s="13">
        <v>2</v>
      </c>
      <c r="X9" s="13">
        <v>17</v>
      </c>
      <c r="Y9" s="13">
        <v>3</v>
      </c>
      <c r="Z9" s="16">
        <v>0.18</v>
      </c>
      <c r="AA9" s="13">
        <v>17</v>
      </c>
      <c r="AB9" s="13">
        <v>16</v>
      </c>
      <c r="AC9" s="13">
        <v>2</v>
      </c>
      <c r="AD9" s="13">
        <v>9</v>
      </c>
      <c r="AE9" s="13">
        <v>3</v>
      </c>
      <c r="AF9" s="16">
        <v>0.33</v>
      </c>
      <c r="AG9" s="13">
        <v>20</v>
      </c>
      <c r="AH9" s="13">
        <v>19</v>
      </c>
      <c r="AI9" s="13">
        <v>1</v>
      </c>
      <c r="AJ9" s="13">
        <v>13</v>
      </c>
      <c r="AK9" s="13">
        <v>4</v>
      </c>
      <c r="AL9" s="16">
        <v>0.31</v>
      </c>
      <c r="AM9" s="13">
        <v>21</v>
      </c>
      <c r="AN9" s="13">
        <v>21</v>
      </c>
      <c r="AO9" s="13">
        <v>4</v>
      </c>
      <c r="AP9" s="13">
        <v>21</v>
      </c>
      <c r="AQ9" s="13">
        <v>12</v>
      </c>
      <c r="AR9" s="16">
        <v>0.56999999999999995</v>
      </c>
      <c r="AS9" s="13">
        <v>23</v>
      </c>
      <c r="AT9" s="13">
        <v>27</v>
      </c>
      <c r="AU9" s="13">
        <v>2</v>
      </c>
      <c r="AV9" s="13">
        <v>16</v>
      </c>
      <c r="AW9" s="13">
        <v>11</v>
      </c>
      <c r="AX9" s="16">
        <v>0.69</v>
      </c>
      <c r="AY9" s="13">
        <v>32</v>
      </c>
      <c r="AZ9" s="13">
        <v>23</v>
      </c>
      <c r="BA9" s="13">
        <v>7</v>
      </c>
      <c r="BB9" s="13">
        <v>23</v>
      </c>
      <c r="BC9" s="13">
        <v>12</v>
      </c>
      <c r="BD9" s="16">
        <v>0.52</v>
      </c>
      <c r="BE9" s="13">
        <v>46</v>
      </c>
      <c r="BF9" s="13">
        <v>35</v>
      </c>
      <c r="BG9" s="13">
        <v>12</v>
      </c>
      <c r="BH9" s="13">
        <v>53</v>
      </c>
      <c r="BI9" s="13">
        <v>24</v>
      </c>
      <c r="BJ9" s="16">
        <v>0.45</v>
      </c>
      <c r="BK9" s="13">
        <v>44</v>
      </c>
      <c r="BL9" s="13">
        <v>51</v>
      </c>
      <c r="BM9" s="13">
        <v>9</v>
      </c>
      <c r="BN9" s="13">
        <v>45</v>
      </c>
      <c r="BO9" s="13">
        <v>19</v>
      </c>
      <c r="BP9" s="16">
        <v>0.42</v>
      </c>
      <c r="BQ9" s="13">
        <v>59</v>
      </c>
      <c r="BR9" s="13">
        <v>43</v>
      </c>
      <c r="BS9" s="13">
        <v>11</v>
      </c>
      <c r="BT9" s="13">
        <v>47</v>
      </c>
      <c r="BU9" s="13">
        <v>18</v>
      </c>
      <c r="BV9" s="16">
        <v>0.38</v>
      </c>
      <c r="BW9" t="s">
        <v>527</v>
      </c>
      <c r="BX9" t="s">
        <v>520</v>
      </c>
      <c r="BY9" t="str">
        <f t="shared" si="0"/>
        <v>Proportion of CLTI treated within 5 days Wales</v>
      </c>
      <c r="BZ9" s="4">
        <v>0.44727272727272727</v>
      </c>
      <c r="CA9" s="4">
        <v>0.41212121212121211</v>
      </c>
      <c r="CB9" s="4">
        <v>0.43224299065420563</v>
      </c>
    </row>
    <row r="10" spans="1:80" x14ac:dyDescent="0.25">
      <c r="A10" s="15" t="s">
        <v>45</v>
      </c>
      <c r="B10" s="15" t="s">
        <v>44</v>
      </c>
      <c r="C10" s="13">
        <v>31</v>
      </c>
      <c r="D10" s="13">
        <v>22</v>
      </c>
      <c r="E10" s="13">
        <v>4</v>
      </c>
      <c r="F10" s="13">
        <v>23</v>
      </c>
      <c r="G10" s="13">
        <v>14</v>
      </c>
      <c r="H10" s="16">
        <v>0.61</v>
      </c>
      <c r="I10" s="13">
        <v>10</v>
      </c>
      <c r="J10" s="13">
        <v>20</v>
      </c>
      <c r="K10" s="13">
        <v>6</v>
      </c>
      <c r="L10" s="13">
        <v>14</v>
      </c>
      <c r="M10" s="13">
        <v>10</v>
      </c>
      <c r="N10" s="16">
        <v>0.71</v>
      </c>
      <c r="O10" s="13">
        <v>19</v>
      </c>
      <c r="P10" s="13">
        <v>24</v>
      </c>
      <c r="Q10" s="13">
        <v>13</v>
      </c>
      <c r="R10" s="13">
        <v>27</v>
      </c>
      <c r="S10" s="13">
        <v>15</v>
      </c>
      <c r="T10" s="16">
        <v>0.56000000000000005</v>
      </c>
      <c r="U10" s="13">
        <v>41</v>
      </c>
      <c r="V10" s="13">
        <v>33</v>
      </c>
      <c r="W10" s="13">
        <v>15</v>
      </c>
      <c r="X10" s="13">
        <v>25</v>
      </c>
      <c r="Y10" s="13">
        <v>16</v>
      </c>
      <c r="Z10" s="16">
        <v>0.64</v>
      </c>
      <c r="AA10" s="13">
        <v>6</v>
      </c>
      <c r="AB10" s="13">
        <v>25</v>
      </c>
      <c r="AC10" s="13">
        <v>9</v>
      </c>
      <c r="AD10" s="13">
        <v>13</v>
      </c>
      <c r="AE10" s="13">
        <v>7</v>
      </c>
      <c r="AF10" s="16">
        <v>0.54</v>
      </c>
      <c r="AG10" s="13">
        <v>0</v>
      </c>
      <c r="AH10" s="13">
        <v>20</v>
      </c>
      <c r="AI10" s="13">
        <v>8</v>
      </c>
      <c r="AJ10" s="13">
        <v>9</v>
      </c>
      <c r="AK10" s="13">
        <v>4</v>
      </c>
      <c r="AL10" s="16">
        <v>0.44</v>
      </c>
      <c r="AM10" s="13">
        <v>50</v>
      </c>
      <c r="AN10" s="13">
        <v>30</v>
      </c>
      <c r="AO10" s="13">
        <v>8</v>
      </c>
      <c r="AP10" s="13">
        <v>24</v>
      </c>
      <c r="AQ10" s="13">
        <v>16</v>
      </c>
      <c r="AR10" s="16">
        <v>0.67</v>
      </c>
      <c r="AS10" s="13">
        <v>38</v>
      </c>
      <c r="AT10" s="13">
        <v>40</v>
      </c>
      <c r="AU10" s="13">
        <v>5</v>
      </c>
      <c r="AV10" s="13">
        <v>31</v>
      </c>
      <c r="AW10" s="13">
        <v>10</v>
      </c>
      <c r="AX10" s="16">
        <v>0.32</v>
      </c>
      <c r="AY10" s="13">
        <v>48</v>
      </c>
      <c r="AZ10" s="13">
        <v>13</v>
      </c>
      <c r="BA10" s="13">
        <v>4</v>
      </c>
      <c r="BB10" s="13">
        <v>15</v>
      </c>
      <c r="BC10" s="13">
        <v>7</v>
      </c>
      <c r="BD10" s="16">
        <v>0.47</v>
      </c>
      <c r="BE10" s="13">
        <v>46</v>
      </c>
      <c r="BF10" s="13">
        <v>31</v>
      </c>
      <c r="BG10" s="13">
        <v>13</v>
      </c>
      <c r="BH10" s="13">
        <v>22</v>
      </c>
      <c r="BI10" s="13">
        <v>11</v>
      </c>
      <c r="BJ10" s="16">
        <v>0.5</v>
      </c>
      <c r="BK10" s="13">
        <v>58</v>
      </c>
      <c r="BL10" s="13">
        <v>29</v>
      </c>
      <c r="BM10" s="13">
        <v>14</v>
      </c>
      <c r="BN10" s="13">
        <v>41</v>
      </c>
      <c r="BO10" s="13">
        <v>20</v>
      </c>
      <c r="BP10" s="16">
        <v>0.49</v>
      </c>
      <c r="BQ10" s="13">
        <v>61</v>
      </c>
      <c r="BR10" s="13">
        <v>48</v>
      </c>
      <c r="BS10" s="13">
        <v>13</v>
      </c>
      <c r="BT10" s="13">
        <v>43</v>
      </c>
      <c r="BU10" s="13">
        <v>23</v>
      </c>
      <c r="BV10" s="16">
        <v>0.53</v>
      </c>
      <c r="BW10" t="s">
        <v>526</v>
      </c>
      <c r="BX10" t="s">
        <v>520</v>
      </c>
      <c r="BY10" t="str">
        <f t="shared" si="0"/>
        <v>Proportion of CLTI treated within 5 days England</v>
      </c>
      <c r="BZ10" s="4">
        <v>0.56897054534849811</v>
      </c>
      <c r="CA10" s="4">
        <v>0.52658569500674768</v>
      </c>
      <c r="CB10" s="4">
        <v>0.50914298303591099</v>
      </c>
    </row>
    <row r="11" spans="1:80" x14ac:dyDescent="0.25">
      <c r="A11" s="15" t="s">
        <v>128</v>
      </c>
      <c r="B11" s="15" t="s">
        <v>57</v>
      </c>
      <c r="C11" s="13">
        <v>0</v>
      </c>
      <c r="D11" s="13">
        <v>4</v>
      </c>
      <c r="E11" s="13">
        <v>3</v>
      </c>
      <c r="F11" s="13">
        <v>3</v>
      </c>
      <c r="G11" s="13">
        <v>1</v>
      </c>
      <c r="H11" s="16">
        <v>0.33</v>
      </c>
      <c r="I11" s="13">
        <v>0</v>
      </c>
      <c r="J11" s="13">
        <v>9</v>
      </c>
      <c r="K11" s="13">
        <v>5</v>
      </c>
      <c r="L11" s="13">
        <v>3</v>
      </c>
      <c r="M11" s="13">
        <v>2</v>
      </c>
      <c r="N11" s="16">
        <v>0.67</v>
      </c>
      <c r="O11" s="13">
        <v>0</v>
      </c>
      <c r="P11" s="13">
        <v>2</v>
      </c>
      <c r="Q11" s="13">
        <v>1</v>
      </c>
      <c r="R11" s="13">
        <v>2</v>
      </c>
      <c r="S11" s="13">
        <v>1</v>
      </c>
      <c r="T11" s="16">
        <v>0.5</v>
      </c>
      <c r="U11" s="13">
        <v>0</v>
      </c>
      <c r="V11" s="13">
        <v>2</v>
      </c>
      <c r="W11" s="13">
        <v>1</v>
      </c>
      <c r="X11" s="13">
        <v>2</v>
      </c>
      <c r="Y11" s="13">
        <v>0</v>
      </c>
      <c r="Z11" s="16">
        <v>0</v>
      </c>
      <c r="AA11" s="13">
        <v>0</v>
      </c>
      <c r="AB11" s="13">
        <v>4</v>
      </c>
      <c r="AC11" s="13">
        <v>2</v>
      </c>
      <c r="AD11" s="13">
        <v>0</v>
      </c>
      <c r="AE11" s="13">
        <v>0</v>
      </c>
      <c r="AF11" s="16" t="s">
        <v>122</v>
      </c>
      <c r="AG11" s="13">
        <v>0</v>
      </c>
      <c r="AH11" s="13">
        <v>2</v>
      </c>
      <c r="AI11" s="13">
        <v>2</v>
      </c>
      <c r="AJ11" s="13">
        <v>2</v>
      </c>
      <c r="AK11" s="13">
        <v>0</v>
      </c>
      <c r="AL11" s="16">
        <v>0</v>
      </c>
      <c r="AM11" s="13">
        <v>0</v>
      </c>
      <c r="AN11" s="13">
        <v>2</v>
      </c>
      <c r="AO11" s="13">
        <v>1</v>
      </c>
      <c r="AP11" s="13">
        <v>1</v>
      </c>
      <c r="AQ11" s="13">
        <v>1</v>
      </c>
      <c r="AR11" s="16">
        <v>1</v>
      </c>
      <c r="AS11" s="13">
        <v>0</v>
      </c>
      <c r="AT11" s="13">
        <v>4</v>
      </c>
      <c r="AU11" s="13">
        <v>0</v>
      </c>
      <c r="AV11" s="13">
        <v>3</v>
      </c>
      <c r="AW11" s="13">
        <v>2</v>
      </c>
      <c r="AX11" s="16">
        <v>0.67</v>
      </c>
      <c r="AY11" s="13">
        <v>0</v>
      </c>
      <c r="AZ11" s="13">
        <v>2</v>
      </c>
      <c r="BA11" s="13">
        <v>0</v>
      </c>
      <c r="BB11" s="13">
        <v>2</v>
      </c>
      <c r="BC11" s="13">
        <v>1</v>
      </c>
      <c r="BD11" s="16">
        <v>0.5</v>
      </c>
      <c r="BE11" s="13">
        <v>3</v>
      </c>
      <c r="BF11" s="13">
        <v>0</v>
      </c>
      <c r="BG11" s="13">
        <v>0</v>
      </c>
      <c r="BH11" s="13">
        <v>1</v>
      </c>
      <c r="BI11" s="13">
        <v>1</v>
      </c>
      <c r="BJ11" s="16">
        <v>1</v>
      </c>
      <c r="BK11" s="13">
        <v>12</v>
      </c>
      <c r="BL11" s="13">
        <v>4</v>
      </c>
      <c r="BM11" s="13">
        <v>3</v>
      </c>
      <c r="BN11" s="13">
        <v>8</v>
      </c>
      <c r="BO11" s="13">
        <v>3</v>
      </c>
      <c r="BP11" s="16">
        <v>0.38</v>
      </c>
      <c r="BQ11" s="13">
        <v>37</v>
      </c>
      <c r="BR11" s="13">
        <v>6</v>
      </c>
      <c r="BS11" s="13">
        <v>5</v>
      </c>
      <c r="BT11" s="13">
        <v>26</v>
      </c>
      <c r="BU11" s="13">
        <v>10</v>
      </c>
      <c r="BV11" s="16">
        <v>0.38</v>
      </c>
      <c r="BW11" t="s">
        <v>526</v>
      </c>
      <c r="BX11" t="s">
        <v>520</v>
      </c>
      <c r="BY11" t="str">
        <f t="shared" si="0"/>
        <v>Proportion of CLTI treated within 5 days England</v>
      </c>
      <c r="BZ11" s="4">
        <v>0.56897054534849811</v>
      </c>
      <c r="CA11" s="4">
        <v>0.52658569500674768</v>
      </c>
      <c r="CB11" s="4">
        <v>0.50914298303591099</v>
      </c>
    </row>
    <row r="12" spans="1:80" x14ac:dyDescent="0.25">
      <c r="A12" s="15" t="s">
        <v>89</v>
      </c>
      <c r="B12" s="15" t="s">
        <v>88</v>
      </c>
      <c r="C12" s="13">
        <v>0</v>
      </c>
      <c r="D12" s="13">
        <v>2</v>
      </c>
      <c r="E12" s="13">
        <v>1</v>
      </c>
      <c r="F12" s="13">
        <v>0</v>
      </c>
      <c r="G12" s="13">
        <v>0</v>
      </c>
      <c r="H12" s="16" t="s">
        <v>122</v>
      </c>
      <c r="I12" s="13">
        <v>2</v>
      </c>
      <c r="J12" s="13">
        <v>2</v>
      </c>
      <c r="K12" s="13">
        <v>0</v>
      </c>
      <c r="L12" s="13">
        <v>0</v>
      </c>
      <c r="M12" s="13">
        <v>0</v>
      </c>
      <c r="N12" s="16" t="s">
        <v>122</v>
      </c>
      <c r="O12" s="13">
        <v>9</v>
      </c>
      <c r="P12" s="13">
        <v>8</v>
      </c>
      <c r="Q12" s="13">
        <v>3</v>
      </c>
      <c r="R12" s="13">
        <v>7</v>
      </c>
      <c r="S12" s="13">
        <v>5</v>
      </c>
      <c r="T12" s="16">
        <v>0.71</v>
      </c>
      <c r="U12" s="13">
        <v>12</v>
      </c>
      <c r="V12" s="13">
        <v>7</v>
      </c>
      <c r="W12" s="13">
        <v>3</v>
      </c>
      <c r="X12" s="13">
        <v>6</v>
      </c>
      <c r="Y12" s="13">
        <v>6</v>
      </c>
      <c r="Z12" s="16">
        <v>1</v>
      </c>
      <c r="AA12" s="13">
        <v>8</v>
      </c>
      <c r="AB12" s="13">
        <v>5</v>
      </c>
      <c r="AC12" s="13">
        <v>3</v>
      </c>
      <c r="AD12" s="13">
        <v>3</v>
      </c>
      <c r="AE12" s="13">
        <v>3</v>
      </c>
      <c r="AF12" s="16">
        <v>1</v>
      </c>
      <c r="AG12" s="13">
        <v>3</v>
      </c>
      <c r="AH12" s="13">
        <v>2</v>
      </c>
      <c r="AI12" s="13">
        <v>10</v>
      </c>
      <c r="AJ12" s="13">
        <v>5</v>
      </c>
      <c r="AK12" s="13">
        <v>4</v>
      </c>
      <c r="AL12" s="16">
        <v>0.8</v>
      </c>
      <c r="AM12" s="13">
        <v>13</v>
      </c>
      <c r="AN12" s="13">
        <v>7</v>
      </c>
      <c r="AO12" s="13">
        <v>3</v>
      </c>
      <c r="AP12" s="13">
        <v>11</v>
      </c>
      <c r="AQ12" s="13">
        <v>6</v>
      </c>
      <c r="AR12" s="16">
        <v>0.55000000000000004</v>
      </c>
      <c r="AS12" s="13">
        <v>18</v>
      </c>
      <c r="AT12" s="13">
        <v>3</v>
      </c>
      <c r="AU12" s="13">
        <v>2</v>
      </c>
      <c r="AV12" s="13">
        <v>9</v>
      </c>
      <c r="AW12" s="13">
        <v>8</v>
      </c>
      <c r="AX12" s="16">
        <v>0.89</v>
      </c>
      <c r="AY12" s="13">
        <v>13</v>
      </c>
      <c r="AZ12" s="13">
        <v>7</v>
      </c>
      <c r="BA12" s="13">
        <v>4</v>
      </c>
      <c r="BB12" s="13">
        <v>7</v>
      </c>
      <c r="BC12" s="13">
        <v>6</v>
      </c>
      <c r="BD12" s="16">
        <v>0.86</v>
      </c>
      <c r="BE12" s="13">
        <v>16</v>
      </c>
      <c r="BF12" s="13">
        <v>1</v>
      </c>
      <c r="BG12" s="13">
        <v>2</v>
      </c>
      <c r="BH12" s="13">
        <v>6</v>
      </c>
      <c r="BI12" s="13">
        <v>5</v>
      </c>
      <c r="BJ12" s="16">
        <v>0.83</v>
      </c>
      <c r="BK12" s="13">
        <v>24</v>
      </c>
      <c r="BL12" s="13">
        <v>2</v>
      </c>
      <c r="BM12" s="13">
        <v>6</v>
      </c>
      <c r="BN12" s="13">
        <v>13</v>
      </c>
      <c r="BO12" s="13">
        <v>11</v>
      </c>
      <c r="BP12" s="16">
        <v>0.85</v>
      </c>
      <c r="BQ12" s="13">
        <v>13</v>
      </c>
      <c r="BR12" s="13">
        <v>1</v>
      </c>
      <c r="BS12" s="13">
        <v>3</v>
      </c>
      <c r="BT12" s="13">
        <v>9</v>
      </c>
      <c r="BU12" s="13">
        <v>6</v>
      </c>
      <c r="BV12" s="16">
        <v>0.67</v>
      </c>
      <c r="BW12" t="s">
        <v>526</v>
      </c>
      <c r="BX12" t="s">
        <v>520</v>
      </c>
      <c r="BY12" t="str">
        <f t="shared" si="0"/>
        <v>Proportion of CLTI treated within 5 days England</v>
      </c>
      <c r="BZ12" s="4">
        <v>0.56897054534849811</v>
      </c>
      <c r="CA12" s="4">
        <v>0.52658569500674768</v>
      </c>
      <c r="CB12" s="4">
        <v>0.50914298303591099</v>
      </c>
    </row>
    <row r="13" spans="1:80" x14ac:dyDescent="0.25">
      <c r="A13" s="15" t="s">
        <v>81</v>
      </c>
      <c r="B13" s="15" t="s">
        <v>80</v>
      </c>
      <c r="C13" s="13">
        <v>6</v>
      </c>
      <c r="D13" s="13">
        <v>2</v>
      </c>
      <c r="E13" s="13">
        <v>2</v>
      </c>
      <c r="F13" s="13">
        <v>3</v>
      </c>
      <c r="G13" s="13">
        <v>3</v>
      </c>
      <c r="H13" s="16">
        <v>1</v>
      </c>
      <c r="I13" s="13">
        <v>4</v>
      </c>
      <c r="J13" s="13">
        <v>2</v>
      </c>
      <c r="K13" s="13">
        <v>9</v>
      </c>
      <c r="L13" s="13">
        <v>5</v>
      </c>
      <c r="M13" s="13">
        <v>4</v>
      </c>
      <c r="N13" s="16">
        <v>0.8</v>
      </c>
      <c r="O13" s="13">
        <v>5</v>
      </c>
      <c r="P13" s="13">
        <v>4</v>
      </c>
      <c r="Q13" s="13">
        <v>7</v>
      </c>
      <c r="R13" s="13">
        <v>5</v>
      </c>
      <c r="S13" s="13">
        <v>4</v>
      </c>
      <c r="T13" s="16">
        <v>0.8</v>
      </c>
      <c r="U13" s="13">
        <v>11</v>
      </c>
      <c r="V13" s="13">
        <v>9</v>
      </c>
      <c r="W13" s="13">
        <v>7</v>
      </c>
      <c r="X13" s="13">
        <v>11</v>
      </c>
      <c r="Y13" s="13">
        <v>8</v>
      </c>
      <c r="Z13" s="16">
        <v>0.73</v>
      </c>
      <c r="AA13" s="13">
        <v>10</v>
      </c>
      <c r="AB13" s="13">
        <v>7</v>
      </c>
      <c r="AC13" s="13">
        <v>4</v>
      </c>
      <c r="AD13" s="13">
        <v>10</v>
      </c>
      <c r="AE13" s="13">
        <v>7</v>
      </c>
      <c r="AF13" s="16">
        <v>0.7</v>
      </c>
      <c r="AG13" s="13">
        <v>9</v>
      </c>
      <c r="AH13" s="13">
        <v>8</v>
      </c>
      <c r="AI13" s="13">
        <v>13</v>
      </c>
      <c r="AJ13" s="13">
        <v>5</v>
      </c>
      <c r="AK13" s="13">
        <v>2</v>
      </c>
      <c r="AL13" s="16">
        <v>0.4</v>
      </c>
      <c r="AM13" s="13">
        <v>6</v>
      </c>
      <c r="AN13" s="13">
        <v>4</v>
      </c>
      <c r="AO13" s="13">
        <v>9</v>
      </c>
      <c r="AP13" s="13">
        <v>3</v>
      </c>
      <c r="AQ13" s="13">
        <v>2</v>
      </c>
      <c r="AR13" s="16">
        <v>0.67</v>
      </c>
      <c r="AS13" s="13">
        <v>5</v>
      </c>
      <c r="AT13" s="13">
        <v>16</v>
      </c>
      <c r="AU13" s="13">
        <v>13</v>
      </c>
      <c r="AV13" s="13">
        <v>14</v>
      </c>
      <c r="AW13" s="13">
        <v>8</v>
      </c>
      <c r="AX13" s="16">
        <v>0.56999999999999995</v>
      </c>
      <c r="AY13" s="13">
        <v>1</v>
      </c>
      <c r="AZ13" s="13">
        <v>8</v>
      </c>
      <c r="BA13" s="13">
        <v>17</v>
      </c>
      <c r="BB13" s="13">
        <v>4</v>
      </c>
      <c r="BC13" s="13">
        <v>2</v>
      </c>
      <c r="BD13" s="16">
        <v>0.5</v>
      </c>
      <c r="BE13" s="13">
        <v>10</v>
      </c>
      <c r="BF13" s="13">
        <v>9</v>
      </c>
      <c r="BG13" s="13">
        <v>9</v>
      </c>
      <c r="BH13" s="13">
        <v>7</v>
      </c>
      <c r="BI13" s="13">
        <v>4</v>
      </c>
      <c r="BJ13" s="16">
        <v>0.56999999999999995</v>
      </c>
      <c r="BK13" s="13">
        <v>8</v>
      </c>
      <c r="BL13" s="13">
        <v>15</v>
      </c>
      <c r="BM13" s="13">
        <v>16</v>
      </c>
      <c r="BN13" s="13">
        <v>14</v>
      </c>
      <c r="BO13" s="13">
        <v>5</v>
      </c>
      <c r="BP13" s="16">
        <v>0.36</v>
      </c>
      <c r="BQ13" s="13">
        <v>12</v>
      </c>
      <c r="BR13" s="13">
        <v>5</v>
      </c>
      <c r="BS13" s="13">
        <v>23</v>
      </c>
      <c r="BT13" s="13">
        <v>14</v>
      </c>
      <c r="BU13" s="13">
        <v>9</v>
      </c>
      <c r="BV13" s="16">
        <v>0.64</v>
      </c>
      <c r="BW13" t="s">
        <v>526</v>
      </c>
      <c r="BX13" t="s">
        <v>520</v>
      </c>
      <c r="BY13" t="str">
        <f t="shared" si="0"/>
        <v>Proportion of CLTI treated within 5 days England</v>
      </c>
      <c r="BZ13" s="4">
        <v>0.56897054534849811</v>
      </c>
      <c r="CA13" s="4">
        <v>0.52658569500674768</v>
      </c>
      <c r="CB13" s="4">
        <v>0.50914298303591099</v>
      </c>
    </row>
    <row r="14" spans="1:80" x14ac:dyDescent="0.25">
      <c r="A14" s="15" t="s">
        <v>97</v>
      </c>
      <c r="B14" s="15" t="s">
        <v>96</v>
      </c>
      <c r="C14" s="13">
        <v>65</v>
      </c>
      <c r="D14" s="13">
        <v>22</v>
      </c>
      <c r="E14" s="13">
        <v>12</v>
      </c>
      <c r="F14" s="13">
        <v>17</v>
      </c>
      <c r="G14" s="13">
        <v>11</v>
      </c>
      <c r="H14" s="16">
        <v>0.65</v>
      </c>
      <c r="I14" s="13">
        <v>71</v>
      </c>
      <c r="J14" s="13">
        <v>21</v>
      </c>
      <c r="K14" s="13">
        <v>14</v>
      </c>
      <c r="L14" s="13">
        <v>23</v>
      </c>
      <c r="M14" s="13">
        <v>18</v>
      </c>
      <c r="N14" s="16">
        <v>0.78</v>
      </c>
      <c r="O14" s="13">
        <v>85</v>
      </c>
      <c r="P14" s="13">
        <v>34</v>
      </c>
      <c r="Q14" s="13">
        <v>16</v>
      </c>
      <c r="R14" s="13">
        <v>19</v>
      </c>
      <c r="S14" s="13">
        <v>14</v>
      </c>
      <c r="T14" s="16">
        <v>0.74</v>
      </c>
      <c r="U14" s="13">
        <v>72</v>
      </c>
      <c r="V14" s="13">
        <v>39</v>
      </c>
      <c r="W14" s="13">
        <v>28</v>
      </c>
      <c r="X14" s="13">
        <v>19</v>
      </c>
      <c r="Y14" s="13">
        <v>13</v>
      </c>
      <c r="Z14" s="16">
        <v>0.68</v>
      </c>
      <c r="AA14" s="13">
        <v>76</v>
      </c>
      <c r="AB14" s="13">
        <v>21</v>
      </c>
      <c r="AC14" s="13">
        <v>22</v>
      </c>
      <c r="AD14" s="13">
        <v>23</v>
      </c>
      <c r="AE14" s="13">
        <v>18</v>
      </c>
      <c r="AF14" s="16">
        <v>0.78</v>
      </c>
      <c r="AG14" s="13">
        <v>49</v>
      </c>
      <c r="AH14" s="13">
        <v>21</v>
      </c>
      <c r="AI14" s="13">
        <v>26</v>
      </c>
      <c r="AJ14" s="13">
        <v>12</v>
      </c>
      <c r="AK14" s="13">
        <v>7</v>
      </c>
      <c r="AL14" s="16">
        <v>0.57999999999999996</v>
      </c>
      <c r="AM14" s="13">
        <v>80</v>
      </c>
      <c r="AN14" s="13">
        <v>35</v>
      </c>
      <c r="AO14" s="13">
        <v>22</v>
      </c>
      <c r="AP14" s="13">
        <v>23</v>
      </c>
      <c r="AQ14" s="13">
        <v>16</v>
      </c>
      <c r="AR14" s="16">
        <v>0.7</v>
      </c>
      <c r="AS14" s="13">
        <v>53</v>
      </c>
      <c r="AT14" s="13">
        <v>18</v>
      </c>
      <c r="AU14" s="13">
        <v>22</v>
      </c>
      <c r="AV14" s="13">
        <v>20</v>
      </c>
      <c r="AW14" s="13">
        <v>13</v>
      </c>
      <c r="AX14" s="16">
        <v>0.65</v>
      </c>
      <c r="AY14" s="13">
        <v>65</v>
      </c>
      <c r="AZ14" s="13">
        <v>24</v>
      </c>
      <c r="BA14" s="13">
        <v>15</v>
      </c>
      <c r="BB14" s="13">
        <v>10</v>
      </c>
      <c r="BC14" s="13">
        <v>8</v>
      </c>
      <c r="BD14" s="16">
        <v>0.8</v>
      </c>
      <c r="BE14" s="13">
        <v>50</v>
      </c>
      <c r="BF14" s="13">
        <v>23</v>
      </c>
      <c r="BG14" s="13">
        <v>20</v>
      </c>
      <c r="BH14" s="13">
        <v>16</v>
      </c>
      <c r="BI14" s="13">
        <v>14</v>
      </c>
      <c r="BJ14" s="16">
        <v>0.88</v>
      </c>
      <c r="BK14" s="13">
        <v>57</v>
      </c>
      <c r="BL14" s="13">
        <v>33</v>
      </c>
      <c r="BM14" s="13">
        <v>19</v>
      </c>
      <c r="BN14" s="13">
        <v>23</v>
      </c>
      <c r="BO14" s="13">
        <v>14</v>
      </c>
      <c r="BP14" s="16">
        <v>0.61</v>
      </c>
      <c r="BQ14" s="13">
        <v>53</v>
      </c>
      <c r="BR14" s="13">
        <v>24</v>
      </c>
      <c r="BS14" s="13">
        <v>15</v>
      </c>
      <c r="BT14" s="13">
        <v>17</v>
      </c>
      <c r="BU14" s="13">
        <v>12</v>
      </c>
      <c r="BV14" s="16">
        <v>0.71</v>
      </c>
      <c r="BW14" t="s">
        <v>526</v>
      </c>
      <c r="BX14" t="s">
        <v>520</v>
      </c>
      <c r="BY14" t="str">
        <f t="shared" si="0"/>
        <v>Proportion of CLTI treated within 5 days England</v>
      </c>
      <c r="BZ14" s="4">
        <v>0.56897054534849811</v>
      </c>
      <c r="CA14" s="4">
        <v>0.52658569500674768</v>
      </c>
      <c r="CB14" s="4">
        <v>0.50914298303591099</v>
      </c>
    </row>
    <row r="15" spans="1:80" x14ac:dyDescent="0.25">
      <c r="A15" s="15" t="s">
        <v>121</v>
      </c>
      <c r="B15" s="15" t="s">
        <v>20</v>
      </c>
      <c r="C15" s="13">
        <v>6</v>
      </c>
      <c r="D15" s="13">
        <v>12</v>
      </c>
      <c r="E15" s="13">
        <v>7</v>
      </c>
      <c r="F15" s="13">
        <v>4</v>
      </c>
      <c r="G15" s="13">
        <v>2</v>
      </c>
      <c r="H15" s="16">
        <v>0.5</v>
      </c>
      <c r="I15" s="13">
        <v>1</v>
      </c>
      <c r="J15" s="13">
        <v>17</v>
      </c>
      <c r="K15" s="13">
        <v>7</v>
      </c>
      <c r="L15" s="13">
        <v>8</v>
      </c>
      <c r="M15" s="13">
        <v>1</v>
      </c>
      <c r="N15" s="16">
        <v>0.13</v>
      </c>
      <c r="O15" s="13">
        <v>5</v>
      </c>
      <c r="P15" s="13">
        <v>14</v>
      </c>
      <c r="Q15" s="13">
        <v>10</v>
      </c>
      <c r="R15" s="13">
        <v>10</v>
      </c>
      <c r="S15" s="13">
        <v>6</v>
      </c>
      <c r="T15" s="16">
        <v>0.6</v>
      </c>
      <c r="U15" s="13">
        <v>35</v>
      </c>
      <c r="V15" s="13">
        <v>12</v>
      </c>
      <c r="W15" s="13">
        <v>10</v>
      </c>
      <c r="X15" s="13">
        <v>11</v>
      </c>
      <c r="Y15" s="13">
        <v>5</v>
      </c>
      <c r="Z15" s="16">
        <v>0.45</v>
      </c>
      <c r="AA15" s="13">
        <v>25</v>
      </c>
      <c r="AB15" s="13">
        <v>9</v>
      </c>
      <c r="AC15" s="13">
        <v>13</v>
      </c>
      <c r="AD15" s="13">
        <v>12</v>
      </c>
      <c r="AE15" s="13">
        <v>5</v>
      </c>
      <c r="AF15" s="16">
        <v>0.42</v>
      </c>
      <c r="AG15" s="13">
        <v>38</v>
      </c>
      <c r="AH15" s="13">
        <v>6</v>
      </c>
      <c r="AI15" s="13">
        <v>15</v>
      </c>
      <c r="AJ15" s="13">
        <v>17</v>
      </c>
      <c r="AK15" s="13">
        <v>11</v>
      </c>
      <c r="AL15" s="16">
        <v>0.65</v>
      </c>
      <c r="AM15" s="13">
        <v>67</v>
      </c>
      <c r="AN15" s="13">
        <v>15</v>
      </c>
      <c r="AO15" s="13">
        <v>6</v>
      </c>
      <c r="AP15" s="13">
        <v>18</v>
      </c>
      <c r="AQ15" s="13">
        <v>10</v>
      </c>
      <c r="AR15" s="16">
        <v>0.56000000000000005</v>
      </c>
      <c r="AS15" s="13">
        <v>85</v>
      </c>
      <c r="AT15" s="13">
        <v>8</v>
      </c>
      <c r="AU15" s="13">
        <v>15</v>
      </c>
      <c r="AV15" s="13">
        <v>13</v>
      </c>
      <c r="AW15" s="13">
        <v>3</v>
      </c>
      <c r="AX15" s="16">
        <v>0.23</v>
      </c>
      <c r="AY15" s="13">
        <v>61</v>
      </c>
      <c r="AZ15" s="13">
        <v>7</v>
      </c>
      <c r="BA15" s="13">
        <v>10</v>
      </c>
      <c r="BB15" s="13">
        <v>10</v>
      </c>
      <c r="BC15" s="13">
        <v>5</v>
      </c>
      <c r="BD15" s="16">
        <v>0.5</v>
      </c>
      <c r="BE15" s="13">
        <v>97</v>
      </c>
      <c r="BF15" s="13">
        <v>16</v>
      </c>
      <c r="BG15" s="13">
        <v>17</v>
      </c>
      <c r="BH15" s="13">
        <v>29</v>
      </c>
      <c r="BI15" s="13">
        <v>21</v>
      </c>
      <c r="BJ15" s="16">
        <v>0.72</v>
      </c>
      <c r="BK15" s="13">
        <v>83</v>
      </c>
      <c r="BL15" s="13">
        <v>19</v>
      </c>
      <c r="BM15" s="13">
        <v>17</v>
      </c>
      <c r="BN15" s="13">
        <v>29</v>
      </c>
      <c r="BO15" s="13">
        <v>19</v>
      </c>
      <c r="BP15" s="16">
        <v>0.66</v>
      </c>
      <c r="BQ15" s="13">
        <v>83</v>
      </c>
      <c r="BR15" s="13">
        <v>18</v>
      </c>
      <c r="BS15" s="13">
        <v>18</v>
      </c>
      <c r="BT15" s="13">
        <v>24</v>
      </c>
      <c r="BU15" s="13">
        <v>14</v>
      </c>
      <c r="BV15" s="16">
        <v>0.57999999999999996</v>
      </c>
      <c r="BW15" t="s">
        <v>526</v>
      </c>
      <c r="BX15" t="s">
        <v>520</v>
      </c>
      <c r="BY15" t="str">
        <f t="shared" si="0"/>
        <v>Proportion of CLTI treated within 5 days England</v>
      </c>
      <c r="BZ15" s="4">
        <v>0.56897054534849811</v>
      </c>
      <c r="CA15" s="4">
        <v>0.52658569500674768</v>
      </c>
      <c r="CB15" s="4">
        <v>0.50914298303591099</v>
      </c>
    </row>
    <row r="16" spans="1:80" x14ac:dyDescent="0.25">
      <c r="A16" s="15" t="s">
        <v>22</v>
      </c>
      <c r="B16" s="15" t="s">
        <v>21</v>
      </c>
      <c r="C16" s="13">
        <v>29</v>
      </c>
      <c r="D16" s="13">
        <v>44</v>
      </c>
      <c r="E16" s="13">
        <v>6</v>
      </c>
      <c r="F16" s="13">
        <v>30</v>
      </c>
      <c r="G16" s="13">
        <v>19</v>
      </c>
      <c r="H16" s="16">
        <v>0.63</v>
      </c>
      <c r="I16" s="13">
        <v>34</v>
      </c>
      <c r="J16" s="13">
        <v>29</v>
      </c>
      <c r="K16" s="13">
        <v>10</v>
      </c>
      <c r="L16" s="13">
        <v>28</v>
      </c>
      <c r="M16" s="13">
        <v>18</v>
      </c>
      <c r="N16" s="16">
        <v>0.64</v>
      </c>
      <c r="O16" s="13">
        <v>1</v>
      </c>
      <c r="P16" s="13">
        <v>14</v>
      </c>
      <c r="Q16" s="13">
        <v>4</v>
      </c>
      <c r="R16" s="13">
        <v>9</v>
      </c>
      <c r="S16" s="13">
        <v>5</v>
      </c>
      <c r="T16" s="16">
        <v>0.56000000000000005</v>
      </c>
      <c r="U16" s="13">
        <v>0</v>
      </c>
      <c r="V16" s="13">
        <v>11</v>
      </c>
      <c r="W16" s="13">
        <v>7</v>
      </c>
      <c r="X16" s="13">
        <v>4</v>
      </c>
      <c r="Y16" s="13">
        <v>4</v>
      </c>
      <c r="Z16" s="16">
        <v>1</v>
      </c>
      <c r="AA16" s="13">
        <v>0</v>
      </c>
      <c r="AB16" s="13">
        <v>20</v>
      </c>
      <c r="AC16" s="13">
        <v>9</v>
      </c>
      <c r="AD16" s="13">
        <v>6</v>
      </c>
      <c r="AE16" s="13">
        <v>4</v>
      </c>
      <c r="AF16" s="16">
        <v>0.67</v>
      </c>
      <c r="AG16" s="13">
        <v>1</v>
      </c>
      <c r="AH16" s="13">
        <v>10</v>
      </c>
      <c r="AI16" s="13">
        <v>14</v>
      </c>
      <c r="AJ16" s="13">
        <v>12</v>
      </c>
      <c r="AK16" s="13">
        <v>4</v>
      </c>
      <c r="AL16" s="16">
        <v>0.33</v>
      </c>
      <c r="AM16" s="13">
        <v>5</v>
      </c>
      <c r="AN16" s="13">
        <v>26</v>
      </c>
      <c r="AO16" s="13">
        <v>7</v>
      </c>
      <c r="AP16" s="13">
        <v>7</v>
      </c>
      <c r="AQ16" s="13">
        <v>2</v>
      </c>
      <c r="AR16" s="16">
        <v>0.28999999999999998</v>
      </c>
      <c r="AS16" s="13">
        <v>18</v>
      </c>
      <c r="AT16" s="13">
        <v>26</v>
      </c>
      <c r="AU16" s="13">
        <v>14</v>
      </c>
      <c r="AV16" s="13">
        <v>14</v>
      </c>
      <c r="AW16" s="13">
        <v>8</v>
      </c>
      <c r="AX16" s="16">
        <v>0.56999999999999995</v>
      </c>
      <c r="AY16" s="13">
        <v>35</v>
      </c>
      <c r="AZ16" s="13">
        <v>31</v>
      </c>
      <c r="BA16" s="13">
        <v>4</v>
      </c>
      <c r="BB16" s="13">
        <v>17</v>
      </c>
      <c r="BC16" s="13">
        <v>7</v>
      </c>
      <c r="BD16" s="16">
        <v>0.41</v>
      </c>
      <c r="BE16" s="13">
        <v>27</v>
      </c>
      <c r="BF16" s="13">
        <v>21</v>
      </c>
      <c r="BG16" s="13">
        <v>7</v>
      </c>
      <c r="BH16" s="13">
        <v>21</v>
      </c>
      <c r="BI16" s="13">
        <v>11</v>
      </c>
      <c r="BJ16" s="16">
        <v>0.52</v>
      </c>
      <c r="BK16" s="13">
        <v>35</v>
      </c>
      <c r="BL16" s="13">
        <v>32</v>
      </c>
      <c r="BM16" s="13">
        <v>7</v>
      </c>
      <c r="BN16" s="13">
        <v>25</v>
      </c>
      <c r="BO16" s="13">
        <v>16</v>
      </c>
      <c r="BP16" s="16">
        <v>0.64</v>
      </c>
      <c r="BQ16" s="13">
        <v>37</v>
      </c>
      <c r="BR16" s="13">
        <v>32</v>
      </c>
      <c r="BS16" s="13">
        <v>6</v>
      </c>
      <c r="BT16" s="13">
        <v>27</v>
      </c>
      <c r="BU16" s="13">
        <v>15</v>
      </c>
      <c r="BV16" s="16">
        <v>0.56000000000000005</v>
      </c>
      <c r="BW16" t="s">
        <v>526</v>
      </c>
      <c r="BX16" t="s">
        <v>520</v>
      </c>
      <c r="BY16" t="str">
        <f t="shared" si="0"/>
        <v>Proportion of CLTI treated within 5 days England</v>
      </c>
      <c r="BZ16" s="4">
        <v>0.56897054534849811</v>
      </c>
      <c r="CA16" s="4">
        <v>0.52658569500674768</v>
      </c>
      <c r="CB16" s="4">
        <v>0.50914298303591099</v>
      </c>
    </row>
    <row r="17" spans="1:80" x14ac:dyDescent="0.25">
      <c r="A17" s="15" t="s">
        <v>73</v>
      </c>
      <c r="B17" s="15" t="s">
        <v>72</v>
      </c>
      <c r="C17" s="13">
        <v>18</v>
      </c>
      <c r="D17" s="13">
        <v>16</v>
      </c>
      <c r="E17" s="13">
        <v>6</v>
      </c>
      <c r="F17" s="13">
        <v>12</v>
      </c>
      <c r="G17" s="13">
        <v>7</v>
      </c>
      <c r="H17" s="16">
        <v>0.57999999999999996</v>
      </c>
      <c r="I17" s="13">
        <v>23</v>
      </c>
      <c r="J17" s="13">
        <v>17</v>
      </c>
      <c r="K17" s="13">
        <v>5</v>
      </c>
      <c r="L17" s="13">
        <v>21</v>
      </c>
      <c r="M17" s="13">
        <v>15</v>
      </c>
      <c r="N17" s="16">
        <v>0.71</v>
      </c>
      <c r="O17" s="13">
        <v>24</v>
      </c>
      <c r="P17" s="13">
        <v>9</v>
      </c>
      <c r="Q17" s="13">
        <v>9</v>
      </c>
      <c r="R17" s="13">
        <v>11</v>
      </c>
      <c r="S17" s="13">
        <v>9</v>
      </c>
      <c r="T17" s="16">
        <v>0.82</v>
      </c>
      <c r="U17" s="13">
        <v>8</v>
      </c>
      <c r="V17" s="13">
        <v>14</v>
      </c>
      <c r="W17" s="13">
        <v>6</v>
      </c>
      <c r="X17" s="13">
        <v>10</v>
      </c>
      <c r="Y17" s="13">
        <v>6</v>
      </c>
      <c r="Z17" s="16">
        <v>0.6</v>
      </c>
      <c r="AA17" s="13">
        <v>3</v>
      </c>
      <c r="AB17" s="13">
        <v>18</v>
      </c>
      <c r="AC17" s="13">
        <v>7</v>
      </c>
      <c r="AD17" s="13">
        <v>6</v>
      </c>
      <c r="AE17" s="13">
        <v>5</v>
      </c>
      <c r="AF17" s="16">
        <v>0.83</v>
      </c>
      <c r="AG17" s="13">
        <v>2</v>
      </c>
      <c r="AH17" s="13">
        <v>19</v>
      </c>
      <c r="AI17" s="13">
        <v>6</v>
      </c>
      <c r="AJ17" s="13">
        <v>4</v>
      </c>
      <c r="AK17" s="13">
        <v>0</v>
      </c>
      <c r="AL17" s="16">
        <v>0</v>
      </c>
      <c r="AM17" s="13">
        <v>16</v>
      </c>
      <c r="AN17" s="13">
        <v>22</v>
      </c>
      <c r="AO17" s="13">
        <v>9</v>
      </c>
      <c r="AP17" s="13">
        <v>12</v>
      </c>
      <c r="AQ17" s="13">
        <v>11</v>
      </c>
      <c r="AR17" s="16">
        <v>0.92</v>
      </c>
      <c r="AS17" s="13">
        <v>15</v>
      </c>
      <c r="AT17" s="13">
        <v>12</v>
      </c>
      <c r="AU17" s="13">
        <v>9</v>
      </c>
      <c r="AV17" s="13">
        <v>16</v>
      </c>
      <c r="AW17" s="13">
        <v>6</v>
      </c>
      <c r="AX17" s="16">
        <v>0.38</v>
      </c>
      <c r="AY17" s="13">
        <v>18</v>
      </c>
      <c r="AZ17" s="13">
        <v>15</v>
      </c>
      <c r="BA17" s="13">
        <v>8</v>
      </c>
      <c r="BB17" s="13">
        <v>14</v>
      </c>
      <c r="BC17" s="13">
        <v>6</v>
      </c>
      <c r="BD17" s="16">
        <v>0.43</v>
      </c>
      <c r="BE17" s="13">
        <v>25</v>
      </c>
      <c r="BF17" s="13">
        <v>20</v>
      </c>
      <c r="BG17" s="13">
        <v>9</v>
      </c>
      <c r="BH17" s="13">
        <v>15</v>
      </c>
      <c r="BI17" s="13">
        <v>10</v>
      </c>
      <c r="BJ17" s="16">
        <v>0.67</v>
      </c>
      <c r="BK17" s="13">
        <v>48</v>
      </c>
      <c r="BL17" s="13">
        <v>20</v>
      </c>
      <c r="BM17" s="13">
        <v>8</v>
      </c>
      <c r="BN17" s="13">
        <v>19</v>
      </c>
      <c r="BO17" s="13">
        <v>13</v>
      </c>
      <c r="BP17" s="16">
        <v>0.68</v>
      </c>
      <c r="BQ17" s="13">
        <v>21</v>
      </c>
      <c r="BR17" s="13">
        <v>24</v>
      </c>
      <c r="BS17" s="13">
        <v>12</v>
      </c>
      <c r="BT17" s="13">
        <v>22</v>
      </c>
      <c r="BU17" s="13">
        <v>10</v>
      </c>
      <c r="BV17" s="16">
        <v>0.45</v>
      </c>
      <c r="BW17" t="s">
        <v>526</v>
      </c>
      <c r="BX17" t="s">
        <v>520</v>
      </c>
      <c r="BY17" t="str">
        <f t="shared" si="0"/>
        <v>Proportion of CLTI treated within 5 days England</v>
      </c>
      <c r="BZ17" s="4">
        <v>0.56897054534849811</v>
      </c>
      <c r="CA17" s="4">
        <v>0.52658569500674768</v>
      </c>
      <c r="CB17" s="4">
        <v>0.50914298303591099</v>
      </c>
    </row>
    <row r="18" spans="1:80" x14ac:dyDescent="0.25">
      <c r="A18" s="15" t="s">
        <v>39</v>
      </c>
      <c r="B18" s="15" t="s">
        <v>38</v>
      </c>
      <c r="C18" s="13">
        <v>25</v>
      </c>
      <c r="D18" s="13">
        <v>35</v>
      </c>
      <c r="E18" s="13">
        <v>2</v>
      </c>
      <c r="F18" s="13">
        <v>14</v>
      </c>
      <c r="G18" s="13">
        <v>7</v>
      </c>
      <c r="H18" s="16">
        <v>0.5</v>
      </c>
      <c r="I18" s="13">
        <v>29</v>
      </c>
      <c r="J18" s="13">
        <v>35</v>
      </c>
      <c r="K18" s="13">
        <v>2</v>
      </c>
      <c r="L18" s="13">
        <v>13</v>
      </c>
      <c r="M18" s="13">
        <v>8</v>
      </c>
      <c r="N18" s="16">
        <v>0.62</v>
      </c>
      <c r="O18" s="13">
        <v>65</v>
      </c>
      <c r="P18" s="13">
        <v>19</v>
      </c>
      <c r="Q18" s="13">
        <v>16</v>
      </c>
      <c r="R18" s="13">
        <v>30</v>
      </c>
      <c r="S18" s="13">
        <v>19</v>
      </c>
      <c r="T18" s="16">
        <v>0.63</v>
      </c>
      <c r="U18" s="13">
        <v>89</v>
      </c>
      <c r="V18" s="13">
        <v>18</v>
      </c>
      <c r="W18" s="13">
        <v>28</v>
      </c>
      <c r="X18" s="13">
        <v>17</v>
      </c>
      <c r="Y18" s="13">
        <v>7</v>
      </c>
      <c r="Z18" s="16">
        <v>0.41</v>
      </c>
      <c r="AA18" s="13">
        <v>95</v>
      </c>
      <c r="AB18" s="13">
        <v>17</v>
      </c>
      <c r="AC18" s="13">
        <v>24</v>
      </c>
      <c r="AD18" s="13">
        <v>47</v>
      </c>
      <c r="AE18" s="13">
        <v>18</v>
      </c>
      <c r="AF18" s="16">
        <v>0.38</v>
      </c>
      <c r="AG18" s="13">
        <v>96</v>
      </c>
      <c r="AH18" s="13">
        <v>21</v>
      </c>
      <c r="AI18" s="13">
        <v>20</v>
      </c>
      <c r="AJ18" s="13">
        <v>41</v>
      </c>
      <c r="AK18" s="13">
        <v>20</v>
      </c>
      <c r="AL18" s="16">
        <v>0.49</v>
      </c>
      <c r="AM18" s="13">
        <v>101</v>
      </c>
      <c r="AN18" s="13">
        <v>21</v>
      </c>
      <c r="AO18" s="13">
        <v>19</v>
      </c>
      <c r="AP18" s="13">
        <v>43</v>
      </c>
      <c r="AQ18" s="13">
        <v>17</v>
      </c>
      <c r="AR18" s="16">
        <v>0.4</v>
      </c>
      <c r="AS18" s="13">
        <v>105</v>
      </c>
      <c r="AT18" s="13">
        <v>16</v>
      </c>
      <c r="AU18" s="13">
        <v>25</v>
      </c>
      <c r="AV18" s="13">
        <v>65</v>
      </c>
      <c r="AW18" s="13">
        <v>14</v>
      </c>
      <c r="AX18" s="16">
        <v>0.22</v>
      </c>
      <c r="AY18" s="13">
        <v>86</v>
      </c>
      <c r="AZ18" s="13">
        <v>12</v>
      </c>
      <c r="BA18" s="13">
        <v>30</v>
      </c>
      <c r="BB18" s="13">
        <v>43</v>
      </c>
      <c r="BC18" s="13">
        <v>15</v>
      </c>
      <c r="BD18" s="16">
        <v>0.35</v>
      </c>
      <c r="BE18" s="13">
        <v>93</v>
      </c>
      <c r="BF18" s="13">
        <v>16</v>
      </c>
      <c r="BG18" s="13">
        <v>17</v>
      </c>
      <c r="BH18" s="13">
        <v>41</v>
      </c>
      <c r="BI18" s="13">
        <v>12</v>
      </c>
      <c r="BJ18" s="16">
        <v>0.28999999999999998</v>
      </c>
      <c r="BK18" s="13">
        <v>89</v>
      </c>
      <c r="BL18" s="13">
        <v>27</v>
      </c>
      <c r="BM18" s="13">
        <v>15</v>
      </c>
      <c r="BN18" s="13">
        <v>38</v>
      </c>
      <c r="BO18" s="13">
        <v>16</v>
      </c>
      <c r="BP18" s="16">
        <v>0.42</v>
      </c>
      <c r="BQ18" s="13">
        <v>88</v>
      </c>
      <c r="BR18" s="13">
        <v>19</v>
      </c>
      <c r="BS18" s="13">
        <v>21</v>
      </c>
      <c r="BT18" s="13">
        <v>32</v>
      </c>
      <c r="BU18" s="13">
        <v>10</v>
      </c>
      <c r="BV18" s="16">
        <v>0.31</v>
      </c>
      <c r="BW18" t="s">
        <v>526</v>
      </c>
      <c r="BX18" t="s">
        <v>520</v>
      </c>
      <c r="BY18" t="str">
        <f t="shared" si="0"/>
        <v>Proportion of CLTI treated within 5 days England</v>
      </c>
      <c r="BZ18" s="4">
        <v>0.56897054534849811</v>
      </c>
      <c r="CA18" s="4">
        <v>0.52658569500674768</v>
      </c>
      <c r="CB18" s="4">
        <v>0.50914298303591099</v>
      </c>
    </row>
    <row r="19" spans="1:80" x14ac:dyDescent="0.25">
      <c r="A19" s="15" t="s">
        <v>129</v>
      </c>
      <c r="B19" s="15" t="s">
        <v>82</v>
      </c>
      <c r="C19" s="13">
        <v>97</v>
      </c>
      <c r="D19" s="13">
        <v>19</v>
      </c>
      <c r="E19" s="13">
        <v>0</v>
      </c>
      <c r="F19" s="13">
        <v>26</v>
      </c>
      <c r="G19" s="13">
        <v>18</v>
      </c>
      <c r="H19" s="16">
        <v>0.69</v>
      </c>
      <c r="I19" s="13">
        <v>73</v>
      </c>
      <c r="J19" s="13">
        <v>22</v>
      </c>
      <c r="K19" s="13">
        <v>1</v>
      </c>
      <c r="L19" s="13">
        <v>25</v>
      </c>
      <c r="M19" s="13">
        <v>18</v>
      </c>
      <c r="N19" s="16">
        <v>0.72</v>
      </c>
      <c r="O19" s="13">
        <v>139</v>
      </c>
      <c r="P19" s="13">
        <v>21</v>
      </c>
      <c r="Q19" s="13">
        <v>0</v>
      </c>
      <c r="R19" s="13">
        <v>23</v>
      </c>
      <c r="S19" s="13">
        <v>15</v>
      </c>
      <c r="T19" s="16">
        <v>0.65</v>
      </c>
      <c r="U19" s="13">
        <v>70</v>
      </c>
      <c r="V19" s="13">
        <v>33</v>
      </c>
      <c r="W19" s="13">
        <v>1</v>
      </c>
      <c r="X19" s="13">
        <v>28</v>
      </c>
      <c r="Y19" s="13">
        <v>15</v>
      </c>
      <c r="Z19" s="16">
        <v>0.54</v>
      </c>
      <c r="AA19" s="13">
        <v>88</v>
      </c>
      <c r="AB19" s="13">
        <v>41</v>
      </c>
      <c r="AC19" s="13">
        <v>2</v>
      </c>
      <c r="AD19" s="13">
        <v>35</v>
      </c>
      <c r="AE19" s="13">
        <v>26</v>
      </c>
      <c r="AF19" s="16">
        <v>0.74</v>
      </c>
      <c r="AG19" s="13">
        <v>88</v>
      </c>
      <c r="AH19" s="13">
        <v>32</v>
      </c>
      <c r="AI19" s="13">
        <v>4</v>
      </c>
      <c r="AJ19" s="13">
        <v>19</v>
      </c>
      <c r="AK19" s="13">
        <v>11</v>
      </c>
      <c r="AL19" s="16">
        <v>0.57999999999999996</v>
      </c>
      <c r="AM19" s="13">
        <v>95</v>
      </c>
      <c r="AN19" s="13">
        <v>45</v>
      </c>
      <c r="AO19" s="13">
        <v>7</v>
      </c>
      <c r="AP19" s="13">
        <v>38</v>
      </c>
      <c r="AQ19" s="13">
        <v>25</v>
      </c>
      <c r="AR19" s="16">
        <v>0.66</v>
      </c>
      <c r="AS19" s="13">
        <v>77</v>
      </c>
      <c r="AT19" s="13">
        <v>31</v>
      </c>
      <c r="AU19" s="13">
        <v>4</v>
      </c>
      <c r="AV19" s="13">
        <v>27</v>
      </c>
      <c r="AW19" s="13">
        <v>16</v>
      </c>
      <c r="AX19" s="16">
        <v>0.59</v>
      </c>
      <c r="AY19" s="13">
        <v>120</v>
      </c>
      <c r="AZ19" s="13">
        <v>23</v>
      </c>
      <c r="BA19" s="13">
        <v>4</v>
      </c>
      <c r="BB19" s="13">
        <v>39</v>
      </c>
      <c r="BC19" s="13">
        <v>29</v>
      </c>
      <c r="BD19" s="16">
        <v>0.74</v>
      </c>
      <c r="BE19" s="13">
        <v>105</v>
      </c>
      <c r="BF19" s="13">
        <v>27</v>
      </c>
      <c r="BG19" s="13">
        <v>4</v>
      </c>
      <c r="BH19" s="13">
        <v>32</v>
      </c>
      <c r="BI19" s="13">
        <v>18</v>
      </c>
      <c r="BJ19" s="16">
        <v>0.56000000000000005</v>
      </c>
      <c r="BK19" s="13">
        <v>145</v>
      </c>
      <c r="BL19" s="13">
        <v>30</v>
      </c>
      <c r="BM19" s="13">
        <v>1</v>
      </c>
      <c r="BN19" s="13">
        <v>36</v>
      </c>
      <c r="BO19" s="13">
        <v>24</v>
      </c>
      <c r="BP19" s="16">
        <v>0.67</v>
      </c>
      <c r="BQ19" s="13">
        <v>118</v>
      </c>
      <c r="BR19" s="13">
        <v>26</v>
      </c>
      <c r="BS19" s="13">
        <v>6</v>
      </c>
      <c r="BT19" s="13">
        <v>30</v>
      </c>
      <c r="BU19" s="13">
        <v>21</v>
      </c>
      <c r="BV19" s="16">
        <v>0.7</v>
      </c>
      <c r="BW19" t="s">
        <v>526</v>
      </c>
      <c r="BX19" t="s">
        <v>520</v>
      </c>
      <c r="BY19" t="str">
        <f t="shared" si="0"/>
        <v>Proportion of CLTI treated within 5 days England</v>
      </c>
      <c r="BZ19" s="4">
        <v>0.56897054534849811</v>
      </c>
      <c r="CA19" s="4">
        <v>0.52658569500674768</v>
      </c>
      <c r="CB19" s="4">
        <v>0.50914298303591099</v>
      </c>
    </row>
    <row r="20" spans="1:80" x14ac:dyDescent="0.25">
      <c r="A20" s="15" t="s">
        <v>101</v>
      </c>
      <c r="B20" s="15" t="s">
        <v>100</v>
      </c>
      <c r="C20" s="13">
        <v>34</v>
      </c>
      <c r="D20" s="13">
        <v>23</v>
      </c>
      <c r="E20" s="13">
        <v>5</v>
      </c>
      <c r="F20" s="13">
        <v>22</v>
      </c>
      <c r="G20" s="13">
        <v>14</v>
      </c>
      <c r="H20" s="16">
        <v>0.64</v>
      </c>
      <c r="I20" s="13">
        <v>42</v>
      </c>
      <c r="J20" s="13">
        <v>18</v>
      </c>
      <c r="K20" s="13">
        <v>4</v>
      </c>
      <c r="L20" s="13">
        <v>16</v>
      </c>
      <c r="M20" s="13">
        <v>9</v>
      </c>
      <c r="N20" s="16">
        <v>0.56000000000000005</v>
      </c>
      <c r="O20" s="13">
        <v>49</v>
      </c>
      <c r="P20" s="13">
        <v>22</v>
      </c>
      <c r="Q20" s="13">
        <v>4</v>
      </c>
      <c r="R20" s="13">
        <v>23</v>
      </c>
      <c r="S20" s="13">
        <v>17</v>
      </c>
      <c r="T20" s="16">
        <v>0.74</v>
      </c>
      <c r="U20" s="13">
        <v>35</v>
      </c>
      <c r="V20" s="13">
        <v>36</v>
      </c>
      <c r="W20" s="13">
        <v>3</v>
      </c>
      <c r="X20" s="13">
        <v>19</v>
      </c>
      <c r="Y20" s="13">
        <v>10</v>
      </c>
      <c r="Z20" s="16">
        <v>0.53</v>
      </c>
      <c r="AA20" s="13">
        <v>52</v>
      </c>
      <c r="AB20" s="13">
        <v>23</v>
      </c>
      <c r="AC20" s="13">
        <v>4</v>
      </c>
      <c r="AD20" s="13">
        <v>19</v>
      </c>
      <c r="AE20" s="13">
        <v>9</v>
      </c>
      <c r="AF20" s="16">
        <v>0.47</v>
      </c>
      <c r="AG20" s="13">
        <v>47</v>
      </c>
      <c r="AH20" s="13">
        <v>29</v>
      </c>
      <c r="AI20" s="13">
        <v>2</v>
      </c>
      <c r="AJ20" s="13">
        <v>22</v>
      </c>
      <c r="AK20" s="13">
        <v>11</v>
      </c>
      <c r="AL20" s="16">
        <v>0.5</v>
      </c>
      <c r="AM20" s="13">
        <v>43</v>
      </c>
      <c r="AN20" s="13">
        <v>30</v>
      </c>
      <c r="AO20" s="13">
        <v>5</v>
      </c>
      <c r="AP20" s="13">
        <v>23</v>
      </c>
      <c r="AQ20" s="13">
        <v>7</v>
      </c>
      <c r="AR20" s="16">
        <v>0.3</v>
      </c>
      <c r="AS20" s="13">
        <v>67</v>
      </c>
      <c r="AT20" s="13">
        <v>21</v>
      </c>
      <c r="AU20" s="13">
        <v>5</v>
      </c>
      <c r="AV20" s="13">
        <v>20</v>
      </c>
      <c r="AW20" s="13">
        <v>10</v>
      </c>
      <c r="AX20" s="16">
        <v>0.5</v>
      </c>
      <c r="AY20" s="13">
        <v>58</v>
      </c>
      <c r="AZ20" s="13">
        <v>21</v>
      </c>
      <c r="BA20" s="13">
        <v>5</v>
      </c>
      <c r="BB20" s="13">
        <v>21</v>
      </c>
      <c r="BC20" s="13">
        <v>9</v>
      </c>
      <c r="BD20" s="16">
        <v>0.43</v>
      </c>
      <c r="BE20" s="13">
        <v>84</v>
      </c>
      <c r="BF20" s="13">
        <v>15</v>
      </c>
      <c r="BG20" s="13">
        <v>6</v>
      </c>
      <c r="BH20" s="13">
        <v>34</v>
      </c>
      <c r="BI20" s="13">
        <v>20</v>
      </c>
      <c r="BJ20" s="16">
        <v>0.59</v>
      </c>
      <c r="BK20" s="13">
        <v>71</v>
      </c>
      <c r="BL20" s="13">
        <v>32</v>
      </c>
      <c r="BM20" s="13">
        <v>9</v>
      </c>
      <c r="BN20" s="13">
        <v>41</v>
      </c>
      <c r="BO20" s="13">
        <v>21</v>
      </c>
      <c r="BP20" s="16">
        <v>0.51</v>
      </c>
      <c r="BQ20" s="13">
        <v>66</v>
      </c>
      <c r="BR20" s="13">
        <v>23</v>
      </c>
      <c r="BS20" s="13">
        <v>9</v>
      </c>
      <c r="BT20" s="13">
        <v>33</v>
      </c>
      <c r="BU20" s="13">
        <v>26</v>
      </c>
      <c r="BV20" s="16">
        <v>0.79</v>
      </c>
      <c r="BW20" t="s">
        <v>526</v>
      </c>
      <c r="BX20" t="s">
        <v>520</v>
      </c>
      <c r="BY20" t="str">
        <f t="shared" si="0"/>
        <v>Proportion of CLTI treated within 5 days England</v>
      </c>
      <c r="BZ20" s="4">
        <v>0.56897054534849811</v>
      </c>
      <c r="CA20" s="4">
        <v>0.52658569500674768</v>
      </c>
      <c r="CB20" s="4">
        <v>0.50914298303591099</v>
      </c>
    </row>
    <row r="21" spans="1:80" x14ac:dyDescent="0.25">
      <c r="A21" s="15" t="s">
        <v>47</v>
      </c>
      <c r="B21" s="15" t="s">
        <v>46</v>
      </c>
      <c r="C21" s="13">
        <v>14</v>
      </c>
      <c r="D21" s="13">
        <v>22</v>
      </c>
      <c r="E21" s="13">
        <v>1</v>
      </c>
      <c r="F21" s="13">
        <v>4</v>
      </c>
      <c r="G21" s="13">
        <v>2</v>
      </c>
      <c r="H21" s="16">
        <v>0.5</v>
      </c>
      <c r="I21" s="13">
        <v>16</v>
      </c>
      <c r="J21" s="13">
        <v>20</v>
      </c>
      <c r="K21" s="13">
        <v>5</v>
      </c>
      <c r="L21" s="13">
        <v>10</v>
      </c>
      <c r="M21" s="13">
        <v>1</v>
      </c>
      <c r="N21" s="16">
        <v>0.1</v>
      </c>
      <c r="O21" s="13">
        <v>13</v>
      </c>
      <c r="P21" s="13">
        <v>10</v>
      </c>
      <c r="Q21" s="13">
        <v>1</v>
      </c>
      <c r="R21" s="13">
        <v>6</v>
      </c>
      <c r="S21" s="13">
        <v>3</v>
      </c>
      <c r="T21" s="16">
        <v>0.5</v>
      </c>
      <c r="U21" s="13">
        <v>11</v>
      </c>
      <c r="V21" s="13">
        <v>24</v>
      </c>
      <c r="W21" s="13">
        <v>3</v>
      </c>
      <c r="X21" s="13">
        <v>5</v>
      </c>
      <c r="Y21" s="13">
        <v>3</v>
      </c>
      <c r="Z21" s="16">
        <v>0.6</v>
      </c>
      <c r="AA21" s="13">
        <v>5</v>
      </c>
      <c r="AB21" s="13">
        <v>18</v>
      </c>
      <c r="AC21" s="13">
        <v>5</v>
      </c>
      <c r="AD21" s="13">
        <v>0</v>
      </c>
      <c r="AE21" s="13">
        <v>0</v>
      </c>
      <c r="AF21" s="16" t="s">
        <v>122</v>
      </c>
      <c r="AG21" s="13">
        <v>21</v>
      </c>
      <c r="AH21" s="13">
        <v>18</v>
      </c>
      <c r="AI21" s="13">
        <v>7</v>
      </c>
      <c r="AJ21" s="13">
        <v>1</v>
      </c>
      <c r="AK21" s="13">
        <v>0</v>
      </c>
      <c r="AL21" s="16">
        <v>0</v>
      </c>
      <c r="AM21" s="13">
        <v>35</v>
      </c>
      <c r="AN21" s="13">
        <v>22</v>
      </c>
      <c r="AO21" s="13">
        <v>2</v>
      </c>
      <c r="AP21" s="13">
        <v>1</v>
      </c>
      <c r="AQ21" s="13">
        <v>1</v>
      </c>
      <c r="AR21" s="16">
        <v>1</v>
      </c>
      <c r="AS21" s="13">
        <v>19</v>
      </c>
      <c r="AT21" s="13">
        <v>23</v>
      </c>
      <c r="AU21" s="13">
        <v>3</v>
      </c>
      <c r="AV21" s="13">
        <v>5</v>
      </c>
      <c r="AW21" s="13">
        <v>2</v>
      </c>
      <c r="AX21" s="16">
        <v>0.4</v>
      </c>
      <c r="AY21" s="13">
        <v>23</v>
      </c>
      <c r="AZ21" s="13">
        <v>16</v>
      </c>
      <c r="BA21" s="13">
        <v>4</v>
      </c>
      <c r="BB21" s="13">
        <v>8</v>
      </c>
      <c r="BC21" s="13">
        <v>3</v>
      </c>
      <c r="BD21" s="16">
        <v>0.38</v>
      </c>
      <c r="BE21" s="13">
        <v>25</v>
      </c>
      <c r="BF21" s="13">
        <v>23</v>
      </c>
      <c r="BG21" s="13">
        <v>2</v>
      </c>
      <c r="BH21" s="13">
        <v>4</v>
      </c>
      <c r="BI21" s="13">
        <v>4</v>
      </c>
      <c r="BJ21" s="16">
        <v>1</v>
      </c>
      <c r="BK21" s="13">
        <v>32</v>
      </c>
      <c r="BL21" s="13">
        <v>13</v>
      </c>
      <c r="BM21" s="13">
        <v>9</v>
      </c>
      <c r="BN21" s="13">
        <v>8</v>
      </c>
      <c r="BO21" s="13">
        <v>2</v>
      </c>
      <c r="BP21" s="16">
        <v>0.25</v>
      </c>
      <c r="BQ21" s="13">
        <v>35</v>
      </c>
      <c r="BR21" s="13">
        <v>21</v>
      </c>
      <c r="BS21" s="13">
        <v>7</v>
      </c>
      <c r="BT21" s="13">
        <v>7</v>
      </c>
      <c r="BU21" s="13">
        <v>3</v>
      </c>
      <c r="BV21" s="16">
        <v>0.43</v>
      </c>
      <c r="BW21" t="s">
        <v>526</v>
      </c>
      <c r="BX21" t="s">
        <v>520</v>
      </c>
      <c r="BY21" t="str">
        <f t="shared" si="0"/>
        <v>Proportion of CLTI treated within 5 days England</v>
      </c>
      <c r="BZ21" s="4">
        <v>0.56897054534849811</v>
      </c>
      <c r="CA21" s="4">
        <v>0.52658569500674768</v>
      </c>
      <c r="CB21" s="4">
        <v>0.50914298303591099</v>
      </c>
    </row>
    <row r="22" spans="1:80" x14ac:dyDescent="0.25">
      <c r="A22" s="15" t="s">
        <v>95</v>
      </c>
      <c r="B22" s="15" t="s">
        <v>94</v>
      </c>
      <c r="C22" s="13">
        <v>83</v>
      </c>
      <c r="D22" s="13">
        <v>34</v>
      </c>
      <c r="E22" s="13">
        <v>33</v>
      </c>
      <c r="F22" s="13">
        <v>52</v>
      </c>
      <c r="G22" s="13">
        <v>27</v>
      </c>
      <c r="H22" s="16">
        <v>0.52</v>
      </c>
      <c r="I22" s="13">
        <v>59</v>
      </c>
      <c r="J22" s="13">
        <v>22</v>
      </c>
      <c r="K22" s="13">
        <v>18</v>
      </c>
      <c r="L22" s="13">
        <v>29</v>
      </c>
      <c r="M22" s="13">
        <v>14</v>
      </c>
      <c r="N22" s="16">
        <v>0.48</v>
      </c>
      <c r="O22" s="13">
        <v>65</v>
      </c>
      <c r="P22" s="13">
        <v>31</v>
      </c>
      <c r="Q22" s="13">
        <v>28</v>
      </c>
      <c r="R22" s="13">
        <v>43</v>
      </c>
      <c r="S22" s="13">
        <v>28</v>
      </c>
      <c r="T22" s="16">
        <v>0.65</v>
      </c>
      <c r="U22" s="13">
        <v>73</v>
      </c>
      <c r="V22" s="13">
        <v>32</v>
      </c>
      <c r="W22" s="13">
        <v>14</v>
      </c>
      <c r="X22" s="13">
        <v>50</v>
      </c>
      <c r="Y22" s="13">
        <v>23</v>
      </c>
      <c r="Z22" s="16">
        <v>0.46</v>
      </c>
      <c r="AA22" s="13">
        <v>46</v>
      </c>
      <c r="AB22" s="13">
        <v>24</v>
      </c>
      <c r="AC22" s="13">
        <v>18</v>
      </c>
      <c r="AD22" s="13">
        <v>34</v>
      </c>
      <c r="AE22" s="13">
        <v>18</v>
      </c>
      <c r="AF22" s="16">
        <v>0.53</v>
      </c>
      <c r="AG22" s="13">
        <v>37</v>
      </c>
      <c r="AH22" s="13">
        <v>2</v>
      </c>
      <c r="AI22" s="13">
        <v>12</v>
      </c>
      <c r="AJ22" s="13">
        <v>17</v>
      </c>
      <c r="AK22" s="13">
        <v>9</v>
      </c>
      <c r="AL22" s="16">
        <v>0.53</v>
      </c>
      <c r="AM22" s="13">
        <v>49</v>
      </c>
      <c r="AN22" s="13">
        <v>34</v>
      </c>
      <c r="AO22" s="13">
        <v>15</v>
      </c>
      <c r="AP22" s="13">
        <v>33</v>
      </c>
      <c r="AQ22" s="13">
        <v>19</v>
      </c>
      <c r="AR22" s="16">
        <v>0.57999999999999996</v>
      </c>
      <c r="AS22" s="13">
        <v>61</v>
      </c>
      <c r="AT22" s="13">
        <v>33</v>
      </c>
      <c r="AU22" s="13">
        <v>19</v>
      </c>
      <c r="AV22" s="13">
        <v>44</v>
      </c>
      <c r="AW22" s="13">
        <v>13</v>
      </c>
      <c r="AX22" s="16">
        <v>0.3</v>
      </c>
      <c r="AY22" s="13">
        <v>52</v>
      </c>
      <c r="AZ22" s="13">
        <v>30</v>
      </c>
      <c r="BA22" s="13">
        <v>20</v>
      </c>
      <c r="BB22" s="13">
        <v>34</v>
      </c>
      <c r="BC22" s="13">
        <v>15</v>
      </c>
      <c r="BD22" s="16">
        <v>0.44</v>
      </c>
      <c r="BE22" s="13">
        <v>57</v>
      </c>
      <c r="BF22" s="13">
        <v>27</v>
      </c>
      <c r="BG22" s="13">
        <v>24</v>
      </c>
      <c r="BH22" s="13">
        <v>35</v>
      </c>
      <c r="BI22" s="13">
        <v>10</v>
      </c>
      <c r="BJ22" s="16">
        <v>0.28999999999999998</v>
      </c>
      <c r="BK22" s="13">
        <v>68</v>
      </c>
      <c r="BL22" s="13">
        <v>33</v>
      </c>
      <c r="BM22" s="13">
        <v>25</v>
      </c>
      <c r="BN22" s="13">
        <v>43</v>
      </c>
      <c r="BO22" s="13">
        <v>16</v>
      </c>
      <c r="BP22" s="16">
        <v>0.37</v>
      </c>
      <c r="BQ22" s="13">
        <v>55</v>
      </c>
      <c r="BR22" s="13">
        <v>52</v>
      </c>
      <c r="BS22" s="13">
        <v>24</v>
      </c>
      <c r="BT22" s="13">
        <v>53</v>
      </c>
      <c r="BU22" s="13">
        <v>17</v>
      </c>
      <c r="BV22" s="16">
        <v>0.32</v>
      </c>
      <c r="BW22" t="s">
        <v>526</v>
      </c>
      <c r="BX22" t="s">
        <v>520</v>
      </c>
      <c r="BY22" t="str">
        <f t="shared" si="0"/>
        <v>Proportion of CLTI treated within 5 days England</v>
      </c>
      <c r="BZ22" s="4">
        <v>0.56897054534849811</v>
      </c>
      <c r="CA22" s="4">
        <v>0.52658569500674768</v>
      </c>
      <c r="CB22" s="4">
        <v>0.50914298303591099</v>
      </c>
    </row>
    <row r="23" spans="1:80" x14ac:dyDescent="0.25">
      <c r="A23" s="15" t="s">
        <v>63</v>
      </c>
      <c r="B23" s="15" t="s">
        <v>62</v>
      </c>
      <c r="C23" s="13">
        <v>38</v>
      </c>
      <c r="D23" s="13">
        <v>19</v>
      </c>
      <c r="E23" s="13">
        <v>11</v>
      </c>
      <c r="F23" s="13">
        <v>19</v>
      </c>
      <c r="G23" s="13">
        <v>2</v>
      </c>
      <c r="H23" s="16">
        <v>0.11</v>
      </c>
      <c r="I23" s="13">
        <v>26</v>
      </c>
      <c r="J23" s="13">
        <v>15</v>
      </c>
      <c r="K23" s="13">
        <v>2</v>
      </c>
      <c r="L23" s="13">
        <v>21</v>
      </c>
      <c r="M23" s="13">
        <v>8</v>
      </c>
      <c r="N23" s="16">
        <v>0.38</v>
      </c>
      <c r="O23" s="13">
        <v>9</v>
      </c>
      <c r="P23" s="13">
        <v>20</v>
      </c>
      <c r="Q23" s="13">
        <v>1</v>
      </c>
      <c r="R23" s="13">
        <v>14</v>
      </c>
      <c r="S23" s="13">
        <v>6</v>
      </c>
      <c r="T23" s="16">
        <v>0.43</v>
      </c>
      <c r="U23" s="13">
        <v>2</v>
      </c>
      <c r="V23" s="13">
        <v>23</v>
      </c>
      <c r="W23" s="13">
        <v>9</v>
      </c>
      <c r="X23" s="13">
        <v>17</v>
      </c>
      <c r="Y23" s="13">
        <v>5</v>
      </c>
      <c r="Z23" s="16">
        <v>0.28999999999999998</v>
      </c>
      <c r="AA23" s="13">
        <v>6</v>
      </c>
      <c r="AB23" s="13">
        <v>20</v>
      </c>
      <c r="AC23" s="13">
        <v>8</v>
      </c>
      <c r="AD23" s="13">
        <v>11</v>
      </c>
      <c r="AE23" s="13">
        <v>4</v>
      </c>
      <c r="AF23" s="16">
        <v>0.36</v>
      </c>
      <c r="AG23" s="13">
        <v>2</v>
      </c>
      <c r="AH23" s="13">
        <v>18</v>
      </c>
      <c r="AI23" s="13">
        <v>12</v>
      </c>
      <c r="AJ23" s="13">
        <v>12</v>
      </c>
      <c r="AK23" s="13">
        <v>3</v>
      </c>
      <c r="AL23" s="16">
        <v>0.25</v>
      </c>
      <c r="AM23" s="13">
        <v>6</v>
      </c>
      <c r="AN23" s="13">
        <v>15</v>
      </c>
      <c r="AO23" s="13">
        <v>5</v>
      </c>
      <c r="AP23" s="13">
        <v>9</v>
      </c>
      <c r="AQ23" s="13">
        <v>4</v>
      </c>
      <c r="AR23" s="16">
        <v>0.44</v>
      </c>
      <c r="AS23" s="13">
        <v>20</v>
      </c>
      <c r="AT23" s="13">
        <v>14</v>
      </c>
      <c r="AU23" s="13">
        <v>11</v>
      </c>
      <c r="AV23" s="13">
        <v>14</v>
      </c>
      <c r="AW23" s="13">
        <v>10</v>
      </c>
      <c r="AX23" s="16">
        <v>0.71</v>
      </c>
      <c r="AY23" s="13">
        <v>8</v>
      </c>
      <c r="AZ23" s="13">
        <v>18</v>
      </c>
      <c r="BA23" s="13">
        <v>8</v>
      </c>
      <c r="BB23" s="13">
        <v>16</v>
      </c>
      <c r="BC23" s="13">
        <v>6</v>
      </c>
      <c r="BD23" s="16">
        <v>0.38</v>
      </c>
      <c r="BE23" s="13">
        <v>2</v>
      </c>
      <c r="BF23" s="13">
        <v>11</v>
      </c>
      <c r="BG23" s="13">
        <v>6</v>
      </c>
      <c r="BH23" s="13">
        <v>7</v>
      </c>
      <c r="BI23" s="13">
        <v>3</v>
      </c>
      <c r="BJ23" s="16">
        <v>0.43</v>
      </c>
      <c r="BK23" s="13">
        <v>42</v>
      </c>
      <c r="BL23" s="13">
        <v>16</v>
      </c>
      <c r="BM23" s="13">
        <v>10</v>
      </c>
      <c r="BN23" s="13">
        <v>29</v>
      </c>
      <c r="BO23" s="13">
        <v>12</v>
      </c>
      <c r="BP23" s="16">
        <v>0.41</v>
      </c>
      <c r="BQ23" s="13">
        <v>40</v>
      </c>
      <c r="BR23" s="13">
        <v>25</v>
      </c>
      <c r="BS23" s="13">
        <v>8</v>
      </c>
      <c r="BT23" s="13">
        <v>32</v>
      </c>
      <c r="BU23" s="13">
        <v>8</v>
      </c>
      <c r="BV23" s="16">
        <v>0.25</v>
      </c>
      <c r="BW23" t="s">
        <v>526</v>
      </c>
      <c r="BX23" t="s">
        <v>520</v>
      </c>
      <c r="BY23" t="str">
        <f t="shared" si="0"/>
        <v>Proportion of CLTI treated within 5 days England</v>
      </c>
      <c r="BZ23" s="4">
        <v>0.56897054534849811</v>
      </c>
      <c r="CA23" s="4">
        <v>0.52658569500674768</v>
      </c>
      <c r="CB23" s="4">
        <v>0.50914298303591099</v>
      </c>
    </row>
    <row r="24" spans="1:80" x14ac:dyDescent="0.25">
      <c r="A24" s="15" t="s">
        <v>130</v>
      </c>
      <c r="B24" s="15" t="s">
        <v>25</v>
      </c>
      <c r="C24" s="13">
        <v>36</v>
      </c>
      <c r="D24" s="13">
        <v>20</v>
      </c>
      <c r="E24" s="13">
        <v>7</v>
      </c>
      <c r="F24" s="13">
        <v>28</v>
      </c>
      <c r="G24" s="13">
        <v>9</v>
      </c>
      <c r="H24" s="16">
        <v>0.32</v>
      </c>
      <c r="I24" s="13">
        <v>29</v>
      </c>
      <c r="J24" s="13">
        <v>19</v>
      </c>
      <c r="K24" s="13">
        <v>10</v>
      </c>
      <c r="L24" s="13">
        <v>24</v>
      </c>
      <c r="M24" s="13">
        <v>9</v>
      </c>
      <c r="N24" s="16">
        <v>0.38</v>
      </c>
      <c r="O24" s="13">
        <v>38</v>
      </c>
      <c r="P24" s="13">
        <v>24</v>
      </c>
      <c r="Q24" s="13">
        <v>15</v>
      </c>
      <c r="R24" s="13">
        <v>37</v>
      </c>
      <c r="S24" s="13">
        <v>13</v>
      </c>
      <c r="T24" s="16">
        <v>0.35</v>
      </c>
      <c r="U24" s="13">
        <v>53</v>
      </c>
      <c r="V24" s="13">
        <v>42</v>
      </c>
      <c r="W24" s="13">
        <v>9</v>
      </c>
      <c r="X24" s="13">
        <v>31</v>
      </c>
      <c r="Y24" s="13">
        <v>13</v>
      </c>
      <c r="Z24" s="16">
        <v>0.42</v>
      </c>
      <c r="AA24" s="13">
        <v>57</v>
      </c>
      <c r="AB24" s="13">
        <v>34</v>
      </c>
      <c r="AC24" s="13">
        <v>9</v>
      </c>
      <c r="AD24" s="13">
        <v>39</v>
      </c>
      <c r="AE24" s="13">
        <v>11</v>
      </c>
      <c r="AF24" s="16">
        <v>0.28000000000000003</v>
      </c>
      <c r="AG24" s="13">
        <v>27</v>
      </c>
      <c r="AH24" s="13">
        <v>23</v>
      </c>
      <c r="AI24" s="13">
        <v>16</v>
      </c>
      <c r="AJ24" s="13">
        <v>30</v>
      </c>
      <c r="AK24" s="13">
        <v>14</v>
      </c>
      <c r="AL24" s="16">
        <v>0.47</v>
      </c>
      <c r="AM24" s="13">
        <v>46</v>
      </c>
      <c r="AN24" s="13">
        <v>29</v>
      </c>
      <c r="AO24" s="13">
        <v>25</v>
      </c>
      <c r="AP24" s="13">
        <v>42</v>
      </c>
      <c r="AQ24" s="13">
        <v>26</v>
      </c>
      <c r="AR24" s="16">
        <v>0.62</v>
      </c>
      <c r="AS24" s="13">
        <v>51</v>
      </c>
      <c r="AT24" s="13">
        <v>27</v>
      </c>
      <c r="AU24" s="13">
        <v>17</v>
      </c>
      <c r="AV24" s="13">
        <v>47</v>
      </c>
      <c r="AW24" s="13">
        <v>8</v>
      </c>
      <c r="AX24" s="16">
        <v>0.17</v>
      </c>
      <c r="AY24" s="13">
        <v>53</v>
      </c>
      <c r="AZ24" s="13">
        <v>29</v>
      </c>
      <c r="BA24" s="13">
        <v>19</v>
      </c>
      <c r="BB24" s="13">
        <v>34</v>
      </c>
      <c r="BC24" s="13">
        <v>13</v>
      </c>
      <c r="BD24" s="16">
        <v>0.38</v>
      </c>
      <c r="BE24" s="13">
        <v>44</v>
      </c>
      <c r="BF24" s="13">
        <v>30</v>
      </c>
      <c r="BG24" s="13">
        <v>14</v>
      </c>
      <c r="BH24" s="13">
        <v>31</v>
      </c>
      <c r="BI24" s="13">
        <v>7</v>
      </c>
      <c r="BJ24" s="16">
        <v>0.23</v>
      </c>
      <c r="BK24" s="13">
        <v>43</v>
      </c>
      <c r="BL24" s="13">
        <v>41</v>
      </c>
      <c r="BM24" s="13">
        <v>26</v>
      </c>
      <c r="BN24" s="13">
        <v>34</v>
      </c>
      <c r="BO24" s="13">
        <v>11</v>
      </c>
      <c r="BP24" s="16">
        <v>0.32</v>
      </c>
      <c r="BQ24" s="13">
        <v>50</v>
      </c>
      <c r="BR24" s="13">
        <v>32</v>
      </c>
      <c r="BS24" s="13">
        <v>25</v>
      </c>
      <c r="BT24" s="13">
        <v>37</v>
      </c>
      <c r="BU24" s="13">
        <v>14</v>
      </c>
      <c r="BV24" s="16">
        <v>0.38</v>
      </c>
      <c r="BW24" t="s">
        <v>526</v>
      </c>
      <c r="BX24" t="s">
        <v>520</v>
      </c>
      <c r="BY24" t="str">
        <f t="shared" si="0"/>
        <v>Proportion of CLTI treated within 5 days England</v>
      </c>
      <c r="BZ24" s="4">
        <v>0.56897054534849811</v>
      </c>
      <c r="CA24" s="4">
        <v>0.52658569500674768</v>
      </c>
      <c r="CB24" s="4">
        <v>0.50914298303591099</v>
      </c>
    </row>
    <row r="25" spans="1:80" x14ac:dyDescent="0.25">
      <c r="A25" s="15" t="s">
        <v>131</v>
      </c>
      <c r="B25" s="15" t="s">
        <v>9</v>
      </c>
      <c r="C25" s="13">
        <v>24</v>
      </c>
      <c r="D25" s="13">
        <v>2</v>
      </c>
      <c r="E25" s="13">
        <v>6</v>
      </c>
      <c r="F25" s="13">
        <v>14</v>
      </c>
      <c r="G25" s="13">
        <v>12</v>
      </c>
      <c r="H25" s="16">
        <v>0.86</v>
      </c>
      <c r="I25" s="13">
        <v>24</v>
      </c>
      <c r="J25" s="13">
        <v>3</v>
      </c>
      <c r="K25" s="13">
        <v>3</v>
      </c>
      <c r="L25" s="13">
        <v>12</v>
      </c>
      <c r="M25" s="13">
        <v>7</v>
      </c>
      <c r="N25" s="16">
        <v>0.57999999999999996</v>
      </c>
      <c r="O25" s="13">
        <v>52</v>
      </c>
      <c r="P25" s="13">
        <v>1</v>
      </c>
      <c r="Q25" s="13">
        <v>8</v>
      </c>
      <c r="R25" s="13">
        <v>23</v>
      </c>
      <c r="S25" s="13">
        <v>13</v>
      </c>
      <c r="T25" s="16">
        <v>0.56999999999999995</v>
      </c>
      <c r="U25" s="13">
        <v>51</v>
      </c>
      <c r="V25" s="13">
        <v>3</v>
      </c>
      <c r="W25" s="13">
        <v>12</v>
      </c>
      <c r="X25" s="13">
        <v>31</v>
      </c>
      <c r="Y25" s="13">
        <v>20</v>
      </c>
      <c r="Z25" s="16">
        <v>0.65</v>
      </c>
      <c r="AA25" s="13">
        <v>37</v>
      </c>
      <c r="AB25" s="13">
        <v>1</v>
      </c>
      <c r="AC25" s="13">
        <v>9</v>
      </c>
      <c r="AD25" s="13">
        <v>15</v>
      </c>
      <c r="AE25" s="13">
        <v>11</v>
      </c>
      <c r="AF25" s="16">
        <v>0.73</v>
      </c>
      <c r="AG25" s="13">
        <v>30</v>
      </c>
      <c r="AH25" s="13">
        <v>0</v>
      </c>
      <c r="AI25" s="13">
        <v>4</v>
      </c>
      <c r="AJ25" s="13">
        <v>10</v>
      </c>
      <c r="AK25" s="13">
        <v>6</v>
      </c>
      <c r="AL25" s="16">
        <v>0.6</v>
      </c>
      <c r="AM25" s="13">
        <v>53</v>
      </c>
      <c r="AN25" s="13">
        <v>3</v>
      </c>
      <c r="AO25" s="13">
        <v>2</v>
      </c>
      <c r="AP25" s="13">
        <v>18</v>
      </c>
      <c r="AQ25" s="13">
        <v>10</v>
      </c>
      <c r="AR25" s="16">
        <v>0.56000000000000005</v>
      </c>
      <c r="AS25" s="13">
        <v>70</v>
      </c>
      <c r="AT25" s="13">
        <v>0</v>
      </c>
      <c r="AU25" s="13">
        <v>2</v>
      </c>
      <c r="AV25" s="13">
        <v>10</v>
      </c>
      <c r="AW25" s="13">
        <v>5</v>
      </c>
      <c r="AX25" s="16">
        <v>0.5</v>
      </c>
      <c r="AY25" s="13">
        <v>61</v>
      </c>
      <c r="AZ25" s="13">
        <v>4</v>
      </c>
      <c r="BA25" s="13">
        <v>4</v>
      </c>
      <c r="BB25" s="13">
        <v>26</v>
      </c>
      <c r="BC25" s="13">
        <v>8</v>
      </c>
      <c r="BD25" s="16">
        <v>0.31</v>
      </c>
      <c r="BE25" s="13">
        <v>53</v>
      </c>
      <c r="BF25" s="13">
        <v>4</v>
      </c>
      <c r="BG25" s="13">
        <v>11</v>
      </c>
      <c r="BH25" s="13">
        <v>21</v>
      </c>
      <c r="BI25" s="13">
        <v>13</v>
      </c>
      <c r="BJ25" s="16">
        <v>0.62</v>
      </c>
      <c r="BK25" s="13">
        <v>44</v>
      </c>
      <c r="BL25" s="13">
        <v>3</v>
      </c>
      <c r="BM25" s="13">
        <v>8</v>
      </c>
      <c r="BN25" s="13">
        <v>24</v>
      </c>
      <c r="BO25" s="13">
        <v>10</v>
      </c>
      <c r="BP25" s="16">
        <v>0.42</v>
      </c>
      <c r="BQ25" s="13">
        <v>57</v>
      </c>
      <c r="BR25" s="13">
        <v>2</v>
      </c>
      <c r="BS25" s="13">
        <v>1</v>
      </c>
      <c r="BT25" s="13">
        <v>27</v>
      </c>
      <c r="BU25" s="13">
        <v>9</v>
      </c>
      <c r="BV25" s="16">
        <v>0.33</v>
      </c>
      <c r="BW25" t="s">
        <v>526</v>
      </c>
      <c r="BX25" t="s">
        <v>520</v>
      </c>
      <c r="BY25" t="str">
        <f t="shared" si="0"/>
        <v>Proportion of CLTI treated within 5 days England</v>
      </c>
      <c r="BZ25" s="4">
        <v>0.56897054534849811</v>
      </c>
      <c r="CA25" s="4">
        <v>0.52658569500674768</v>
      </c>
      <c r="CB25" s="4">
        <v>0.50914298303591099</v>
      </c>
    </row>
    <row r="26" spans="1:80" x14ac:dyDescent="0.25">
      <c r="A26" s="15" t="s">
        <v>6</v>
      </c>
      <c r="B26" s="15" t="s">
        <v>5</v>
      </c>
      <c r="C26" s="13">
        <v>51</v>
      </c>
      <c r="D26" s="13">
        <v>12</v>
      </c>
      <c r="E26" s="13">
        <v>13</v>
      </c>
      <c r="F26" s="13">
        <v>30</v>
      </c>
      <c r="G26" s="13">
        <v>20</v>
      </c>
      <c r="H26" s="16">
        <v>0.67</v>
      </c>
      <c r="I26" s="13">
        <v>54</v>
      </c>
      <c r="J26" s="13">
        <v>23</v>
      </c>
      <c r="K26" s="13">
        <v>12</v>
      </c>
      <c r="L26" s="13">
        <v>26</v>
      </c>
      <c r="M26" s="13">
        <v>16</v>
      </c>
      <c r="N26" s="16">
        <v>0.62</v>
      </c>
      <c r="O26" s="13">
        <v>48</v>
      </c>
      <c r="P26" s="13">
        <v>24</v>
      </c>
      <c r="Q26" s="13">
        <v>14</v>
      </c>
      <c r="R26" s="13">
        <v>28</v>
      </c>
      <c r="S26" s="13">
        <v>14</v>
      </c>
      <c r="T26" s="16">
        <v>0.5</v>
      </c>
      <c r="U26" s="13">
        <v>51</v>
      </c>
      <c r="V26" s="13">
        <v>23</v>
      </c>
      <c r="W26" s="13">
        <v>24</v>
      </c>
      <c r="X26" s="13">
        <v>31</v>
      </c>
      <c r="Y26" s="13">
        <v>13</v>
      </c>
      <c r="Z26" s="16">
        <v>0.42</v>
      </c>
      <c r="AA26" s="13">
        <v>47</v>
      </c>
      <c r="AB26" s="13">
        <v>17</v>
      </c>
      <c r="AC26" s="13">
        <v>13</v>
      </c>
      <c r="AD26" s="13">
        <v>20</v>
      </c>
      <c r="AE26" s="13">
        <v>6</v>
      </c>
      <c r="AF26" s="16">
        <v>0.3</v>
      </c>
      <c r="AG26" s="13">
        <v>28</v>
      </c>
      <c r="AH26" s="13">
        <v>24</v>
      </c>
      <c r="AI26" s="13">
        <v>19</v>
      </c>
      <c r="AJ26" s="13">
        <v>25</v>
      </c>
      <c r="AK26" s="13">
        <v>13</v>
      </c>
      <c r="AL26" s="16">
        <v>0.52</v>
      </c>
      <c r="AM26" s="13">
        <v>30</v>
      </c>
      <c r="AN26" s="13">
        <v>19</v>
      </c>
      <c r="AO26" s="13">
        <v>17</v>
      </c>
      <c r="AP26" s="13">
        <v>23</v>
      </c>
      <c r="AQ26" s="13">
        <v>11</v>
      </c>
      <c r="AR26" s="16">
        <v>0.48</v>
      </c>
      <c r="AS26" s="13">
        <v>19</v>
      </c>
      <c r="AT26" s="13">
        <v>27</v>
      </c>
      <c r="AU26" s="13">
        <v>17</v>
      </c>
      <c r="AV26" s="13">
        <v>20</v>
      </c>
      <c r="AW26" s="13">
        <v>8</v>
      </c>
      <c r="AX26" s="16">
        <v>0.4</v>
      </c>
      <c r="AY26" s="13">
        <v>43</v>
      </c>
      <c r="AZ26" s="13">
        <v>23</v>
      </c>
      <c r="BA26" s="13">
        <v>27</v>
      </c>
      <c r="BB26" s="13">
        <v>36</v>
      </c>
      <c r="BC26" s="13">
        <v>17</v>
      </c>
      <c r="BD26" s="16">
        <v>0.47</v>
      </c>
      <c r="BE26" s="13">
        <v>60</v>
      </c>
      <c r="BF26" s="13">
        <v>21</v>
      </c>
      <c r="BG26" s="13">
        <v>21</v>
      </c>
      <c r="BH26" s="13">
        <v>34</v>
      </c>
      <c r="BI26" s="13">
        <v>13</v>
      </c>
      <c r="BJ26" s="16">
        <v>0.38</v>
      </c>
      <c r="BK26" s="13">
        <v>22</v>
      </c>
      <c r="BL26" s="13">
        <v>36</v>
      </c>
      <c r="BM26" s="13">
        <v>34</v>
      </c>
      <c r="BN26" s="13">
        <v>26</v>
      </c>
      <c r="BO26" s="13">
        <v>13</v>
      </c>
      <c r="BP26" s="16">
        <v>0.5</v>
      </c>
      <c r="BQ26" s="13">
        <v>30</v>
      </c>
      <c r="BR26" s="13">
        <v>27</v>
      </c>
      <c r="BS26" s="13">
        <v>19</v>
      </c>
      <c r="BT26" s="13">
        <v>29</v>
      </c>
      <c r="BU26" s="13">
        <v>16</v>
      </c>
      <c r="BV26" s="16">
        <v>0.55000000000000004</v>
      </c>
      <c r="BW26" t="s">
        <v>526</v>
      </c>
      <c r="BX26" t="s">
        <v>520</v>
      </c>
      <c r="BY26" t="str">
        <f t="shared" si="0"/>
        <v>Proportion of CLTI treated within 5 days England</v>
      </c>
      <c r="BZ26" s="4">
        <v>0.56897054534849811</v>
      </c>
      <c r="CA26" s="4">
        <v>0.52658569500674768</v>
      </c>
      <c r="CB26" s="4">
        <v>0.50914298303591099</v>
      </c>
    </row>
    <row r="27" spans="1:80" x14ac:dyDescent="0.25">
      <c r="A27" s="15" t="s">
        <v>59</v>
      </c>
      <c r="B27" s="15" t="s">
        <v>58</v>
      </c>
      <c r="C27" s="13">
        <v>0</v>
      </c>
      <c r="D27" s="13">
        <v>2</v>
      </c>
      <c r="E27" s="13">
        <v>1</v>
      </c>
      <c r="F27" s="13">
        <v>0</v>
      </c>
      <c r="G27" s="13">
        <v>0</v>
      </c>
      <c r="H27" s="16" t="s">
        <v>122</v>
      </c>
      <c r="I27" s="13">
        <v>1</v>
      </c>
      <c r="J27" s="13">
        <v>2</v>
      </c>
      <c r="K27" s="13">
        <v>4</v>
      </c>
      <c r="L27" s="13">
        <v>2</v>
      </c>
      <c r="M27" s="13">
        <v>1</v>
      </c>
      <c r="N27" s="16">
        <v>0.5</v>
      </c>
      <c r="O27" s="13">
        <v>0</v>
      </c>
      <c r="P27" s="13">
        <v>0</v>
      </c>
      <c r="Q27" s="13">
        <v>0</v>
      </c>
      <c r="R27" s="13">
        <v>0</v>
      </c>
      <c r="S27" s="13">
        <v>0</v>
      </c>
      <c r="T27" s="16" t="s">
        <v>122</v>
      </c>
      <c r="U27" s="13">
        <v>0</v>
      </c>
      <c r="V27" s="13">
        <v>11</v>
      </c>
      <c r="W27" s="13">
        <v>2</v>
      </c>
      <c r="X27" s="13">
        <v>8</v>
      </c>
      <c r="Y27" s="13">
        <v>4</v>
      </c>
      <c r="Z27" s="16">
        <v>0.5</v>
      </c>
      <c r="AA27" s="13">
        <v>0</v>
      </c>
      <c r="AB27" s="13">
        <v>10</v>
      </c>
      <c r="AC27" s="13">
        <v>5</v>
      </c>
      <c r="AD27" s="13">
        <v>8</v>
      </c>
      <c r="AE27" s="13">
        <v>5</v>
      </c>
      <c r="AF27" s="16">
        <v>0.63</v>
      </c>
      <c r="AG27" s="13">
        <v>1</v>
      </c>
      <c r="AH27" s="13">
        <v>6</v>
      </c>
      <c r="AI27" s="13">
        <v>2</v>
      </c>
      <c r="AJ27" s="13">
        <v>4</v>
      </c>
      <c r="AK27" s="13">
        <v>4</v>
      </c>
      <c r="AL27" s="16">
        <v>1</v>
      </c>
      <c r="AM27" s="13">
        <v>2</v>
      </c>
      <c r="AN27" s="13">
        <v>1</v>
      </c>
      <c r="AO27" s="13">
        <v>1</v>
      </c>
      <c r="AP27" s="13">
        <v>0</v>
      </c>
      <c r="AQ27" s="13">
        <v>0</v>
      </c>
      <c r="AR27" s="16" t="s">
        <v>122</v>
      </c>
      <c r="AS27" s="13">
        <v>0</v>
      </c>
      <c r="AT27" s="13">
        <v>4</v>
      </c>
      <c r="AU27" s="13">
        <v>1</v>
      </c>
      <c r="AV27" s="13">
        <v>1</v>
      </c>
      <c r="AW27" s="13">
        <v>0</v>
      </c>
      <c r="AX27" s="16">
        <v>0</v>
      </c>
      <c r="AY27" s="13">
        <v>0</v>
      </c>
      <c r="AZ27" s="13">
        <v>2</v>
      </c>
      <c r="BA27" s="13">
        <v>1</v>
      </c>
      <c r="BB27" s="13">
        <v>0</v>
      </c>
      <c r="BC27" s="13">
        <v>0</v>
      </c>
      <c r="BD27" s="16" t="s">
        <v>122</v>
      </c>
      <c r="BE27" s="13">
        <v>4</v>
      </c>
      <c r="BF27" s="13">
        <v>1</v>
      </c>
      <c r="BG27" s="13">
        <v>1</v>
      </c>
      <c r="BH27" s="13">
        <v>2</v>
      </c>
      <c r="BI27" s="13">
        <v>1</v>
      </c>
      <c r="BJ27" s="16">
        <v>0.5</v>
      </c>
      <c r="BK27" s="13">
        <v>8</v>
      </c>
      <c r="BL27" s="13">
        <v>3</v>
      </c>
      <c r="BM27" s="13">
        <v>1</v>
      </c>
      <c r="BN27" s="13">
        <v>3</v>
      </c>
      <c r="BO27" s="13">
        <v>2</v>
      </c>
      <c r="BP27" s="16">
        <v>0.67</v>
      </c>
      <c r="BQ27" s="13">
        <v>14</v>
      </c>
      <c r="BR27" s="13">
        <v>0</v>
      </c>
      <c r="BS27" s="13">
        <v>0</v>
      </c>
      <c r="BT27" s="13">
        <v>1</v>
      </c>
      <c r="BU27" s="13">
        <v>1</v>
      </c>
      <c r="BV27" s="16">
        <v>1</v>
      </c>
      <c r="BW27" t="s">
        <v>526</v>
      </c>
      <c r="BX27" t="s">
        <v>520</v>
      </c>
      <c r="BY27" t="str">
        <f t="shared" si="0"/>
        <v>Proportion of CLTI treated within 5 days England</v>
      </c>
      <c r="BZ27" s="4">
        <v>0.56897054534849811</v>
      </c>
      <c r="CA27" s="4">
        <v>0.52658569500674768</v>
      </c>
      <c r="CB27" s="4">
        <v>0.50914298303591099</v>
      </c>
    </row>
    <row r="28" spans="1:80" x14ac:dyDescent="0.25">
      <c r="A28" t="s">
        <v>491</v>
      </c>
      <c r="B28" s="15" t="s">
        <v>17</v>
      </c>
      <c r="C28" s="13">
        <v>9</v>
      </c>
      <c r="D28" s="13">
        <v>0</v>
      </c>
      <c r="E28" s="13">
        <v>0</v>
      </c>
      <c r="F28" s="13">
        <v>0</v>
      </c>
      <c r="G28" s="13">
        <v>0</v>
      </c>
      <c r="H28" s="16" t="s">
        <v>122</v>
      </c>
      <c r="I28" s="13">
        <v>13</v>
      </c>
      <c r="J28" s="13">
        <v>0</v>
      </c>
      <c r="K28" s="13">
        <v>0</v>
      </c>
      <c r="L28" s="13">
        <v>5</v>
      </c>
      <c r="M28" s="13">
        <v>2</v>
      </c>
      <c r="N28" s="16">
        <v>0.4</v>
      </c>
      <c r="O28" s="13">
        <v>20</v>
      </c>
      <c r="P28" s="13">
        <v>0</v>
      </c>
      <c r="Q28" s="13">
        <v>0</v>
      </c>
      <c r="R28" s="13">
        <v>4</v>
      </c>
      <c r="S28" s="13">
        <v>1</v>
      </c>
      <c r="T28" s="16">
        <v>0.25</v>
      </c>
      <c r="U28" s="13">
        <v>21</v>
      </c>
      <c r="V28" s="13">
        <v>0</v>
      </c>
      <c r="W28" s="13">
        <v>1</v>
      </c>
      <c r="X28" s="13">
        <v>1</v>
      </c>
      <c r="Y28" s="13">
        <v>0</v>
      </c>
      <c r="Z28" s="16">
        <v>0</v>
      </c>
      <c r="AA28" s="13">
        <v>12</v>
      </c>
      <c r="AB28" s="13">
        <v>0</v>
      </c>
      <c r="AC28" s="13">
        <v>0</v>
      </c>
      <c r="AD28" s="13">
        <v>0</v>
      </c>
      <c r="AE28" s="13">
        <v>0</v>
      </c>
      <c r="AF28" s="16" t="s">
        <v>122</v>
      </c>
      <c r="AG28" s="13">
        <v>5</v>
      </c>
      <c r="AH28" s="13">
        <v>0</v>
      </c>
      <c r="AI28" s="13">
        <v>0</v>
      </c>
      <c r="AJ28" s="13">
        <v>0</v>
      </c>
      <c r="AK28" s="13">
        <v>0</v>
      </c>
      <c r="AL28" s="16" t="s">
        <v>122</v>
      </c>
      <c r="AM28" s="13">
        <v>12</v>
      </c>
      <c r="AN28" s="13">
        <v>0</v>
      </c>
      <c r="AO28" s="13">
        <v>0</v>
      </c>
      <c r="AP28" s="13">
        <v>0</v>
      </c>
      <c r="AQ28" s="13">
        <v>0</v>
      </c>
      <c r="AR28" s="16" t="s">
        <v>122</v>
      </c>
      <c r="AS28" s="13">
        <v>23</v>
      </c>
      <c r="AT28" s="13">
        <v>0</v>
      </c>
      <c r="AU28" s="13">
        <v>0</v>
      </c>
      <c r="AV28" s="13">
        <v>2</v>
      </c>
      <c r="AW28" s="13">
        <v>0</v>
      </c>
      <c r="AX28" s="16">
        <v>0</v>
      </c>
      <c r="AY28" s="13">
        <v>16</v>
      </c>
      <c r="AZ28" s="13">
        <v>0</v>
      </c>
      <c r="BA28" s="13">
        <v>0</v>
      </c>
      <c r="BB28" s="13">
        <v>3</v>
      </c>
      <c r="BC28" s="13">
        <v>0</v>
      </c>
      <c r="BD28" s="16">
        <v>0</v>
      </c>
      <c r="BE28" s="13">
        <v>15</v>
      </c>
      <c r="BF28" s="13">
        <v>0</v>
      </c>
      <c r="BG28" s="13">
        <v>0</v>
      </c>
      <c r="BH28" s="13">
        <v>1</v>
      </c>
      <c r="BI28" s="13">
        <v>0</v>
      </c>
      <c r="BJ28" s="16">
        <v>0</v>
      </c>
      <c r="BK28" s="13">
        <v>10</v>
      </c>
      <c r="BL28" s="13">
        <v>0</v>
      </c>
      <c r="BM28" s="13">
        <v>0</v>
      </c>
      <c r="BN28" s="13">
        <v>2</v>
      </c>
      <c r="BO28" s="13">
        <v>0</v>
      </c>
      <c r="BP28" s="16">
        <v>0</v>
      </c>
      <c r="BQ28" s="13">
        <v>15</v>
      </c>
      <c r="BR28" s="13">
        <v>0</v>
      </c>
      <c r="BS28" s="13">
        <v>0</v>
      </c>
      <c r="BT28" s="13">
        <v>4</v>
      </c>
      <c r="BU28" s="13">
        <v>2</v>
      </c>
      <c r="BV28" s="16">
        <v>0.5</v>
      </c>
      <c r="BW28" t="s">
        <v>526</v>
      </c>
      <c r="BX28" t="s">
        <v>520</v>
      </c>
      <c r="BY28" t="str">
        <f t="shared" si="0"/>
        <v>Proportion of CLTI treated within 5 days England</v>
      </c>
      <c r="BZ28" s="4">
        <v>0.56897054534849811</v>
      </c>
      <c r="CA28" s="4">
        <v>0.52658569500674768</v>
      </c>
      <c r="CB28" s="4">
        <v>0.50914298303591099</v>
      </c>
    </row>
    <row r="29" spans="1:80" x14ac:dyDescent="0.25">
      <c r="A29" s="15" t="s">
        <v>141</v>
      </c>
      <c r="B29" s="15" t="s">
        <v>14</v>
      </c>
      <c r="C29" s="13">
        <v>8</v>
      </c>
      <c r="D29" s="13">
        <v>17</v>
      </c>
      <c r="E29" s="13">
        <v>2</v>
      </c>
      <c r="F29" s="13">
        <v>9</v>
      </c>
      <c r="G29" s="13">
        <v>6</v>
      </c>
      <c r="H29" s="16">
        <v>0.67</v>
      </c>
      <c r="I29" s="13">
        <v>6</v>
      </c>
      <c r="J29" s="13">
        <v>14</v>
      </c>
      <c r="K29" s="13">
        <v>5</v>
      </c>
      <c r="L29" s="13">
        <v>12</v>
      </c>
      <c r="M29" s="13">
        <v>9</v>
      </c>
      <c r="N29" s="16">
        <v>0.75</v>
      </c>
      <c r="O29" s="13">
        <v>4</v>
      </c>
      <c r="P29" s="13">
        <v>11</v>
      </c>
      <c r="Q29" s="13">
        <v>6</v>
      </c>
      <c r="R29" s="13">
        <v>6</v>
      </c>
      <c r="S29" s="13">
        <v>4</v>
      </c>
      <c r="T29" s="16">
        <v>0.67</v>
      </c>
      <c r="U29" s="13">
        <v>10</v>
      </c>
      <c r="V29" s="13">
        <v>13</v>
      </c>
      <c r="W29" s="13">
        <v>10</v>
      </c>
      <c r="X29" s="13">
        <v>5</v>
      </c>
      <c r="Y29" s="13">
        <v>4</v>
      </c>
      <c r="Z29" s="16">
        <v>0.8</v>
      </c>
      <c r="AA29" s="13">
        <v>13</v>
      </c>
      <c r="AB29" s="13">
        <v>12</v>
      </c>
      <c r="AC29" s="13">
        <v>6</v>
      </c>
      <c r="AD29" s="13">
        <v>7</v>
      </c>
      <c r="AE29" s="13">
        <v>6</v>
      </c>
      <c r="AF29" s="16">
        <v>0.86</v>
      </c>
      <c r="AG29" s="13">
        <v>8</v>
      </c>
      <c r="AH29" s="13">
        <v>21</v>
      </c>
      <c r="AI29" s="13">
        <v>9</v>
      </c>
      <c r="AJ29" s="13">
        <v>8</v>
      </c>
      <c r="AK29" s="13">
        <v>8</v>
      </c>
      <c r="AL29" s="16">
        <v>1</v>
      </c>
      <c r="AM29" s="13">
        <v>17</v>
      </c>
      <c r="AN29" s="13">
        <v>16</v>
      </c>
      <c r="AO29" s="13">
        <v>17</v>
      </c>
      <c r="AP29" s="13">
        <v>7</v>
      </c>
      <c r="AQ29" s="13">
        <v>3</v>
      </c>
      <c r="AR29" s="16">
        <v>0.43</v>
      </c>
      <c r="AS29" s="13">
        <v>11</v>
      </c>
      <c r="AT29" s="13">
        <v>20</v>
      </c>
      <c r="AU29" s="13">
        <v>10</v>
      </c>
      <c r="AV29" s="13">
        <v>11</v>
      </c>
      <c r="AW29" s="13">
        <v>7</v>
      </c>
      <c r="AX29" s="16">
        <v>0.64</v>
      </c>
      <c r="AY29" s="13">
        <v>7</v>
      </c>
      <c r="AZ29" s="13">
        <v>15</v>
      </c>
      <c r="BA29" s="13">
        <v>13</v>
      </c>
      <c r="BB29" s="13">
        <v>8</v>
      </c>
      <c r="BC29" s="13">
        <v>5</v>
      </c>
      <c r="BD29" s="16">
        <v>0.63</v>
      </c>
      <c r="BE29" s="13">
        <v>16</v>
      </c>
      <c r="BF29" s="13">
        <v>9</v>
      </c>
      <c r="BG29" s="13">
        <v>18</v>
      </c>
      <c r="BH29" s="13">
        <v>4</v>
      </c>
      <c r="BI29" s="13">
        <v>0</v>
      </c>
      <c r="BJ29" s="16">
        <v>0</v>
      </c>
      <c r="BK29" s="13">
        <v>35</v>
      </c>
      <c r="BL29" s="13">
        <v>17</v>
      </c>
      <c r="BM29" s="13">
        <v>23</v>
      </c>
      <c r="BN29" s="13">
        <v>19</v>
      </c>
      <c r="BO29" s="13">
        <v>10</v>
      </c>
      <c r="BP29" s="16">
        <v>0.53</v>
      </c>
      <c r="BQ29" s="13">
        <v>46</v>
      </c>
      <c r="BR29" s="13">
        <v>28</v>
      </c>
      <c r="BS29" s="13">
        <v>15</v>
      </c>
      <c r="BT29" s="13">
        <v>14</v>
      </c>
      <c r="BU29" s="13">
        <v>7</v>
      </c>
      <c r="BV29" s="16">
        <v>0.5</v>
      </c>
      <c r="BW29" t="s">
        <v>526</v>
      </c>
      <c r="BX29" t="s">
        <v>520</v>
      </c>
      <c r="BY29" t="str">
        <f t="shared" si="0"/>
        <v>Proportion of CLTI treated within 5 days England</v>
      </c>
      <c r="BZ29" s="4">
        <v>0.56897054534849811</v>
      </c>
      <c r="CA29" s="4">
        <v>0.52658569500674768</v>
      </c>
      <c r="CB29" s="4">
        <v>0.50914298303591099</v>
      </c>
    </row>
    <row r="30" spans="1:80" x14ac:dyDescent="0.25">
      <c r="A30" s="15" t="s">
        <v>71</v>
      </c>
      <c r="B30" s="15" t="s">
        <v>70</v>
      </c>
      <c r="C30" s="13">
        <v>58</v>
      </c>
      <c r="D30" s="13">
        <v>19</v>
      </c>
      <c r="E30" s="13">
        <v>9</v>
      </c>
      <c r="F30" s="13">
        <v>16</v>
      </c>
      <c r="G30" s="13">
        <v>10</v>
      </c>
      <c r="H30" s="16">
        <v>0.63</v>
      </c>
      <c r="I30" s="13">
        <v>51</v>
      </c>
      <c r="J30" s="13">
        <v>32</v>
      </c>
      <c r="K30" s="13">
        <v>9</v>
      </c>
      <c r="L30" s="13">
        <v>24</v>
      </c>
      <c r="M30" s="13">
        <v>17</v>
      </c>
      <c r="N30" s="16">
        <v>0.71</v>
      </c>
      <c r="O30" s="13">
        <v>49</v>
      </c>
      <c r="P30" s="13">
        <v>30</v>
      </c>
      <c r="Q30" s="13">
        <v>9</v>
      </c>
      <c r="R30" s="13">
        <v>34</v>
      </c>
      <c r="S30" s="13">
        <v>18</v>
      </c>
      <c r="T30" s="16">
        <v>0.53</v>
      </c>
      <c r="U30" s="13">
        <v>53</v>
      </c>
      <c r="V30" s="13">
        <v>36</v>
      </c>
      <c r="W30" s="13">
        <v>22</v>
      </c>
      <c r="X30" s="13">
        <v>41</v>
      </c>
      <c r="Y30" s="13">
        <v>19</v>
      </c>
      <c r="Z30" s="16">
        <v>0.46</v>
      </c>
      <c r="AA30" s="13">
        <v>70</v>
      </c>
      <c r="AB30" s="13">
        <v>26</v>
      </c>
      <c r="AC30" s="13">
        <v>14</v>
      </c>
      <c r="AD30" s="13">
        <v>27</v>
      </c>
      <c r="AE30" s="13">
        <v>9</v>
      </c>
      <c r="AF30" s="16">
        <v>0.33</v>
      </c>
      <c r="AG30" s="13">
        <v>49</v>
      </c>
      <c r="AH30" s="13">
        <v>31</v>
      </c>
      <c r="AI30" s="13">
        <v>15</v>
      </c>
      <c r="AJ30" s="13">
        <v>28</v>
      </c>
      <c r="AK30" s="13">
        <v>11</v>
      </c>
      <c r="AL30" s="16">
        <v>0.39</v>
      </c>
      <c r="AM30" s="13">
        <v>64</v>
      </c>
      <c r="AN30" s="13">
        <v>32</v>
      </c>
      <c r="AO30" s="13">
        <v>23</v>
      </c>
      <c r="AP30" s="13">
        <v>41</v>
      </c>
      <c r="AQ30" s="13">
        <v>23</v>
      </c>
      <c r="AR30" s="16">
        <v>0.56000000000000005</v>
      </c>
      <c r="AS30" s="13">
        <v>99</v>
      </c>
      <c r="AT30" s="13">
        <v>37</v>
      </c>
      <c r="AU30" s="13">
        <v>19</v>
      </c>
      <c r="AV30" s="13">
        <v>52</v>
      </c>
      <c r="AW30" s="13">
        <v>20</v>
      </c>
      <c r="AX30" s="16">
        <v>0.38</v>
      </c>
      <c r="AY30" s="13">
        <v>79</v>
      </c>
      <c r="AZ30" s="13">
        <v>28</v>
      </c>
      <c r="BA30" s="13">
        <v>19</v>
      </c>
      <c r="BB30" s="13">
        <v>38</v>
      </c>
      <c r="BC30" s="13">
        <v>16</v>
      </c>
      <c r="BD30" s="16">
        <v>0.42</v>
      </c>
      <c r="BE30" s="13">
        <v>67</v>
      </c>
      <c r="BF30" s="13">
        <v>25</v>
      </c>
      <c r="BG30" s="13">
        <v>15</v>
      </c>
      <c r="BH30" s="13">
        <v>35</v>
      </c>
      <c r="BI30" s="13">
        <v>15</v>
      </c>
      <c r="BJ30" s="16">
        <v>0.43</v>
      </c>
      <c r="BK30" s="13">
        <v>74</v>
      </c>
      <c r="BL30" s="13">
        <v>22</v>
      </c>
      <c r="BM30" s="13">
        <v>12</v>
      </c>
      <c r="BN30" s="13">
        <v>33</v>
      </c>
      <c r="BO30" s="13">
        <v>16</v>
      </c>
      <c r="BP30" s="16">
        <v>0.48</v>
      </c>
      <c r="BQ30" s="13">
        <v>79</v>
      </c>
      <c r="BR30" s="13">
        <v>26</v>
      </c>
      <c r="BS30" s="13">
        <v>15</v>
      </c>
      <c r="BT30" s="13">
        <v>39</v>
      </c>
      <c r="BU30" s="13">
        <v>13</v>
      </c>
      <c r="BV30" s="16">
        <v>0.33</v>
      </c>
      <c r="BW30" t="s">
        <v>526</v>
      </c>
      <c r="BX30" t="s">
        <v>520</v>
      </c>
      <c r="BY30" t="str">
        <f t="shared" si="0"/>
        <v>Proportion of CLTI treated within 5 days England</v>
      </c>
      <c r="BZ30" s="4">
        <v>0.56897054534849811</v>
      </c>
      <c r="CA30" s="4">
        <v>0.52658569500674768</v>
      </c>
      <c r="CB30" s="4">
        <v>0.50914298303591099</v>
      </c>
    </row>
    <row r="31" spans="1:80" x14ac:dyDescent="0.25">
      <c r="A31" s="15" t="s">
        <v>150</v>
      </c>
      <c r="B31" s="15" t="s">
        <v>149</v>
      </c>
      <c r="C31" s="13">
        <v>0</v>
      </c>
      <c r="D31" s="13">
        <v>0</v>
      </c>
      <c r="E31" s="13">
        <v>0</v>
      </c>
      <c r="F31" s="13">
        <v>0</v>
      </c>
      <c r="G31" s="13">
        <v>0</v>
      </c>
      <c r="H31" s="16" t="s">
        <v>122</v>
      </c>
      <c r="I31" s="13">
        <v>3</v>
      </c>
      <c r="J31" s="13">
        <v>1</v>
      </c>
      <c r="K31" s="13">
        <v>0</v>
      </c>
      <c r="L31" s="13">
        <v>2</v>
      </c>
      <c r="M31" s="13">
        <v>2</v>
      </c>
      <c r="N31" s="16">
        <v>1</v>
      </c>
      <c r="O31" s="13">
        <v>5</v>
      </c>
      <c r="P31" s="13">
        <v>1</v>
      </c>
      <c r="Q31" s="13">
        <v>0</v>
      </c>
      <c r="R31" s="13">
        <v>2</v>
      </c>
      <c r="S31" s="13">
        <v>0</v>
      </c>
      <c r="T31" s="16">
        <v>0</v>
      </c>
      <c r="U31" s="13">
        <v>2</v>
      </c>
      <c r="V31" s="13">
        <v>0</v>
      </c>
      <c r="W31" s="13">
        <v>0</v>
      </c>
      <c r="X31" s="13">
        <v>1</v>
      </c>
      <c r="Y31" s="13">
        <v>0</v>
      </c>
      <c r="Z31" s="16">
        <v>0</v>
      </c>
      <c r="AA31" s="13">
        <v>3</v>
      </c>
      <c r="AB31" s="13">
        <v>0</v>
      </c>
      <c r="AC31" s="13">
        <v>0</v>
      </c>
      <c r="AD31" s="13">
        <v>3</v>
      </c>
      <c r="AE31" s="13">
        <v>1</v>
      </c>
      <c r="AF31" s="16">
        <v>0.33</v>
      </c>
      <c r="AG31" s="13">
        <v>5</v>
      </c>
      <c r="AH31" s="13">
        <v>0</v>
      </c>
      <c r="AI31" s="13">
        <v>0</v>
      </c>
      <c r="AJ31" s="13">
        <v>2</v>
      </c>
      <c r="AK31" s="13">
        <v>0</v>
      </c>
      <c r="AL31" s="16">
        <v>0</v>
      </c>
      <c r="AM31" s="13">
        <v>7</v>
      </c>
      <c r="AN31" s="13">
        <v>0</v>
      </c>
      <c r="AO31" s="13">
        <v>0</v>
      </c>
      <c r="AP31" s="13">
        <v>5</v>
      </c>
      <c r="AQ31" s="13">
        <v>1</v>
      </c>
      <c r="AR31" s="16">
        <v>0.2</v>
      </c>
      <c r="AS31" s="13">
        <v>2</v>
      </c>
      <c r="AT31" s="13">
        <v>0</v>
      </c>
      <c r="AU31" s="13">
        <v>0</v>
      </c>
      <c r="AV31" s="13">
        <v>0</v>
      </c>
      <c r="AW31" s="13">
        <v>0</v>
      </c>
      <c r="AX31" s="16" t="s">
        <v>122</v>
      </c>
      <c r="AY31" s="13">
        <v>2</v>
      </c>
      <c r="AZ31" s="13">
        <v>0</v>
      </c>
      <c r="BA31" s="13">
        <v>0</v>
      </c>
      <c r="BB31" s="13">
        <v>0</v>
      </c>
      <c r="BC31" s="13">
        <v>0</v>
      </c>
      <c r="BD31" s="16" t="s">
        <v>122</v>
      </c>
      <c r="BE31" s="13">
        <v>1</v>
      </c>
      <c r="BF31" s="13">
        <v>0</v>
      </c>
      <c r="BG31" s="13">
        <v>0</v>
      </c>
      <c r="BH31" s="13">
        <v>0</v>
      </c>
      <c r="BI31" s="13">
        <v>0</v>
      </c>
      <c r="BJ31" s="16" t="s">
        <v>122</v>
      </c>
      <c r="BK31" s="13">
        <v>0</v>
      </c>
      <c r="BL31" s="13">
        <v>0</v>
      </c>
      <c r="BM31" s="13">
        <v>0</v>
      </c>
      <c r="BN31" s="13">
        <v>0</v>
      </c>
      <c r="BO31" s="13">
        <v>0</v>
      </c>
      <c r="BP31" s="16" t="s">
        <v>122</v>
      </c>
      <c r="BQ31" s="13">
        <v>0</v>
      </c>
      <c r="BR31" s="13">
        <v>0</v>
      </c>
      <c r="BS31" s="13">
        <v>0</v>
      </c>
      <c r="BT31" s="13">
        <v>0</v>
      </c>
      <c r="BU31" s="13">
        <v>0</v>
      </c>
      <c r="BV31" s="16" t="s">
        <v>122</v>
      </c>
      <c r="BW31" t="s">
        <v>528</v>
      </c>
      <c r="BX31" t="s">
        <v>520</v>
      </c>
      <c r="BY31" t="str">
        <f t="shared" si="0"/>
        <v>Proportion of CLTI treated within 5 days Scotland</v>
      </c>
      <c r="BZ31" s="4">
        <v>0.63200000000000001</v>
      </c>
      <c r="CA31" s="4">
        <v>0.61654135338345861</v>
      </c>
      <c r="CB31" s="4">
        <v>0.62295081967213117</v>
      </c>
    </row>
    <row r="32" spans="1:80" x14ac:dyDescent="0.25">
      <c r="A32" s="15" t="s">
        <v>115</v>
      </c>
      <c r="B32" s="15" t="s">
        <v>114</v>
      </c>
      <c r="C32" s="13">
        <v>12</v>
      </c>
      <c r="D32" s="13">
        <v>0</v>
      </c>
      <c r="E32" s="13">
        <v>0</v>
      </c>
      <c r="F32" s="13">
        <v>1</v>
      </c>
      <c r="G32" s="13">
        <v>0</v>
      </c>
      <c r="H32" s="16">
        <v>0</v>
      </c>
      <c r="I32" s="13">
        <v>12</v>
      </c>
      <c r="J32" s="13">
        <v>0</v>
      </c>
      <c r="K32" s="13">
        <v>0</v>
      </c>
      <c r="L32" s="13">
        <v>0</v>
      </c>
      <c r="M32" s="13">
        <v>0</v>
      </c>
      <c r="N32" s="16" t="s">
        <v>122</v>
      </c>
      <c r="O32" s="13">
        <v>2</v>
      </c>
      <c r="P32" s="13">
        <v>0</v>
      </c>
      <c r="Q32" s="13">
        <v>0</v>
      </c>
      <c r="R32" s="13">
        <v>0</v>
      </c>
      <c r="S32" s="13">
        <v>0</v>
      </c>
      <c r="T32" s="16" t="s">
        <v>122</v>
      </c>
      <c r="U32" s="13">
        <v>1</v>
      </c>
      <c r="V32" s="13">
        <v>0</v>
      </c>
      <c r="W32" s="13">
        <v>0</v>
      </c>
      <c r="X32" s="13">
        <v>0</v>
      </c>
      <c r="Y32" s="13">
        <v>0</v>
      </c>
      <c r="Z32" s="16" t="s">
        <v>122</v>
      </c>
      <c r="AA32" s="13">
        <v>6</v>
      </c>
      <c r="AB32" s="13">
        <v>0</v>
      </c>
      <c r="AC32" s="13">
        <v>0</v>
      </c>
      <c r="AD32" s="13">
        <v>0</v>
      </c>
      <c r="AE32" s="13">
        <v>0</v>
      </c>
      <c r="AF32" s="16" t="s">
        <v>122</v>
      </c>
      <c r="AG32" s="13">
        <v>3</v>
      </c>
      <c r="AH32" s="13">
        <v>0</v>
      </c>
      <c r="AI32" s="13">
        <v>0</v>
      </c>
      <c r="AJ32" s="13">
        <v>0</v>
      </c>
      <c r="AK32" s="13">
        <v>0</v>
      </c>
      <c r="AL32" s="16" t="s">
        <v>122</v>
      </c>
      <c r="AM32" s="13">
        <v>2</v>
      </c>
      <c r="AN32" s="13">
        <v>0</v>
      </c>
      <c r="AO32" s="13">
        <v>0</v>
      </c>
      <c r="AP32" s="13">
        <v>0</v>
      </c>
      <c r="AQ32" s="13">
        <v>0</v>
      </c>
      <c r="AR32" s="16" t="s">
        <v>122</v>
      </c>
      <c r="AS32" s="13">
        <v>4</v>
      </c>
      <c r="AT32" s="13">
        <v>0</v>
      </c>
      <c r="AU32" s="13">
        <v>0</v>
      </c>
      <c r="AV32" s="13">
        <v>0</v>
      </c>
      <c r="AW32" s="13">
        <v>0</v>
      </c>
      <c r="AX32" s="16" t="s">
        <v>122</v>
      </c>
      <c r="AY32" s="13">
        <v>7</v>
      </c>
      <c r="AZ32" s="13">
        <v>0</v>
      </c>
      <c r="BA32" s="13">
        <v>0</v>
      </c>
      <c r="BB32" s="13">
        <v>0</v>
      </c>
      <c r="BC32" s="13">
        <v>0</v>
      </c>
      <c r="BD32" s="16" t="s">
        <v>122</v>
      </c>
      <c r="BE32" s="13">
        <v>2</v>
      </c>
      <c r="BF32" s="13">
        <v>0</v>
      </c>
      <c r="BG32" s="13">
        <v>0</v>
      </c>
      <c r="BH32" s="13">
        <v>0</v>
      </c>
      <c r="BI32" s="13">
        <v>0</v>
      </c>
      <c r="BJ32" s="16" t="s">
        <v>122</v>
      </c>
      <c r="BK32" s="13">
        <v>8</v>
      </c>
      <c r="BL32" s="13">
        <v>0</v>
      </c>
      <c r="BM32" s="13">
        <v>0</v>
      </c>
      <c r="BN32" s="13">
        <v>2</v>
      </c>
      <c r="BO32" s="13">
        <v>0</v>
      </c>
      <c r="BP32" s="16">
        <v>0</v>
      </c>
      <c r="BQ32" s="13">
        <v>4</v>
      </c>
      <c r="BR32" s="13">
        <v>1</v>
      </c>
      <c r="BS32" s="13">
        <v>0</v>
      </c>
      <c r="BT32" s="13">
        <v>1</v>
      </c>
      <c r="BU32" s="13">
        <v>1</v>
      </c>
      <c r="BV32" s="16">
        <v>1</v>
      </c>
      <c r="BW32" t="s">
        <v>528</v>
      </c>
      <c r="BX32" t="s">
        <v>520</v>
      </c>
      <c r="BY32" t="str">
        <f t="shared" si="0"/>
        <v>Proportion of CLTI treated within 5 days Scotland</v>
      </c>
      <c r="BZ32" s="4">
        <v>0.63200000000000001</v>
      </c>
      <c r="CA32" s="4">
        <v>0.61654135338345861</v>
      </c>
      <c r="CB32" s="4">
        <v>0.62295081967213117</v>
      </c>
    </row>
    <row r="33" spans="1:80" x14ac:dyDescent="0.25">
      <c r="A33" s="15" t="s">
        <v>109</v>
      </c>
      <c r="B33" s="15" t="s">
        <v>108</v>
      </c>
      <c r="C33" s="13">
        <v>3</v>
      </c>
      <c r="D33" s="13">
        <v>4</v>
      </c>
      <c r="E33" s="13">
        <v>1</v>
      </c>
      <c r="F33" s="13">
        <v>3</v>
      </c>
      <c r="G33" s="13">
        <v>2</v>
      </c>
      <c r="H33" s="16">
        <v>0.67</v>
      </c>
      <c r="I33" s="13">
        <v>4</v>
      </c>
      <c r="J33" s="13">
        <v>6</v>
      </c>
      <c r="K33" s="13">
        <v>4</v>
      </c>
      <c r="L33" s="13">
        <v>9</v>
      </c>
      <c r="M33" s="13">
        <v>6</v>
      </c>
      <c r="N33" s="16">
        <v>0.67</v>
      </c>
      <c r="O33" s="13">
        <v>4</v>
      </c>
      <c r="P33" s="13">
        <v>14</v>
      </c>
      <c r="Q33" s="13">
        <v>4</v>
      </c>
      <c r="R33" s="13">
        <v>9</v>
      </c>
      <c r="S33" s="13">
        <v>7</v>
      </c>
      <c r="T33" s="16">
        <v>0.78</v>
      </c>
      <c r="U33" s="13">
        <v>3</v>
      </c>
      <c r="V33" s="13">
        <v>4</v>
      </c>
      <c r="W33" s="13">
        <v>4</v>
      </c>
      <c r="X33" s="13">
        <v>1</v>
      </c>
      <c r="Y33" s="13">
        <v>1</v>
      </c>
      <c r="Z33" s="16">
        <v>1</v>
      </c>
      <c r="AA33" s="13">
        <v>1</v>
      </c>
      <c r="AB33" s="13">
        <v>18</v>
      </c>
      <c r="AC33" s="13">
        <v>2</v>
      </c>
      <c r="AD33" s="13">
        <v>4</v>
      </c>
      <c r="AE33" s="13">
        <v>2</v>
      </c>
      <c r="AF33" s="16">
        <v>0.5</v>
      </c>
      <c r="AG33" s="13">
        <v>1</v>
      </c>
      <c r="AH33" s="13">
        <v>8</v>
      </c>
      <c r="AI33" s="13">
        <v>2</v>
      </c>
      <c r="AJ33" s="13">
        <v>3</v>
      </c>
      <c r="AK33" s="13">
        <v>1</v>
      </c>
      <c r="AL33" s="16">
        <v>0.33</v>
      </c>
      <c r="AM33" s="13">
        <v>0</v>
      </c>
      <c r="AN33" s="13">
        <v>5</v>
      </c>
      <c r="AO33" s="13">
        <v>0</v>
      </c>
      <c r="AP33" s="13">
        <v>3</v>
      </c>
      <c r="AQ33" s="13">
        <v>2</v>
      </c>
      <c r="AR33" s="16">
        <v>0.67</v>
      </c>
      <c r="AS33" s="13">
        <v>0</v>
      </c>
      <c r="AT33" s="13">
        <v>4</v>
      </c>
      <c r="AU33" s="13">
        <v>0</v>
      </c>
      <c r="AV33" s="13">
        <v>2</v>
      </c>
      <c r="AW33" s="13">
        <v>0</v>
      </c>
      <c r="AX33" s="16">
        <v>0</v>
      </c>
      <c r="AY33" s="13">
        <v>0</v>
      </c>
      <c r="AZ33" s="13">
        <v>1</v>
      </c>
      <c r="BA33" s="13">
        <v>0</v>
      </c>
      <c r="BB33" s="13">
        <v>0</v>
      </c>
      <c r="BC33" s="13">
        <v>0</v>
      </c>
      <c r="BD33" s="16" t="s">
        <v>122</v>
      </c>
      <c r="BE33" s="13">
        <v>0</v>
      </c>
      <c r="BF33" s="13">
        <v>0</v>
      </c>
      <c r="BG33" s="13">
        <v>0</v>
      </c>
      <c r="BH33" s="13">
        <v>0</v>
      </c>
      <c r="BI33" s="13">
        <v>0</v>
      </c>
      <c r="BJ33" s="16" t="s">
        <v>122</v>
      </c>
      <c r="BK33" s="13">
        <v>0</v>
      </c>
      <c r="BL33" s="13">
        <v>3</v>
      </c>
      <c r="BM33" s="13">
        <v>0</v>
      </c>
      <c r="BN33" s="13">
        <v>0</v>
      </c>
      <c r="BO33" s="13">
        <v>0</v>
      </c>
      <c r="BP33" s="16" t="s">
        <v>122</v>
      </c>
      <c r="BQ33" s="13">
        <v>0</v>
      </c>
      <c r="BR33" s="13">
        <v>2</v>
      </c>
      <c r="BS33" s="13">
        <v>0</v>
      </c>
      <c r="BT33" s="13">
        <v>0</v>
      </c>
      <c r="BU33" s="13">
        <v>0</v>
      </c>
      <c r="BV33" s="16" t="s">
        <v>122</v>
      </c>
      <c r="BW33" t="s">
        <v>528</v>
      </c>
      <c r="BX33" t="s">
        <v>520</v>
      </c>
      <c r="BY33" t="str">
        <f t="shared" si="0"/>
        <v>Proportion of CLTI treated within 5 days Scotland</v>
      </c>
      <c r="BZ33" s="4">
        <v>0.63200000000000001</v>
      </c>
      <c r="CA33" s="4">
        <v>0.61654135338345861</v>
      </c>
      <c r="CB33" s="4">
        <v>0.62295081967213117</v>
      </c>
    </row>
    <row r="34" spans="1:80" x14ac:dyDescent="0.25">
      <c r="A34" s="15" t="s">
        <v>103</v>
      </c>
      <c r="B34" s="15" t="s">
        <v>102</v>
      </c>
      <c r="C34" s="13">
        <v>2</v>
      </c>
      <c r="D34" s="13">
        <v>24</v>
      </c>
      <c r="E34" s="13">
        <v>2</v>
      </c>
      <c r="F34" s="13">
        <v>18</v>
      </c>
      <c r="G34" s="13">
        <v>12</v>
      </c>
      <c r="H34" s="16">
        <v>0.67</v>
      </c>
      <c r="I34" s="13">
        <v>0</v>
      </c>
      <c r="J34" s="13">
        <v>11</v>
      </c>
      <c r="K34" s="13">
        <v>1</v>
      </c>
      <c r="L34" s="13">
        <v>4</v>
      </c>
      <c r="M34" s="13">
        <v>4</v>
      </c>
      <c r="N34" s="16">
        <v>1</v>
      </c>
      <c r="O34" s="13">
        <v>1</v>
      </c>
      <c r="P34" s="13">
        <v>9</v>
      </c>
      <c r="Q34" s="13">
        <v>3</v>
      </c>
      <c r="R34" s="13">
        <v>2</v>
      </c>
      <c r="S34" s="13">
        <v>2</v>
      </c>
      <c r="T34" s="16">
        <v>1</v>
      </c>
      <c r="U34" s="13">
        <v>1</v>
      </c>
      <c r="V34" s="13">
        <v>14</v>
      </c>
      <c r="W34" s="13">
        <v>4</v>
      </c>
      <c r="X34" s="13">
        <v>9</v>
      </c>
      <c r="Y34" s="13">
        <v>6</v>
      </c>
      <c r="Z34" s="16">
        <v>0.67</v>
      </c>
      <c r="AA34" s="13">
        <v>1</v>
      </c>
      <c r="AB34" s="13">
        <v>8</v>
      </c>
      <c r="AC34" s="13">
        <v>6</v>
      </c>
      <c r="AD34" s="13">
        <v>9</v>
      </c>
      <c r="AE34" s="13">
        <v>9</v>
      </c>
      <c r="AF34" s="16">
        <v>1</v>
      </c>
      <c r="AG34" s="13">
        <v>7</v>
      </c>
      <c r="AH34" s="13">
        <v>5</v>
      </c>
      <c r="AI34" s="13">
        <v>4</v>
      </c>
      <c r="AJ34" s="13">
        <v>7</v>
      </c>
      <c r="AK34" s="13">
        <v>5</v>
      </c>
      <c r="AL34" s="16">
        <v>0.71</v>
      </c>
      <c r="AM34" s="13">
        <v>0</v>
      </c>
      <c r="AN34" s="13">
        <v>16</v>
      </c>
      <c r="AO34" s="13">
        <v>5</v>
      </c>
      <c r="AP34" s="13">
        <v>6</v>
      </c>
      <c r="AQ34" s="13">
        <v>4</v>
      </c>
      <c r="AR34" s="16">
        <v>0.67</v>
      </c>
      <c r="AS34" s="13">
        <v>0</v>
      </c>
      <c r="AT34" s="13">
        <v>18</v>
      </c>
      <c r="AU34" s="13">
        <v>7</v>
      </c>
      <c r="AV34" s="13">
        <v>13</v>
      </c>
      <c r="AW34" s="13">
        <v>11</v>
      </c>
      <c r="AX34" s="16">
        <v>0.85</v>
      </c>
      <c r="AY34" s="13">
        <v>0</v>
      </c>
      <c r="AZ34" s="13">
        <v>19</v>
      </c>
      <c r="BA34" s="13">
        <v>6</v>
      </c>
      <c r="BB34" s="13">
        <v>6</v>
      </c>
      <c r="BC34" s="13">
        <v>6</v>
      </c>
      <c r="BD34" s="16">
        <v>1</v>
      </c>
      <c r="BE34" s="13">
        <v>2</v>
      </c>
      <c r="BF34" s="13">
        <v>14</v>
      </c>
      <c r="BG34" s="13">
        <v>2</v>
      </c>
      <c r="BH34" s="13">
        <v>4</v>
      </c>
      <c r="BI34" s="13">
        <v>3</v>
      </c>
      <c r="BJ34" s="16">
        <v>0.75</v>
      </c>
      <c r="BK34" s="13">
        <v>1</v>
      </c>
      <c r="BL34" s="13">
        <v>13</v>
      </c>
      <c r="BM34" s="13">
        <v>9</v>
      </c>
      <c r="BN34" s="13">
        <v>3</v>
      </c>
      <c r="BO34" s="13">
        <v>3</v>
      </c>
      <c r="BP34" s="16">
        <v>1</v>
      </c>
      <c r="BQ34" s="13">
        <v>5</v>
      </c>
      <c r="BR34" s="13">
        <v>24</v>
      </c>
      <c r="BS34" s="13">
        <v>12</v>
      </c>
      <c r="BT34" s="13">
        <v>14</v>
      </c>
      <c r="BU34" s="13">
        <v>11</v>
      </c>
      <c r="BV34" s="16">
        <v>0.79</v>
      </c>
      <c r="BW34" t="s">
        <v>528</v>
      </c>
      <c r="BX34" t="s">
        <v>520</v>
      </c>
      <c r="BY34" t="str">
        <f t="shared" si="0"/>
        <v>Proportion of CLTI treated within 5 days Scotland</v>
      </c>
      <c r="BZ34" s="4">
        <v>0.63200000000000001</v>
      </c>
      <c r="CA34" s="4">
        <v>0.61654135338345861</v>
      </c>
      <c r="CB34" s="4">
        <v>0.62295081967213117</v>
      </c>
    </row>
    <row r="35" spans="1:80" x14ac:dyDescent="0.25">
      <c r="A35" s="15" t="s">
        <v>105</v>
      </c>
      <c r="B35" s="15" t="s">
        <v>104</v>
      </c>
      <c r="C35" s="13">
        <v>0</v>
      </c>
      <c r="D35" s="13">
        <v>17</v>
      </c>
      <c r="E35" s="13">
        <v>0</v>
      </c>
      <c r="F35" s="13">
        <v>11</v>
      </c>
      <c r="G35" s="13">
        <v>7</v>
      </c>
      <c r="H35" s="16">
        <v>0.64</v>
      </c>
      <c r="I35" s="13">
        <v>0</v>
      </c>
      <c r="J35" s="13">
        <v>17</v>
      </c>
      <c r="K35" s="13">
        <v>0</v>
      </c>
      <c r="L35" s="13">
        <v>11</v>
      </c>
      <c r="M35" s="13">
        <v>8</v>
      </c>
      <c r="N35" s="16">
        <v>0.73</v>
      </c>
      <c r="O35" s="13">
        <v>0</v>
      </c>
      <c r="P35" s="13">
        <v>12</v>
      </c>
      <c r="Q35" s="13">
        <v>1</v>
      </c>
      <c r="R35" s="13">
        <v>8</v>
      </c>
      <c r="S35" s="13">
        <v>4</v>
      </c>
      <c r="T35" s="16">
        <v>0.5</v>
      </c>
      <c r="U35" s="13">
        <v>0</v>
      </c>
      <c r="V35" s="13">
        <v>22</v>
      </c>
      <c r="W35" s="13">
        <v>0</v>
      </c>
      <c r="X35" s="13">
        <v>10</v>
      </c>
      <c r="Y35" s="13">
        <v>6</v>
      </c>
      <c r="Z35" s="16">
        <v>0.6</v>
      </c>
      <c r="AA35" s="13">
        <v>0</v>
      </c>
      <c r="AB35" s="13">
        <v>18</v>
      </c>
      <c r="AC35" s="13">
        <v>0</v>
      </c>
      <c r="AD35" s="13">
        <v>9</v>
      </c>
      <c r="AE35" s="13">
        <v>8</v>
      </c>
      <c r="AF35" s="16">
        <v>0.89</v>
      </c>
      <c r="AG35" s="13">
        <v>0</v>
      </c>
      <c r="AH35" s="13">
        <v>10</v>
      </c>
      <c r="AI35" s="13">
        <v>1</v>
      </c>
      <c r="AJ35" s="13">
        <v>4</v>
      </c>
      <c r="AK35" s="13">
        <v>4</v>
      </c>
      <c r="AL35" s="16">
        <v>1</v>
      </c>
      <c r="AM35" s="13">
        <v>0</v>
      </c>
      <c r="AN35" s="13">
        <v>17</v>
      </c>
      <c r="AO35" s="13">
        <v>2</v>
      </c>
      <c r="AP35" s="13">
        <v>7</v>
      </c>
      <c r="AQ35" s="13">
        <v>6</v>
      </c>
      <c r="AR35" s="16">
        <v>0.86</v>
      </c>
      <c r="AS35" s="13">
        <v>0</v>
      </c>
      <c r="AT35" s="13">
        <v>18</v>
      </c>
      <c r="AU35" s="13">
        <v>0</v>
      </c>
      <c r="AV35" s="13">
        <v>2</v>
      </c>
      <c r="AW35" s="13">
        <v>2</v>
      </c>
      <c r="AX35" s="16">
        <v>1</v>
      </c>
      <c r="AY35" s="13">
        <v>0</v>
      </c>
      <c r="AZ35" s="13">
        <v>19</v>
      </c>
      <c r="BA35" s="13">
        <v>1</v>
      </c>
      <c r="BB35" s="13">
        <v>5</v>
      </c>
      <c r="BC35" s="13">
        <v>2</v>
      </c>
      <c r="BD35" s="16">
        <v>0.4</v>
      </c>
      <c r="BE35" s="13">
        <v>0</v>
      </c>
      <c r="BF35" s="13">
        <v>25</v>
      </c>
      <c r="BG35" s="13">
        <v>0</v>
      </c>
      <c r="BH35" s="13">
        <v>6</v>
      </c>
      <c r="BI35" s="13">
        <v>4</v>
      </c>
      <c r="BJ35" s="16">
        <v>0.67</v>
      </c>
      <c r="BK35" s="13">
        <v>0</v>
      </c>
      <c r="BL35" s="13">
        <v>22</v>
      </c>
      <c r="BM35" s="13">
        <v>1</v>
      </c>
      <c r="BN35" s="13">
        <v>9</v>
      </c>
      <c r="BO35" s="13">
        <v>7</v>
      </c>
      <c r="BP35" s="16">
        <v>0.78</v>
      </c>
      <c r="BQ35" s="13">
        <v>0</v>
      </c>
      <c r="BR35" s="13">
        <v>17</v>
      </c>
      <c r="BS35" s="13">
        <v>1</v>
      </c>
      <c r="BT35" s="13">
        <v>5</v>
      </c>
      <c r="BU35" s="13">
        <v>3</v>
      </c>
      <c r="BV35" s="16">
        <v>0.6</v>
      </c>
      <c r="BW35" t="s">
        <v>528</v>
      </c>
      <c r="BX35" t="s">
        <v>520</v>
      </c>
      <c r="BY35" t="str">
        <f t="shared" si="0"/>
        <v>Proportion of CLTI treated within 5 days Scotland</v>
      </c>
      <c r="BZ35" s="4">
        <v>0.63200000000000001</v>
      </c>
      <c r="CA35" s="4">
        <v>0.61654135338345861</v>
      </c>
      <c r="CB35" s="4">
        <v>0.62295081967213117</v>
      </c>
    </row>
    <row r="36" spans="1:80" x14ac:dyDescent="0.25">
      <c r="A36" s="15" t="s">
        <v>107</v>
      </c>
      <c r="B36" s="15" t="s">
        <v>106</v>
      </c>
      <c r="C36" s="13">
        <v>0</v>
      </c>
      <c r="D36" s="13">
        <v>11</v>
      </c>
      <c r="E36" s="13">
        <v>0</v>
      </c>
      <c r="F36" s="13">
        <v>1</v>
      </c>
      <c r="G36" s="13">
        <v>0</v>
      </c>
      <c r="H36" s="16">
        <v>0</v>
      </c>
      <c r="I36" s="13">
        <v>0</v>
      </c>
      <c r="J36" s="13">
        <v>9</v>
      </c>
      <c r="K36" s="13">
        <v>0</v>
      </c>
      <c r="L36" s="13">
        <v>2</v>
      </c>
      <c r="M36" s="13">
        <v>0</v>
      </c>
      <c r="N36" s="16">
        <v>0</v>
      </c>
      <c r="O36" s="13">
        <v>0</v>
      </c>
      <c r="P36" s="13">
        <v>6</v>
      </c>
      <c r="Q36" s="13">
        <v>0</v>
      </c>
      <c r="R36" s="13">
        <v>2</v>
      </c>
      <c r="S36" s="13">
        <v>1</v>
      </c>
      <c r="T36" s="16">
        <v>0.5</v>
      </c>
      <c r="U36" s="13">
        <v>0</v>
      </c>
      <c r="V36" s="13">
        <v>15</v>
      </c>
      <c r="W36" s="13">
        <v>0</v>
      </c>
      <c r="X36" s="13">
        <v>4</v>
      </c>
      <c r="Y36" s="13">
        <v>3</v>
      </c>
      <c r="Z36" s="16">
        <v>0.75</v>
      </c>
      <c r="AA36" s="13">
        <v>0</v>
      </c>
      <c r="AB36" s="13">
        <v>9</v>
      </c>
      <c r="AC36" s="13">
        <v>4</v>
      </c>
      <c r="AD36" s="13">
        <v>5</v>
      </c>
      <c r="AE36" s="13">
        <v>2</v>
      </c>
      <c r="AF36" s="16">
        <v>0.4</v>
      </c>
      <c r="AG36" s="13">
        <v>0</v>
      </c>
      <c r="AH36" s="13">
        <v>13</v>
      </c>
      <c r="AI36" s="13">
        <v>1</v>
      </c>
      <c r="AJ36" s="13">
        <v>6</v>
      </c>
      <c r="AK36" s="13">
        <v>2</v>
      </c>
      <c r="AL36" s="16">
        <v>0.33</v>
      </c>
      <c r="AM36" s="13">
        <v>0</v>
      </c>
      <c r="AN36" s="13">
        <v>11</v>
      </c>
      <c r="AO36" s="13">
        <v>4</v>
      </c>
      <c r="AP36" s="13">
        <v>4</v>
      </c>
      <c r="AQ36" s="13">
        <v>2</v>
      </c>
      <c r="AR36" s="16">
        <v>0.5</v>
      </c>
      <c r="AS36" s="13">
        <v>0</v>
      </c>
      <c r="AT36" s="13">
        <v>6</v>
      </c>
      <c r="AU36" s="13">
        <v>2</v>
      </c>
      <c r="AV36" s="13">
        <v>4</v>
      </c>
      <c r="AW36" s="13">
        <v>2</v>
      </c>
      <c r="AX36" s="16">
        <v>0.5</v>
      </c>
      <c r="AY36" s="13">
        <v>0</v>
      </c>
      <c r="AZ36" s="13">
        <v>13</v>
      </c>
      <c r="BA36" s="13">
        <v>4</v>
      </c>
      <c r="BB36" s="13">
        <v>6</v>
      </c>
      <c r="BC36" s="13">
        <v>5</v>
      </c>
      <c r="BD36" s="16">
        <v>0.83</v>
      </c>
      <c r="BE36" s="13">
        <v>0</v>
      </c>
      <c r="BF36" s="13">
        <v>21</v>
      </c>
      <c r="BG36" s="13">
        <v>1</v>
      </c>
      <c r="BH36" s="13">
        <v>1</v>
      </c>
      <c r="BI36" s="13">
        <v>0</v>
      </c>
      <c r="BJ36" s="16">
        <v>0</v>
      </c>
      <c r="BK36" s="13">
        <v>0</v>
      </c>
      <c r="BL36" s="13">
        <v>21</v>
      </c>
      <c r="BM36" s="13">
        <v>3</v>
      </c>
      <c r="BN36" s="13">
        <v>3</v>
      </c>
      <c r="BO36" s="13">
        <v>1</v>
      </c>
      <c r="BP36" s="16">
        <v>0.33</v>
      </c>
      <c r="BQ36" s="13">
        <v>0</v>
      </c>
      <c r="BR36" s="13">
        <v>18</v>
      </c>
      <c r="BS36" s="13">
        <v>1</v>
      </c>
      <c r="BT36" s="13">
        <v>3</v>
      </c>
      <c r="BU36" s="13">
        <v>2</v>
      </c>
      <c r="BV36" s="16">
        <v>0.67</v>
      </c>
      <c r="BW36" t="s">
        <v>528</v>
      </c>
      <c r="BX36" t="s">
        <v>520</v>
      </c>
      <c r="BY36" t="str">
        <f t="shared" si="0"/>
        <v>Proportion of CLTI treated within 5 days Scotland</v>
      </c>
      <c r="BZ36" s="4">
        <v>0.63200000000000001</v>
      </c>
      <c r="CA36" s="4">
        <v>0.61654135338345861</v>
      </c>
      <c r="CB36" s="4">
        <v>0.62295081967213117</v>
      </c>
    </row>
    <row r="37" spans="1:80" x14ac:dyDescent="0.25">
      <c r="A37" s="15" t="s">
        <v>111</v>
      </c>
      <c r="B37" s="15" t="s">
        <v>110</v>
      </c>
      <c r="C37" s="13">
        <v>0</v>
      </c>
      <c r="D37" s="13">
        <v>8</v>
      </c>
      <c r="E37" s="13">
        <v>1</v>
      </c>
      <c r="F37" s="13">
        <v>3</v>
      </c>
      <c r="G37" s="13">
        <v>2</v>
      </c>
      <c r="H37" s="16">
        <v>0.67</v>
      </c>
      <c r="I37" s="13">
        <v>0</v>
      </c>
      <c r="J37" s="13">
        <v>2</v>
      </c>
      <c r="K37" s="13">
        <v>0</v>
      </c>
      <c r="L37" s="13">
        <v>1</v>
      </c>
      <c r="M37" s="13">
        <v>1</v>
      </c>
      <c r="N37" s="16">
        <v>1</v>
      </c>
      <c r="O37" s="13">
        <v>0</v>
      </c>
      <c r="P37" s="13">
        <v>1</v>
      </c>
      <c r="Q37" s="13">
        <v>1</v>
      </c>
      <c r="R37" s="13">
        <v>2</v>
      </c>
      <c r="S37" s="13">
        <v>0</v>
      </c>
      <c r="T37" s="16">
        <v>0</v>
      </c>
      <c r="U37" s="13">
        <v>0</v>
      </c>
      <c r="V37" s="13">
        <v>4</v>
      </c>
      <c r="W37" s="13">
        <v>0</v>
      </c>
      <c r="X37" s="13">
        <v>2</v>
      </c>
      <c r="Y37" s="13">
        <v>2</v>
      </c>
      <c r="Z37" s="16">
        <v>1</v>
      </c>
      <c r="AA37" s="13">
        <v>0</v>
      </c>
      <c r="AB37" s="13">
        <v>7</v>
      </c>
      <c r="AC37" s="13">
        <v>1</v>
      </c>
      <c r="AD37" s="13">
        <v>2</v>
      </c>
      <c r="AE37" s="13">
        <v>2</v>
      </c>
      <c r="AF37" s="16">
        <v>1</v>
      </c>
      <c r="AG37" s="13">
        <v>0</v>
      </c>
      <c r="AH37" s="13">
        <v>10</v>
      </c>
      <c r="AI37" s="13">
        <v>7</v>
      </c>
      <c r="AJ37" s="13">
        <v>5</v>
      </c>
      <c r="AK37" s="13">
        <v>0</v>
      </c>
      <c r="AL37" s="16">
        <v>0</v>
      </c>
      <c r="AM37" s="13">
        <v>0</v>
      </c>
      <c r="AN37" s="13">
        <v>15</v>
      </c>
      <c r="AO37" s="13">
        <v>4</v>
      </c>
      <c r="AP37" s="13">
        <v>7</v>
      </c>
      <c r="AQ37" s="13">
        <v>7</v>
      </c>
      <c r="AR37" s="16">
        <v>1</v>
      </c>
      <c r="AS37" s="13">
        <v>0</v>
      </c>
      <c r="AT37" s="13">
        <v>17</v>
      </c>
      <c r="AU37" s="13">
        <v>5</v>
      </c>
      <c r="AV37" s="13">
        <v>6</v>
      </c>
      <c r="AW37" s="13">
        <v>3</v>
      </c>
      <c r="AX37" s="16">
        <v>0.5</v>
      </c>
      <c r="AY37" s="13">
        <v>0</v>
      </c>
      <c r="AZ37" s="13">
        <v>27</v>
      </c>
      <c r="BA37" s="13">
        <v>1</v>
      </c>
      <c r="BB37" s="13">
        <v>8</v>
      </c>
      <c r="BC37" s="13">
        <v>3</v>
      </c>
      <c r="BD37" s="16">
        <v>0.38</v>
      </c>
      <c r="BE37" s="13">
        <v>0</v>
      </c>
      <c r="BF37" s="13">
        <v>16</v>
      </c>
      <c r="BG37" s="13">
        <v>4</v>
      </c>
      <c r="BH37" s="13">
        <v>6</v>
      </c>
      <c r="BI37" s="13">
        <v>3</v>
      </c>
      <c r="BJ37" s="16">
        <v>0.5</v>
      </c>
      <c r="BK37" s="13">
        <v>0</v>
      </c>
      <c r="BL37" s="13">
        <v>13</v>
      </c>
      <c r="BM37" s="13">
        <v>1</v>
      </c>
      <c r="BN37" s="13">
        <v>5</v>
      </c>
      <c r="BO37" s="13">
        <v>1</v>
      </c>
      <c r="BP37" s="16">
        <v>0.2</v>
      </c>
      <c r="BQ37" s="13">
        <v>0</v>
      </c>
      <c r="BR37" s="13">
        <v>10</v>
      </c>
      <c r="BS37" s="13">
        <v>2</v>
      </c>
      <c r="BT37" s="13">
        <v>3</v>
      </c>
      <c r="BU37" s="13">
        <v>1</v>
      </c>
      <c r="BV37" s="16">
        <v>0.33</v>
      </c>
      <c r="BW37" t="s">
        <v>528</v>
      </c>
      <c r="BX37" t="s">
        <v>520</v>
      </c>
      <c r="BY37" t="str">
        <f t="shared" si="0"/>
        <v>Proportion of CLTI treated within 5 days Scotland</v>
      </c>
      <c r="BZ37" s="4">
        <v>0.63200000000000001</v>
      </c>
      <c r="CA37" s="4">
        <v>0.61654135338345861</v>
      </c>
      <c r="CB37" s="4">
        <v>0.62295081967213117</v>
      </c>
    </row>
    <row r="38" spans="1:80" x14ac:dyDescent="0.25">
      <c r="A38" s="15" t="s">
        <v>113</v>
      </c>
      <c r="B38" s="15" t="s">
        <v>112</v>
      </c>
      <c r="C38" s="13">
        <v>0</v>
      </c>
      <c r="D38" s="13">
        <v>0</v>
      </c>
      <c r="E38" s="13">
        <v>0</v>
      </c>
      <c r="F38" s="13">
        <v>0</v>
      </c>
      <c r="G38" s="13">
        <v>0</v>
      </c>
      <c r="H38" s="16" t="s">
        <v>122</v>
      </c>
      <c r="I38" s="13">
        <v>0</v>
      </c>
      <c r="J38" s="13">
        <v>0</v>
      </c>
      <c r="K38" s="13">
        <v>0</v>
      </c>
      <c r="L38" s="13">
        <v>0</v>
      </c>
      <c r="M38" s="13">
        <v>0</v>
      </c>
      <c r="N38" s="16" t="s">
        <v>122</v>
      </c>
      <c r="O38" s="13">
        <v>0</v>
      </c>
      <c r="P38" s="13">
        <v>5</v>
      </c>
      <c r="Q38" s="13">
        <v>0</v>
      </c>
      <c r="R38" s="13">
        <v>3</v>
      </c>
      <c r="S38" s="13">
        <v>1</v>
      </c>
      <c r="T38" s="16">
        <v>0.33</v>
      </c>
      <c r="U38" s="13">
        <v>0</v>
      </c>
      <c r="V38" s="13">
        <v>13</v>
      </c>
      <c r="W38" s="13">
        <v>2</v>
      </c>
      <c r="X38" s="13">
        <v>2</v>
      </c>
      <c r="Y38" s="13">
        <v>1</v>
      </c>
      <c r="Z38" s="16">
        <v>0.5</v>
      </c>
      <c r="AA38" s="13">
        <v>0</v>
      </c>
      <c r="AB38" s="13">
        <v>12</v>
      </c>
      <c r="AC38" s="13">
        <v>4</v>
      </c>
      <c r="AD38" s="13">
        <v>5</v>
      </c>
      <c r="AE38" s="13">
        <v>2</v>
      </c>
      <c r="AF38" s="16">
        <v>0.4</v>
      </c>
      <c r="AG38" s="13">
        <v>0</v>
      </c>
      <c r="AH38" s="13">
        <v>7</v>
      </c>
      <c r="AI38" s="13">
        <v>1</v>
      </c>
      <c r="AJ38" s="13">
        <v>2</v>
      </c>
      <c r="AK38" s="13">
        <v>2</v>
      </c>
      <c r="AL38" s="16">
        <v>1</v>
      </c>
      <c r="AM38" s="13">
        <v>0</v>
      </c>
      <c r="AN38" s="13">
        <v>5</v>
      </c>
      <c r="AO38" s="13">
        <v>1</v>
      </c>
      <c r="AP38" s="13">
        <v>3</v>
      </c>
      <c r="AQ38" s="13">
        <v>1</v>
      </c>
      <c r="AR38" s="16">
        <v>0.33</v>
      </c>
      <c r="AS38" s="13">
        <v>0</v>
      </c>
      <c r="AT38" s="13">
        <v>13</v>
      </c>
      <c r="AU38" s="13">
        <v>1</v>
      </c>
      <c r="AV38" s="13">
        <v>3</v>
      </c>
      <c r="AW38" s="13">
        <v>1</v>
      </c>
      <c r="AX38" s="16">
        <v>0.33</v>
      </c>
      <c r="AY38" s="13">
        <v>0</v>
      </c>
      <c r="AZ38" s="13">
        <v>19</v>
      </c>
      <c r="BA38" s="13">
        <v>1</v>
      </c>
      <c r="BB38" s="13">
        <v>4</v>
      </c>
      <c r="BC38" s="13">
        <v>3</v>
      </c>
      <c r="BD38" s="16">
        <v>0.75</v>
      </c>
      <c r="BE38" s="13">
        <v>0</v>
      </c>
      <c r="BF38" s="13">
        <v>20</v>
      </c>
      <c r="BG38" s="13">
        <v>7</v>
      </c>
      <c r="BH38" s="13">
        <v>11</v>
      </c>
      <c r="BI38" s="13">
        <v>8</v>
      </c>
      <c r="BJ38" s="16">
        <v>0.73</v>
      </c>
      <c r="BK38" s="13">
        <v>0</v>
      </c>
      <c r="BL38" s="13">
        <v>21</v>
      </c>
      <c r="BM38" s="13">
        <v>12</v>
      </c>
      <c r="BN38" s="13">
        <v>12</v>
      </c>
      <c r="BO38" s="13">
        <v>7</v>
      </c>
      <c r="BP38" s="16">
        <v>0.57999999999999996</v>
      </c>
      <c r="BQ38" s="13">
        <v>0</v>
      </c>
      <c r="BR38" s="13">
        <v>17</v>
      </c>
      <c r="BS38" s="13">
        <v>7</v>
      </c>
      <c r="BT38" s="13">
        <v>5</v>
      </c>
      <c r="BU38" s="13">
        <v>2</v>
      </c>
      <c r="BV38" s="16">
        <v>0.4</v>
      </c>
      <c r="BW38" t="s">
        <v>528</v>
      </c>
      <c r="BX38" t="s">
        <v>520</v>
      </c>
      <c r="BY38" t="str">
        <f t="shared" si="0"/>
        <v>Proportion of CLTI treated within 5 days Scotland</v>
      </c>
      <c r="BZ38" s="4">
        <v>0.63200000000000001</v>
      </c>
      <c r="CA38" s="4">
        <v>0.61654135338345861</v>
      </c>
      <c r="CB38" s="4">
        <v>0.62295081967213117</v>
      </c>
    </row>
    <row r="39" spans="1:80" x14ac:dyDescent="0.25">
      <c r="A39" s="15" t="s">
        <v>52</v>
      </c>
      <c r="B39" s="15" t="s">
        <v>51</v>
      </c>
      <c r="C39" s="13">
        <v>0</v>
      </c>
      <c r="D39" s="13">
        <v>11</v>
      </c>
      <c r="E39" s="13">
        <v>3</v>
      </c>
      <c r="F39" s="13">
        <v>6</v>
      </c>
      <c r="G39" s="13">
        <v>3</v>
      </c>
      <c r="H39" s="16">
        <v>0.5</v>
      </c>
      <c r="I39" s="13">
        <v>2</v>
      </c>
      <c r="J39" s="13">
        <v>26</v>
      </c>
      <c r="K39" s="13">
        <v>5</v>
      </c>
      <c r="L39" s="13">
        <v>13</v>
      </c>
      <c r="M39" s="13">
        <v>8</v>
      </c>
      <c r="N39" s="16">
        <v>0.62</v>
      </c>
      <c r="O39" s="13">
        <v>0</v>
      </c>
      <c r="P39" s="13">
        <v>7</v>
      </c>
      <c r="Q39" s="13">
        <v>4</v>
      </c>
      <c r="R39" s="13">
        <v>5</v>
      </c>
      <c r="S39" s="13">
        <v>3</v>
      </c>
      <c r="T39" s="16">
        <v>0.6</v>
      </c>
      <c r="U39" s="13">
        <v>13</v>
      </c>
      <c r="V39" s="13">
        <v>11</v>
      </c>
      <c r="W39" s="13">
        <v>6</v>
      </c>
      <c r="X39" s="13">
        <v>12</v>
      </c>
      <c r="Y39" s="13">
        <v>4</v>
      </c>
      <c r="Z39" s="16">
        <v>0.33</v>
      </c>
      <c r="AA39" s="13">
        <v>27</v>
      </c>
      <c r="AB39" s="13">
        <v>7</v>
      </c>
      <c r="AC39" s="13">
        <v>2</v>
      </c>
      <c r="AD39" s="13">
        <v>16</v>
      </c>
      <c r="AE39" s="13">
        <v>9</v>
      </c>
      <c r="AF39" s="16">
        <v>0.56000000000000005</v>
      </c>
      <c r="AG39" s="13">
        <v>10</v>
      </c>
      <c r="AH39" s="13">
        <v>9</v>
      </c>
      <c r="AI39" s="13">
        <v>8</v>
      </c>
      <c r="AJ39" s="13">
        <v>13</v>
      </c>
      <c r="AK39" s="13">
        <v>7</v>
      </c>
      <c r="AL39" s="16">
        <v>0.54</v>
      </c>
      <c r="AM39" s="13">
        <v>17</v>
      </c>
      <c r="AN39" s="13">
        <v>6</v>
      </c>
      <c r="AO39" s="13">
        <v>4</v>
      </c>
      <c r="AP39" s="13">
        <v>15</v>
      </c>
      <c r="AQ39" s="13">
        <v>8</v>
      </c>
      <c r="AR39" s="16">
        <v>0.53</v>
      </c>
      <c r="AS39" s="13">
        <v>44</v>
      </c>
      <c r="AT39" s="13">
        <v>12</v>
      </c>
      <c r="AU39" s="13">
        <v>15</v>
      </c>
      <c r="AV39" s="13">
        <v>38</v>
      </c>
      <c r="AW39" s="13">
        <v>23</v>
      </c>
      <c r="AX39" s="16">
        <v>0.61</v>
      </c>
      <c r="AY39" s="13">
        <v>91</v>
      </c>
      <c r="AZ39" s="13">
        <v>9</v>
      </c>
      <c r="BA39" s="13">
        <v>21</v>
      </c>
      <c r="BB39" s="13">
        <v>37</v>
      </c>
      <c r="BC39" s="13">
        <v>24</v>
      </c>
      <c r="BD39" s="16">
        <v>0.65</v>
      </c>
      <c r="BE39" s="13">
        <v>58</v>
      </c>
      <c r="BF39" s="13">
        <v>10</v>
      </c>
      <c r="BG39" s="13">
        <v>11</v>
      </c>
      <c r="BH39" s="13">
        <v>28</v>
      </c>
      <c r="BI39" s="13">
        <v>23</v>
      </c>
      <c r="BJ39" s="16">
        <v>0.82</v>
      </c>
      <c r="BK39" s="13">
        <v>103</v>
      </c>
      <c r="BL39" s="13">
        <v>12</v>
      </c>
      <c r="BM39" s="13">
        <v>21</v>
      </c>
      <c r="BN39" s="13">
        <v>63</v>
      </c>
      <c r="BO39" s="13">
        <v>38</v>
      </c>
      <c r="BP39" s="16">
        <v>0.6</v>
      </c>
      <c r="BQ39" s="13">
        <v>86</v>
      </c>
      <c r="BR39" s="13">
        <v>14</v>
      </c>
      <c r="BS39" s="13">
        <v>12</v>
      </c>
      <c r="BT39" s="13">
        <v>63</v>
      </c>
      <c r="BU39" s="13">
        <v>48</v>
      </c>
      <c r="BV39" s="16">
        <v>0.76</v>
      </c>
      <c r="BW39" t="s">
        <v>526</v>
      </c>
      <c r="BX39" t="s">
        <v>520</v>
      </c>
      <c r="BY39" t="str">
        <f t="shared" si="0"/>
        <v>Proportion of CLTI treated within 5 days England</v>
      </c>
      <c r="BZ39" s="4">
        <v>0.56897054534849811</v>
      </c>
      <c r="CA39" s="4">
        <v>0.52658569500674768</v>
      </c>
      <c r="CB39" s="4">
        <v>0.50914298303591099</v>
      </c>
    </row>
    <row r="40" spans="1:80" x14ac:dyDescent="0.25">
      <c r="A40" s="15" t="s">
        <v>79</v>
      </c>
      <c r="B40" s="15" t="s">
        <v>78</v>
      </c>
      <c r="C40" s="13">
        <v>52</v>
      </c>
      <c r="D40" s="13">
        <v>22</v>
      </c>
      <c r="E40" s="13">
        <v>12</v>
      </c>
      <c r="F40" s="13">
        <v>26</v>
      </c>
      <c r="G40" s="13">
        <v>16</v>
      </c>
      <c r="H40" s="16">
        <v>0.62</v>
      </c>
      <c r="I40" s="13">
        <v>53</v>
      </c>
      <c r="J40" s="13">
        <v>14</v>
      </c>
      <c r="K40" s="13">
        <v>14</v>
      </c>
      <c r="L40" s="13">
        <v>32</v>
      </c>
      <c r="M40" s="13">
        <v>26</v>
      </c>
      <c r="N40" s="16">
        <v>0.81</v>
      </c>
      <c r="O40" s="13">
        <v>51</v>
      </c>
      <c r="P40" s="13">
        <v>32</v>
      </c>
      <c r="Q40" s="13">
        <v>12</v>
      </c>
      <c r="R40" s="13">
        <v>31</v>
      </c>
      <c r="S40" s="13">
        <v>21</v>
      </c>
      <c r="T40" s="16">
        <v>0.68</v>
      </c>
      <c r="U40" s="13">
        <v>54</v>
      </c>
      <c r="V40" s="13">
        <v>21</v>
      </c>
      <c r="W40" s="13">
        <v>17</v>
      </c>
      <c r="X40" s="13">
        <v>25</v>
      </c>
      <c r="Y40" s="13">
        <v>16</v>
      </c>
      <c r="Z40" s="16">
        <v>0.64</v>
      </c>
      <c r="AA40" s="13">
        <v>41</v>
      </c>
      <c r="AB40" s="13">
        <v>10</v>
      </c>
      <c r="AC40" s="13">
        <v>14</v>
      </c>
      <c r="AD40" s="13">
        <v>18</v>
      </c>
      <c r="AE40" s="13">
        <v>12</v>
      </c>
      <c r="AF40" s="16">
        <v>0.67</v>
      </c>
      <c r="AG40" s="13">
        <v>42</v>
      </c>
      <c r="AH40" s="13">
        <v>16</v>
      </c>
      <c r="AI40" s="13">
        <v>10</v>
      </c>
      <c r="AJ40" s="13">
        <v>20</v>
      </c>
      <c r="AK40" s="13">
        <v>14</v>
      </c>
      <c r="AL40" s="16">
        <v>0.7</v>
      </c>
      <c r="AM40" s="13">
        <v>40</v>
      </c>
      <c r="AN40" s="13">
        <v>15</v>
      </c>
      <c r="AO40" s="13">
        <v>15</v>
      </c>
      <c r="AP40" s="13">
        <v>26</v>
      </c>
      <c r="AQ40" s="13">
        <v>18</v>
      </c>
      <c r="AR40" s="16">
        <v>0.69</v>
      </c>
      <c r="AS40" s="13">
        <v>51</v>
      </c>
      <c r="AT40" s="13">
        <v>18</v>
      </c>
      <c r="AU40" s="13">
        <v>20</v>
      </c>
      <c r="AV40" s="13">
        <v>37</v>
      </c>
      <c r="AW40" s="13">
        <v>23</v>
      </c>
      <c r="AX40" s="16">
        <v>0.62</v>
      </c>
      <c r="AY40" s="13">
        <v>51</v>
      </c>
      <c r="AZ40" s="13">
        <v>11</v>
      </c>
      <c r="BA40" s="13">
        <v>11</v>
      </c>
      <c r="BB40" s="13">
        <v>24</v>
      </c>
      <c r="BC40" s="13">
        <v>13</v>
      </c>
      <c r="BD40" s="16">
        <v>0.54</v>
      </c>
      <c r="BE40" s="13">
        <v>51</v>
      </c>
      <c r="BF40" s="13">
        <v>15</v>
      </c>
      <c r="BG40" s="13">
        <v>12</v>
      </c>
      <c r="BH40" s="13">
        <v>25</v>
      </c>
      <c r="BI40" s="13">
        <v>14</v>
      </c>
      <c r="BJ40" s="16">
        <v>0.56000000000000005</v>
      </c>
      <c r="BK40" s="13">
        <v>62</v>
      </c>
      <c r="BL40" s="13">
        <v>22</v>
      </c>
      <c r="BM40" s="13">
        <v>9</v>
      </c>
      <c r="BN40" s="13">
        <v>41</v>
      </c>
      <c r="BO40" s="13">
        <v>14</v>
      </c>
      <c r="BP40" s="16">
        <v>0.34</v>
      </c>
      <c r="BQ40" s="13">
        <v>49</v>
      </c>
      <c r="BR40" s="13">
        <v>9</v>
      </c>
      <c r="BS40" s="13">
        <v>14</v>
      </c>
      <c r="BT40" s="13">
        <v>29</v>
      </c>
      <c r="BU40" s="13">
        <v>16</v>
      </c>
      <c r="BV40" s="16">
        <v>0.55000000000000004</v>
      </c>
      <c r="BW40" t="s">
        <v>526</v>
      </c>
      <c r="BX40" t="s">
        <v>520</v>
      </c>
      <c r="BY40" t="str">
        <f t="shared" si="0"/>
        <v>Proportion of CLTI treated within 5 days England</v>
      </c>
      <c r="BZ40" s="4">
        <v>0.56897054534849811</v>
      </c>
      <c r="CA40" s="4">
        <v>0.52658569500674768</v>
      </c>
      <c r="CB40" s="4">
        <v>0.50914298303591099</v>
      </c>
    </row>
    <row r="41" spans="1:80" x14ac:dyDescent="0.25">
      <c r="A41" s="15" t="s">
        <v>146</v>
      </c>
      <c r="B41" s="15" t="s">
        <v>155</v>
      </c>
      <c r="C41" s="13">
        <v>56</v>
      </c>
      <c r="D41" s="13">
        <v>16</v>
      </c>
      <c r="E41" s="13">
        <v>10</v>
      </c>
      <c r="F41" s="13">
        <v>17</v>
      </c>
      <c r="G41" s="13">
        <v>8</v>
      </c>
      <c r="H41" s="16">
        <v>0.47</v>
      </c>
      <c r="I41" s="13">
        <v>45</v>
      </c>
      <c r="J41" s="13">
        <v>15</v>
      </c>
      <c r="K41" s="13">
        <v>2</v>
      </c>
      <c r="L41" s="13">
        <v>12</v>
      </c>
      <c r="M41" s="13">
        <v>9</v>
      </c>
      <c r="N41" s="16">
        <v>0.75</v>
      </c>
      <c r="O41" s="13">
        <v>36</v>
      </c>
      <c r="P41" s="13">
        <v>9</v>
      </c>
      <c r="Q41" s="13">
        <v>0</v>
      </c>
      <c r="R41" s="13">
        <v>10</v>
      </c>
      <c r="S41" s="13">
        <v>3</v>
      </c>
      <c r="T41" s="16">
        <v>0.3</v>
      </c>
      <c r="U41" s="13">
        <v>37</v>
      </c>
      <c r="V41" s="13">
        <v>14</v>
      </c>
      <c r="W41" s="13">
        <v>6</v>
      </c>
      <c r="X41" s="13">
        <v>5</v>
      </c>
      <c r="Y41" s="13">
        <v>3</v>
      </c>
      <c r="Z41" s="16">
        <v>0.6</v>
      </c>
      <c r="AA41" s="13">
        <v>52</v>
      </c>
      <c r="AB41" s="13">
        <v>18</v>
      </c>
      <c r="AC41" s="13">
        <v>3</v>
      </c>
      <c r="AD41" s="13">
        <v>13</v>
      </c>
      <c r="AE41" s="13">
        <v>7</v>
      </c>
      <c r="AF41" s="16">
        <v>0.54</v>
      </c>
      <c r="AG41" s="13">
        <v>48</v>
      </c>
      <c r="AH41" s="13">
        <v>25</v>
      </c>
      <c r="AI41" s="13">
        <v>1</v>
      </c>
      <c r="AJ41" s="13">
        <v>14</v>
      </c>
      <c r="AK41" s="13">
        <v>10</v>
      </c>
      <c r="AL41" s="16">
        <v>0.71</v>
      </c>
      <c r="AM41" s="13">
        <v>40</v>
      </c>
      <c r="AN41" s="13">
        <v>10</v>
      </c>
      <c r="AO41" s="13">
        <v>3</v>
      </c>
      <c r="AP41" s="13">
        <v>12</v>
      </c>
      <c r="AQ41" s="13">
        <v>7</v>
      </c>
      <c r="AR41" s="16">
        <v>0.57999999999999996</v>
      </c>
      <c r="AS41" s="13">
        <v>44</v>
      </c>
      <c r="AT41" s="13">
        <v>19</v>
      </c>
      <c r="AU41" s="13">
        <v>4</v>
      </c>
      <c r="AV41" s="13">
        <v>13</v>
      </c>
      <c r="AW41" s="13">
        <v>7</v>
      </c>
      <c r="AX41" s="16">
        <v>0.54</v>
      </c>
      <c r="AY41" s="13">
        <v>51</v>
      </c>
      <c r="AZ41" s="13">
        <v>13</v>
      </c>
      <c r="BA41" s="13">
        <v>5</v>
      </c>
      <c r="BB41" s="13">
        <v>16</v>
      </c>
      <c r="BC41" s="13">
        <v>8</v>
      </c>
      <c r="BD41" s="16">
        <v>0.5</v>
      </c>
      <c r="BE41" s="13">
        <v>47</v>
      </c>
      <c r="BF41" s="13">
        <v>26</v>
      </c>
      <c r="BG41" s="13">
        <v>7</v>
      </c>
      <c r="BH41" s="13">
        <v>11</v>
      </c>
      <c r="BI41" s="13">
        <v>7</v>
      </c>
      <c r="BJ41" s="16">
        <v>0.64</v>
      </c>
      <c r="BK41" s="13">
        <v>44</v>
      </c>
      <c r="BL41" s="13">
        <v>22</v>
      </c>
      <c r="BM41" s="13">
        <v>5</v>
      </c>
      <c r="BN41" s="13">
        <v>20</v>
      </c>
      <c r="BO41" s="13">
        <v>14</v>
      </c>
      <c r="BP41" s="16">
        <v>0.7</v>
      </c>
      <c r="BQ41" s="13">
        <v>34</v>
      </c>
      <c r="BR41" s="13">
        <v>18</v>
      </c>
      <c r="BS41" s="13">
        <v>5</v>
      </c>
      <c r="BT41" s="13">
        <v>17</v>
      </c>
      <c r="BU41" s="13">
        <v>8</v>
      </c>
      <c r="BV41" s="16">
        <v>0.47</v>
      </c>
      <c r="BW41" t="s">
        <v>526</v>
      </c>
      <c r="BX41" t="s">
        <v>520</v>
      </c>
      <c r="BY41" t="str">
        <f t="shared" si="0"/>
        <v>Proportion of CLTI treated within 5 days England</v>
      </c>
      <c r="BZ41" s="4">
        <v>0.56897054534849811</v>
      </c>
      <c r="CA41" s="4">
        <v>0.52658569500674768</v>
      </c>
      <c r="CB41" s="4">
        <v>0.50914298303591099</v>
      </c>
    </row>
    <row r="42" spans="1:80" x14ac:dyDescent="0.25">
      <c r="A42" s="15" t="s">
        <v>56</v>
      </c>
      <c r="B42" s="15" t="s">
        <v>55</v>
      </c>
      <c r="C42" s="13">
        <v>8</v>
      </c>
      <c r="D42" s="13">
        <v>12</v>
      </c>
      <c r="E42" s="13">
        <v>2</v>
      </c>
      <c r="F42" s="13">
        <v>9</v>
      </c>
      <c r="G42" s="13">
        <v>6</v>
      </c>
      <c r="H42" s="16">
        <v>0.67</v>
      </c>
      <c r="I42" s="13">
        <v>10</v>
      </c>
      <c r="J42" s="13">
        <v>21</v>
      </c>
      <c r="K42" s="13">
        <v>5</v>
      </c>
      <c r="L42" s="13">
        <v>7</v>
      </c>
      <c r="M42" s="13">
        <v>3</v>
      </c>
      <c r="N42" s="16">
        <v>0.43</v>
      </c>
      <c r="O42" s="13">
        <v>15</v>
      </c>
      <c r="P42" s="13">
        <v>16</v>
      </c>
      <c r="Q42" s="13">
        <v>10</v>
      </c>
      <c r="R42" s="13">
        <v>10</v>
      </c>
      <c r="S42" s="13">
        <v>6</v>
      </c>
      <c r="T42" s="16">
        <v>0.6</v>
      </c>
      <c r="U42" s="13">
        <v>51</v>
      </c>
      <c r="V42" s="13">
        <v>16</v>
      </c>
      <c r="W42" s="13">
        <v>4</v>
      </c>
      <c r="X42" s="13">
        <v>22</v>
      </c>
      <c r="Y42" s="13">
        <v>12</v>
      </c>
      <c r="Z42" s="16">
        <v>0.55000000000000004</v>
      </c>
      <c r="AA42" s="13">
        <v>42</v>
      </c>
      <c r="AB42" s="13">
        <v>11</v>
      </c>
      <c r="AC42" s="13">
        <v>1</v>
      </c>
      <c r="AD42" s="13">
        <v>20</v>
      </c>
      <c r="AE42" s="13">
        <v>11</v>
      </c>
      <c r="AF42" s="16">
        <v>0.55000000000000004</v>
      </c>
      <c r="AG42" s="13">
        <v>64</v>
      </c>
      <c r="AH42" s="13">
        <v>12</v>
      </c>
      <c r="AI42" s="13">
        <v>3</v>
      </c>
      <c r="AJ42" s="13">
        <v>20</v>
      </c>
      <c r="AK42" s="13">
        <v>13</v>
      </c>
      <c r="AL42" s="16">
        <v>0.65</v>
      </c>
      <c r="AM42" s="13">
        <v>57</v>
      </c>
      <c r="AN42" s="13">
        <v>7</v>
      </c>
      <c r="AO42" s="13">
        <v>5</v>
      </c>
      <c r="AP42" s="13">
        <v>23</v>
      </c>
      <c r="AQ42" s="13">
        <v>13</v>
      </c>
      <c r="AR42" s="16">
        <v>0.56999999999999995</v>
      </c>
      <c r="AS42" s="13">
        <v>55</v>
      </c>
      <c r="AT42" s="13">
        <v>21</v>
      </c>
      <c r="AU42" s="13">
        <v>6</v>
      </c>
      <c r="AV42" s="13">
        <v>18</v>
      </c>
      <c r="AW42" s="13">
        <v>15</v>
      </c>
      <c r="AX42" s="16">
        <v>0.83</v>
      </c>
      <c r="AY42" s="13">
        <v>59</v>
      </c>
      <c r="AZ42" s="13">
        <v>13</v>
      </c>
      <c r="BA42" s="13">
        <v>12</v>
      </c>
      <c r="BB42" s="13">
        <v>25</v>
      </c>
      <c r="BC42" s="13">
        <v>13</v>
      </c>
      <c r="BD42" s="16">
        <v>0.52</v>
      </c>
      <c r="BE42" s="13">
        <v>45</v>
      </c>
      <c r="BF42" s="13">
        <v>8</v>
      </c>
      <c r="BG42" s="13">
        <v>5</v>
      </c>
      <c r="BH42" s="13">
        <v>12</v>
      </c>
      <c r="BI42" s="13">
        <v>6</v>
      </c>
      <c r="BJ42" s="16">
        <v>0.5</v>
      </c>
      <c r="BK42" s="13">
        <v>54</v>
      </c>
      <c r="BL42" s="13">
        <v>4</v>
      </c>
      <c r="BM42" s="13">
        <v>2</v>
      </c>
      <c r="BN42" s="13">
        <v>21</v>
      </c>
      <c r="BO42" s="13">
        <v>13</v>
      </c>
      <c r="BP42" s="16">
        <v>0.62</v>
      </c>
      <c r="BQ42" s="13">
        <v>49</v>
      </c>
      <c r="BR42" s="13">
        <v>3</v>
      </c>
      <c r="BS42" s="13">
        <v>3</v>
      </c>
      <c r="BT42" s="13">
        <v>24</v>
      </c>
      <c r="BU42" s="13">
        <v>15</v>
      </c>
      <c r="BV42" s="16">
        <v>0.63</v>
      </c>
      <c r="BW42" t="s">
        <v>526</v>
      </c>
      <c r="BX42" t="s">
        <v>520</v>
      </c>
      <c r="BY42" t="str">
        <f t="shared" si="0"/>
        <v>Proportion of CLTI treated within 5 days England</v>
      </c>
      <c r="BZ42" s="4">
        <v>0.56897054534849811</v>
      </c>
      <c r="CA42" s="4">
        <v>0.52658569500674768</v>
      </c>
      <c r="CB42" s="4">
        <v>0.50914298303591099</v>
      </c>
    </row>
    <row r="43" spans="1:80" x14ac:dyDescent="0.25">
      <c r="A43" s="15" t="s">
        <v>154</v>
      </c>
      <c r="B43" s="15" t="s">
        <v>153</v>
      </c>
      <c r="C43" s="13">
        <v>12</v>
      </c>
      <c r="D43" s="13">
        <v>28</v>
      </c>
      <c r="E43" s="13">
        <v>13</v>
      </c>
      <c r="F43" s="13">
        <v>15</v>
      </c>
      <c r="G43" s="13">
        <v>8</v>
      </c>
      <c r="H43" s="16">
        <v>0.53</v>
      </c>
      <c r="I43" s="13">
        <v>5</v>
      </c>
      <c r="J43" s="13">
        <v>22</v>
      </c>
      <c r="K43" s="13">
        <v>10</v>
      </c>
      <c r="L43" s="13">
        <v>15</v>
      </c>
      <c r="M43" s="13">
        <v>8</v>
      </c>
      <c r="N43" s="16">
        <v>0.53</v>
      </c>
      <c r="O43" s="13">
        <v>29</v>
      </c>
      <c r="P43" s="13">
        <v>28</v>
      </c>
      <c r="Q43" s="13">
        <v>14</v>
      </c>
      <c r="R43" s="13">
        <v>32</v>
      </c>
      <c r="S43" s="13">
        <v>12</v>
      </c>
      <c r="T43" s="16">
        <v>0.38</v>
      </c>
      <c r="U43" s="13">
        <v>33</v>
      </c>
      <c r="V43" s="13">
        <v>22</v>
      </c>
      <c r="W43" s="13">
        <v>24</v>
      </c>
      <c r="X43" s="13">
        <v>27</v>
      </c>
      <c r="Y43" s="13">
        <v>13</v>
      </c>
      <c r="Z43" s="16">
        <v>0.48</v>
      </c>
      <c r="AA43" s="13">
        <v>18</v>
      </c>
      <c r="AB43" s="13">
        <v>28</v>
      </c>
      <c r="AC43" s="13">
        <v>30</v>
      </c>
      <c r="AD43" s="13">
        <v>35</v>
      </c>
      <c r="AE43" s="13">
        <v>17</v>
      </c>
      <c r="AF43" s="16">
        <v>0.49</v>
      </c>
      <c r="AG43" s="13">
        <v>22</v>
      </c>
      <c r="AH43" s="13">
        <v>13</v>
      </c>
      <c r="AI43" s="13">
        <v>35</v>
      </c>
      <c r="AJ43" s="13">
        <v>31</v>
      </c>
      <c r="AK43" s="13">
        <v>8</v>
      </c>
      <c r="AL43" s="16">
        <v>0.26</v>
      </c>
      <c r="AM43" s="13">
        <v>26</v>
      </c>
      <c r="AN43" s="13">
        <v>34</v>
      </c>
      <c r="AO43" s="13">
        <v>26</v>
      </c>
      <c r="AP43" s="13">
        <v>34</v>
      </c>
      <c r="AQ43" s="13">
        <v>26</v>
      </c>
      <c r="AR43" s="16">
        <v>0.76</v>
      </c>
      <c r="AS43" s="13">
        <v>26</v>
      </c>
      <c r="AT43" s="13">
        <v>26</v>
      </c>
      <c r="AU43" s="13">
        <v>28</v>
      </c>
      <c r="AV43" s="13">
        <v>32</v>
      </c>
      <c r="AW43" s="13">
        <v>17</v>
      </c>
      <c r="AX43" s="16">
        <v>0.53</v>
      </c>
      <c r="AY43" s="13">
        <v>22</v>
      </c>
      <c r="AZ43" s="13">
        <v>30</v>
      </c>
      <c r="BA43" s="13">
        <v>24</v>
      </c>
      <c r="BB43" s="13">
        <v>24</v>
      </c>
      <c r="BC43" s="13">
        <v>17</v>
      </c>
      <c r="BD43" s="16">
        <v>0.71</v>
      </c>
      <c r="BE43" s="13">
        <v>24</v>
      </c>
      <c r="BF43" s="13">
        <v>22</v>
      </c>
      <c r="BG43" s="13">
        <v>27</v>
      </c>
      <c r="BH43" s="13">
        <v>30</v>
      </c>
      <c r="BI43" s="13">
        <v>15</v>
      </c>
      <c r="BJ43" s="16">
        <v>0.5</v>
      </c>
      <c r="BK43" s="13">
        <v>30</v>
      </c>
      <c r="BL43" s="13">
        <v>26</v>
      </c>
      <c r="BM43" s="13">
        <v>30</v>
      </c>
      <c r="BN43" s="13">
        <v>36</v>
      </c>
      <c r="BO43" s="13">
        <v>27</v>
      </c>
      <c r="BP43" s="16">
        <v>0.75</v>
      </c>
      <c r="BQ43" s="13">
        <v>14</v>
      </c>
      <c r="BR43" s="13">
        <v>15</v>
      </c>
      <c r="BS43" s="13">
        <v>30</v>
      </c>
      <c r="BT43" s="13">
        <v>25</v>
      </c>
      <c r="BU43" s="13">
        <v>13</v>
      </c>
      <c r="BV43" s="16">
        <v>0.52</v>
      </c>
      <c r="BW43" t="s">
        <v>526</v>
      </c>
      <c r="BX43" t="s">
        <v>520</v>
      </c>
      <c r="BY43" t="str">
        <f t="shared" si="0"/>
        <v>Proportion of CLTI treated within 5 days England</v>
      </c>
      <c r="BZ43" s="4">
        <v>0.56897054534849811</v>
      </c>
      <c r="CA43" s="4">
        <v>0.52658569500674768</v>
      </c>
      <c r="CB43" s="4">
        <v>0.50914298303591099</v>
      </c>
    </row>
    <row r="44" spans="1:80" x14ac:dyDescent="0.25">
      <c r="A44" s="15" t="s">
        <v>93</v>
      </c>
      <c r="B44" s="15" t="s">
        <v>92</v>
      </c>
      <c r="C44" s="13">
        <v>0</v>
      </c>
      <c r="D44" s="13">
        <v>8</v>
      </c>
      <c r="E44" s="13">
        <v>0</v>
      </c>
      <c r="F44" s="13">
        <v>4</v>
      </c>
      <c r="G44" s="13">
        <v>2</v>
      </c>
      <c r="H44" s="16">
        <v>0.5</v>
      </c>
      <c r="I44" s="13">
        <v>0</v>
      </c>
      <c r="J44" s="13">
        <v>11</v>
      </c>
      <c r="K44" s="13">
        <v>0</v>
      </c>
      <c r="L44" s="13">
        <v>4</v>
      </c>
      <c r="M44" s="13">
        <v>2</v>
      </c>
      <c r="N44" s="16">
        <v>0.5</v>
      </c>
      <c r="O44" s="13">
        <v>0</v>
      </c>
      <c r="P44" s="13">
        <v>16</v>
      </c>
      <c r="Q44" s="13">
        <v>0</v>
      </c>
      <c r="R44" s="13">
        <v>3</v>
      </c>
      <c r="S44" s="13">
        <v>2</v>
      </c>
      <c r="T44" s="16">
        <v>0.67</v>
      </c>
      <c r="U44" s="13">
        <v>0</v>
      </c>
      <c r="V44" s="13">
        <v>8</v>
      </c>
      <c r="W44" s="13">
        <v>0</v>
      </c>
      <c r="X44" s="13">
        <v>4</v>
      </c>
      <c r="Y44" s="13">
        <v>1</v>
      </c>
      <c r="Z44" s="16">
        <v>0.25</v>
      </c>
      <c r="AA44" s="13">
        <v>0</v>
      </c>
      <c r="AB44" s="13">
        <v>11</v>
      </c>
      <c r="AC44" s="13">
        <v>1</v>
      </c>
      <c r="AD44" s="13">
        <v>8</v>
      </c>
      <c r="AE44" s="13">
        <v>3</v>
      </c>
      <c r="AF44" s="16">
        <v>0.38</v>
      </c>
      <c r="AG44" s="13">
        <v>0</v>
      </c>
      <c r="AH44" s="13">
        <v>14</v>
      </c>
      <c r="AI44" s="13">
        <v>0</v>
      </c>
      <c r="AJ44" s="13">
        <v>9</v>
      </c>
      <c r="AK44" s="13">
        <v>3</v>
      </c>
      <c r="AL44" s="16">
        <v>0.33</v>
      </c>
      <c r="AM44" s="13">
        <v>0</v>
      </c>
      <c r="AN44" s="13">
        <v>12</v>
      </c>
      <c r="AO44" s="13">
        <v>0</v>
      </c>
      <c r="AP44" s="13">
        <v>6</v>
      </c>
      <c r="AQ44" s="13">
        <v>2</v>
      </c>
      <c r="AR44" s="16">
        <v>0.33</v>
      </c>
      <c r="AS44" s="13">
        <v>0</v>
      </c>
      <c r="AT44" s="13">
        <v>13</v>
      </c>
      <c r="AU44" s="13">
        <v>0</v>
      </c>
      <c r="AV44" s="13">
        <v>5</v>
      </c>
      <c r="AW44" s="13">
        <v>1</v>
      </c>
      <c r="AX44" s="16">
        <v>0.2</v>
      </c>
      <c r="AY44" s="13">
        <v>0</v>
      </c>
      <c r="AZ44" s="13">
        <v>12</v>
      </c>
      <c r="BA44" s="13">
        <v>1</v>
      </c>
      <c r="BB44" s="13">
        <v>3</v>
      </c>
      <c r="BC44" s="13">
        <v>0</v>
      </c>
      <c r="BD44" s="16">
        <v>0</v>
      </c>
      <c r="BE44" s="13">
        <v>0</v>
      </c>
      <c r="BF44" s="13">
        <v>16</v>
      </c>
      <c r="BG44" s="13">
        <v>3</v>
      </c>
      <c r="BH44" s="13">
        <v>9</v>
      </c>
      <c r="BI44" s="13">
        <v>1</v>
      </c>
      <c r="BJ44" s="16">
        <v>0.11</v>
      </c>
      <c r="BK44" s="13">
        <v>2</v>
      </c>
      <c r="BL44" s="13">
        <v>18</v>
      </c>
      <c r="BM44" s="13">
        <v>7</v>
      </c>
      <c r="BN44" s="13">
        <v>9</v>
      </c>
      <c r="BO44" s="13">
        <v>3</v>
      </c>
      <c r="BP44" s="16">
        <v>0.33</v>
      </c>
      <c r="BQ44" s="13">
        <v>0</v>
      </c>
      <c r="BR44" s="13">
        <v>25</v>
      </c>
      <c r="BS44" s="13">
        <v>6</v>
      </c>
      <c r="BT44" s="13">
        <v>11</v>
      </c>
      <c r="BU44" s="13">
        <v>4</v>
      </c>
      <c r="BV44" s="16">
        <v>0.36</v>
      </c>
      <c r="BW44" t="s">
        <v>526</v>
      </c>
      <c r="BX44" t="s">
        <v>520</v>
      </c>
      <c r="BY44" t="str">
        <f t="shared" si="0"/>
        <v>Proportion of CLTI treated within 5 days England</v>
      </c>
      <c r="BZ44" s="4">
        <v>0.56897054534849811</v>
      </c>
      <c r="CA44" s="4">
        <v>0.52658569500674768</v>
      </c>
      <c r="CB44" s="4">
        <v>0.50914298303591099</v>
      </c>
    </row>
    <row r="45" spans="1:80" x14ac:dyDescent="0.25">
      <c r="A45" s="15" t="s">
        <v>132</v>
      </c>
      <c r="B45" s="15" t="s">
        <v>75</v>
      </c>
      <c r="C45" s="13">
        <v>5</v>
      </c>
      <c r="D45" s="13">
        <v>14</v>
      </c>
      <c r="E45" s="13">
        <v>3</v>
      </c>
      <c r="F45" s="13">
        <v>4</v>
      </c>
      <c r="G45" s="13">
        <v>4</v>
      </c>
      <c r="H45" s="16">
        <v>1</v>
      </c>
      <c r="I45" s="13">
        <v>1</v>
      </c>
      <c r="J45" s="13">
        <v>8</v>
      </c>
      <c r="K45" s="13">
        <v>3</v>
      </c>
      <c r="L45" s="13">
        <v>4</v>
      </c>
      <c r="M45" s="13">
        <v>4</v>
      </c>
      <c r="N45" s="16">
        <v>1</v>
      </c>
      <c r="O45" s="13">
        <v>5</v>
      </c>
      <c r="P45" s="13">
        <v>18</v>
      </c>
      <c r="Q45" s="13">
        <v>6</v>
      </c>
      <c r="R45" s="13">
        <v>3</v>
      </c>
      <c r="S45" s="13">
        <v>3</v>
      </c>
      <c r="T45" s="16">
        <v>1</v>
      </c>
      <c r="U45" s="13">
        <v>22</v>
      </c>
      <c r="V45" s="13">
        <v>8</v>
      </c>
      <c r="W45" s="13">
        <v>4</v>
      </c>
      <c r="X45" s="13">
        <v>3</v>
      </c>
      <c r="Y45" s="13">
        <v>3</v>
      </c>
      <c r="Z45" s="16">
        <v>1</v>
      </c>
      <c r="AA45" s="13">
        <v>44</v>
      </c>
      <c r="AB45" s="13">
        <v>6</v>
      </c>
      <c r="AC45" s="13">
        <v>5</v>
      </c>
      <c r="AD45" s="13">
        <v>4</v>
      </c>
      <c r="AE45" s="13">
        <v>3</v>
      </c>
      <c r="AF45" s="16">
        <v>0.75</v>
      </c>
      <c r="AG45" s="13">
        <v>12</v>
      </c>
      <c r="AH45" s="13">
        <v>9</v>
      </c>
      <c r="AI45" s="13">
        <v>3</v>
      </c>
      <c r="AJ45" s="13">
        <v>6</v>
      </c>
      <c r="AK45" s="13">
        <v>4</v>
      </c>
      <c r="AL45" s="16">
        <v>0.67</v>
      </c>
      <c r="AM45" s="13">
        <v>12</v>
      </c>
      <c r="AN45" s="13">
        <v>11</v>
      </c>
      <c r="AO45" s="13">
        <v>4</v>
      </c>
      <c r="AP45" s="13">
        <v>2</v>
      </c>
      <c r="AQ45" s="13">
        <v>0</v>
      </c>
      <c r="AR45" s="16">
        <v>0</v>
      </c>
      <c r="AS45" s="13">
        <v>0</v>
      </c>
      <c r="AT45" s="13">
        <v>12</v>
      </c>
      <c r="AU45" s="13">
        <v>4</v>
      </c>
      <c r="AV45" s="13">
        <v>5</v>
      </c>
      <c r="AW45" s="13">
        <v>0</v>
      </c>
      <c r="AX45" s="16">
        <v>0</v>
      </c>
      <c r="AY45" s="13">
        <v>1</v>
      </c>
      <c r="AZ45" s="13">
        <v>7</v>
      </c>
      <c r="BA45" s="13">
        <v>4</v>
      </c>
      <c r="BB45" s="13">
        <v>5</v>
      </c>
      <c r="BC45" s="13">
        <v>3</v>
      </c>
      <c r="BD45" s="16">
        <v>0.6</v>
      </c>
      <c r="BE45" s="13">
        <v>3</v>
      </c>
      <c r="BF45" s="13">
        <v>11</v>
      </c>
      <c r="BG45" s="13">
        <v>6</v>
      </c>
      <c r="BH45" s="13">
        <v>4</v>
      </c>
      <c r="BI45" s="13">
        <v>4</v>
      </c>
      <c r="BJ45" s="16">
        <v>1</v>
      </c>
      <c r="BK45" s="13">
        <v>2</v>
      </c>
      <c r="BL45" s="13">
        <v>19</v>
      </c>
      <c r="BM45" s="13">
        <v>7</v>
      </c>
      <c r="BN45" s="13">
        <v>8</v>
      </c>
      <c r="BO45" s="13">
        <v>4</v>
      </c>
      <c r="BP45" s="16">
        <v>0.5</v>
      </c>
      <c r="BQ45" s="13">
        <v>24</v>
      </c>
      <c r="BR45" s="13">
        <v>10</v>
      </c>
      <c r="BS45" s="13">
        <v>5</v>
      </c>
      <c r="BT45" s="13">
        <v>19</v>
      </c>
      <c r="BU45" s="13">
        <v>9</v>
      </c>
      <c r="BV45" s="16">
        <v>0.47</v>
      </c>
      <c r="BW45" t="s">
        <v>526</v>
      </c>
      <c r="BX45" t="s">
        <v>520</v>
      </c>
      <c r="BY45" t="str">
        <f t="shared" si="0"/>
        <v>Proportion of CLTI treated within 5 days England</v>
      </c>
      <c r="BZ45" s="4">
        <v>0.56897054534849811</v>
      </c>
      <c r="CA45" s="4">
        <v>0.52658569500674768</v>
      </c>
      <c r="CB45" s="4">
        <v>0.50914298303591099</v>
      </c>
    </row>
    <row r="46" spans="1:80" x14ac:dyDescent="0.25">
      <c r="A46" s="15" t="s">
        <v>61</v>
      </c>
      <c r="B46" s="15" t="s">
        <v>60</v>
      </c>
      <c r="C46" s="13">
        <v>0</v>
      </c>
      <c r="D46" s="13">
        <v>1</v>
      </c>
      <c r="E46" s="13">
        <v>4</v>
      </c>
      <c r="F46" s="13">
        <v>0</v>
      </c>
      <c r="G46" s="13">
        <v>0</v>
      </c>
      <c r="H46" s="16" t="s">
        <v>122</v>
      </c>
      <c r="I46" s="13">
        <v>0</v>
      </c>
      <c r="J46" s="13">
        <v>2</v>
      </c>
      <c r="K46" s="13">
        <v>0</v>
      </c>
      <c r="L46" s="13">
        <v>0</v>
      </c>
      <c r="M46" s="13">
        <v>0</v>
      </c>
      <c r="N46" s="16" t="s">
        <v>122</v>
      </c>
      <c r="O46" s="13">
        <v>0</v>
      </c>
      <c r="P46" s="13">
        <v>0</v>
      </c>
      <c r="Q46" s="13">
        <v>0</v>
      </c>
      <c r="R46" s="13">
        <v>0</v>
      </c>
      <c r="S46" s="13">
        <v>0</v>
      </c>
      <c r="T46" s="16" t="s">
        <v>122</v>
      </c>
      <c r="U46" s="13">
        <v>0</v>
      </c>
      <c r="V46" s="13">
        <v>4</v>
      </c>
      <c r="W46" s="13">
        <v>2</v>
      </c>
      <c r="X46" s="13">
        <v>0</v>
      </c>
      <c r="Y46" s="13">
        <v>0</v>
      </c>
      <c r="Z46" s="16" t="s">
        <v>122</v>
      </c>
      <c r="AA46" s="13">
        <v>0</v>
      </c>
      <c r="AB46" s="13">
        <v>2</v>
      </c>
      <c r="AC46" s="13">
        <v>1</v>
      </c>
      <c r="AD46" s="13">
        <v>0</v>
      </c>
      <c r="AE46" s="13">
        <v>0</v>
      </c>
      <c r="AF46" s="16" t="s">
        <v>122</v>
      </c>
      <c r="AG46" s="13">
        <v>0</v>
      </c>
      <c r="AH46" s="13">
        <v>1</v>
      </c>
      <c r="AI46" s="13">
        <v>0</v>
      </c>
      <c r="AJ46" s="13">
        <v>0</v>
      </c>
      <c r="AK46" s="13">
        <v>0</v>
      </c>
      <c r="AL46" s="16" t="s">
        <v>122</v>
      </c>
      <c r="AM46" s="13">
        <v>0</v>
      </c>
      <c r="AN46" s="13">
        <v>2</v>
      </c>
      <c r="AO46" s="13">
        <v>0</v>
      </c>
      <c r="AP46" s="13">
        <v>0</v>
      </c>
      <c r="AQ46" s="13">
        <v>0</v>
      </c>
      <c r="AR46" s="16" t="s">
        <v>122</v>
      </c>
      <c r="AS46" s="13">
        <v>0</v>
      </c>
      <c r="AT46" s="13">
        <v>3</v>
      </c>
      <c r="AU46" s="13">
        <v>0</v>
      </c>
      <c r="AV46" s="13">
        <v>0</v>
      </c>
      <c r="AW46" s="13">
        <v>0</v>
      </c>
      <c r="AX46" s="16" t="s">
        <v>122</v>
      </c>
      <c r="AY46" s="13">
        <v>0</v>
      </c>
      <c r="AZ46" s="13">
        <v>5</v>
      </c>
      <c r="BA46" s="13">
        <v>0</v>
      </c>
      <c r="BB46" s="13">
        <v>1</v>
      </c>
      <c r="BC46" s="13">
        <v>0</v>
      </c>
      <c r="BD46" s="16">
        <v>0</v>
      </c>
      <c r="BE46" s="13">
        <v>0</v>
      </c>
      <c r="BF46" s="13">
        <v>0</v>
      </c>
      <c r="BG46" s="13">
        <v>0</v>
      </c>
      <c r="BH46" s="13">
        <v>0</v>
      </c>
      <c r="BI46" s="13">
        <v>0</v>
      </c>
      <c r="BJ46" s="16" t="s">
        <v>122</v>
      </c>
      <c r="BK46" s="13">
        <v>0</v>
      </c>
      <c r="BL46" s="13">
        <v>2</v>
      </c>
      <c r="BM46" s="13">
        <v>0</v>
      </c>
      <c r="BN46" s="13">
        <v>0</v>
      </c>
      <c r="BO46" s="13">
        <v>0</v>
      </c>
      <c r="BP46" s="16" t="s">
        <v>122</v>
      </c>
      <c r="BQ46" s="13">
        <v>0</v>
      </c>
      <c r="BR46" s="13">
        <v>2</v>
      </c>
      <c r="BS46" s="13">
        <v>1</v>
      </c>
      <c r="BT46" s="13">
        <v>0</v>
      </c>
      <c r="BU46" s="13">
        <v>0</v>
      </c>
      <c r="BV46" s="16" t="s">
        <v>122</v>
      </c>
      <c r="BW46" t="s">
        <v>526</v>
      </c>
      <c r="BX46" t="s">
        <v>520</v>
      </c>
      <c r="BY46" t="str">
        <f t="shared" si="0"/>
        <v>Proportion of CLTI treated within 5 days England</v>
      </c>
      <c r="BZ46" s="4">
        <v>0.56897054534849811</v>
      </c>
      <c r="CA46" s="4">
        <v>0.52658569500674768</v>
      </c>
      <c r="CB46" s="4">
        <v>0.50914298303591099</v>
      </c>
    </row>
    <row r="47" spans="1:80" x14ac:dyDescent="0.25">
      <c r="A47" s="15" t="s">
        <v>37</v>
      </c>
      <c r="B47" s="15" t="s">
        <v>36</v>
      </c>
      <c r="C47" s="13">
        <v>6</v>
      </c>
      <c r="D47" s="13">
        <v>0</v>
      </c>
      <c r="E47" s="13">
        <v>0</v>
      </c>
      <c r="F47" s="13">
        <v>0</v>
      </c>
      <c r="G47" s="13">
        <v>0</v>
      </c>
      <c r="H47" s="16" t="s">
        <v>122</v>
      </c>
      <c r="I47" s="13">
        <v>9</v>
      </c>
      <c r="J47" s="13">
        <v>0</v>
      </c>
      <c r="K47" s="13">
        <v>0</v>
      </c>
      <c r="L47" s="13">
        <v>0</v>
      </c>
      <c r="M47" s="13">
        <v>0</v>
      </c>
      <c r="N47" s="16" t="s">
        <v>122</v>
      </c>
      <c r="O47" s="13">
        <v>22</v>
      </c>
      <c r="P47" s="13">
        <v>0</v>
      </c>
      <c r="Q47" s="13">
        <v>0</v>
      </c>
      <c r="R47" s="13">
        <v>2</v>
      </c>
      <c r="S47" s="13">
        <v>0</v>
      </c>
      <c r="T47" s="16">
        <v>0</v>
      </c>
      <c r="U47" s="13">
        <v>44</v>
      </c>
      <c r="V47" s="13">
        <v>0</v>
      </c>
      <c r="W47" s="13">
        <v>0</v>
      </c>
      <c r="X47" s="13">
        <v>7</v>
      </c>
      <c r="Y47" s="13">
        <v>1</v>
      </c>
      <c r="Z47" s="16">
        <v>0.14000000000000001</v>
      </c>
      <c r="AA47" s="13">
        <v>32</v>
      </c>
      <c r="AB47" s="13">
        <v>0</v>
      </c>
      <c r="AC47" s="13">
        <v>0</v>
      </c>
      <c r="AD47" s="13">
        <v>2</v>
      </c>
      <c r="AE47" s="13">
        <v>0</v>
      </c>
      <c r="AF47" s="16">
        <v>0</v>
      </c>
      <c r="AG47" s="13">
        <v>17</v>
      </c>
      <c r="AH47" s="13">
        <v>0</v>
      </c>
      <c r="AI47" s="13">
        <v>0</v>
      </c>
      <c r="AJ47" s="13">
        <v>2</v>
      </c>
      <c r="AK47" s="13">
        <v>0</v>
      </c>
      <c r="AL47" s="16">
        <v>0</v>
      </c>
      <c r="AM47" s="13">
        <v>26</v>
      </c>
      <c r="AN47" s="13">
        <v>0</v>
      </c>
      <c r="AO47" s="13">
        <v>0</v>
      </c>
      <c r="AP47" s="13">
        <v>8</v>
      </c>
      <c r="AQ47" s="13">
        <v>0</v>
      </c>
      <c r="AR47" s="16">
        <v>0</v>
      </c>
      <c r="AS47" s="13">
        <v>32</v>
      </c>
      <c r="AT47" s="13">
        <v>0</v>
      </c>
      <c r="AU47" s="13">
        <v>0</v>
      </c>
      <c r="AV47" s="13">
        <v>4</v>
      </c>
      <c r="AW47" s="13">
        <v>1</v>
      </c>
      <c r="AX47" s="16">
        <v>0.25</v>
      </c>
      <c r="AY47" s="13">
        <v>22</v>
      </c>
      <c r="AZ47" s="13">
        <v>0</v>
      </c>
      <c r="BA47" s="13">
        <v>0</v>
      </c>
      <c r="BB47" s="13">
        <v>7</v>
      </c>
      <c r="BC47" s="13">
        <v>0</v>
      </c>
      <c r="BD47" s="16">
        <v>0</v>
      </c>
      <c r="BE47" s="13">
        <v>12</v>
      </c>
      <c r="BF47" s="13">
        <v>0</v>
      </c>
      <c r="BG47" s="13">
        <v>0</v>
      </c>
      <c r="BH47" s="13">
        <v>1</v>
      </c>
      <c r="BI47" s="13">
        <v>0</v>
      </c>
      <c r="BJ47" s="16">
        <v>0</v>
      </c>
      <c r="BK47" s="13">
        <v>21</v>
      </c>
      <c r="BL47" s="13">
        <v>0</v>
      </c>
      <c r="BM47" s="13">
        <v>0</v>
      </c>
      <c r="BN47" s="13">
        <v>3</v>
      </c>
      <c r="BO47" s="13">
        <v>2</v>
      </c>
      <c r="BP47" s="16">
        <v>0.67</v>
      </c>
      <c r="BQ47" s="13">
        <v>18</v>
      </c>
      <c r="BR47" s="13">
        <v>0</v>
      </c>
      <c r="BS47" s="13">
        <v>0</v>
      </c>
      <c r="BT47" s="13">
        <v>3</v>
      </c>
      <c r="BU47" s="13">
        <v>0</v>
      </c>
      <c r="BV47" s="16">
        <v>0</v>
      </c>
      <c r="BW47" t="s">
        <v>526</v>
      </c>
      <c r="BX47" t="s">
        <v>520</v>
      </c>
      <c r="BY47" t="str">
        <f t="shared" si="0"/>
        <v>Proportion of CLTI treated within 5 days England</v>
      </c>
      <c r="BZ47" s="4">
        <v>0.56897054534849811</v>
      </c>
      <c r="CA47" s="4">
        <v>0.52658569500674768</v>
      </c>
      <c r="CB47" s="4">
        <v>0.50914298303591099</v>
      </c>
    </row>
    <row r="48" spans="1:80" x14ac:dyDescent="0.25">
      <c r="A48" s="15" t="s">
        <v>24</v>
      </c>
      <c r="B48" s="15" t="s">
        <v>23</v>
      </c>
      <c r="C48" s="13">
        <v>0</v>
      </c>
      <c r="D48" s="13">
        <v>20</v>
      </c>
      <c r="E48" s="13">
        <v>3</v>
      </c>
      <c r="F48" s="13">
        <v>5</v>
      </c>
      <c r="G48" s="13">
        <v>5</v>
      </c>
      <c r="H48" s="16">
        <v>1</v>
      </c>
      <c r="I48" s="13">
        <v>0</v>
      </c>
      <c r="J48" s="13">
        <v>15</v>
      </c>
      <c r="K48" s="13">
        <v>0</v>
      </c>
      <c r="L48" s="13">
        <v>3</v>
      </c>
      <c r="M48" s="13">
        <v>2</v>
      </c>
      <c r="N48" s="16">
        <v>0.67</v>
      </c>
      <c r="O48" s="13">
        <v>0</v>
      </c>
      <c r="P48" s="13">
        <v>12</v>
      </c>
      <c r="Q48" s="13">
        <v>2</v>
      </c>
      <c r="R48" s="13">
        <v>2</v>
      </c>
      <c r="S48" s="13">
        <v>2</v>
      </c>
      <c r="T48" s="16">
        <v>1</v>
      </c>
      <c r="U48" s="13">
        <v>39</v>
      </c>
      <c r="V48" s="13">
        <v>17</v>
      </c>
      <c r="W48" s="13">
        <v>6</v>
      </c>
      <c r="X48" s="13">
        <v>23</v>
      </c>
      <c r="Y48" s="13">
        <v>18</v>
      </c>
      <c r="Z48" s="16">
        <v>0.78</v>
      </c>
      <c r="AA48" s="13">
        <v>34</v>
      </c>
      <c r="AB48" s="13">
        <v>18</v>
      </c>
      <c r="AC48" s="13">
        <v>2</v>
      </c>
      <c r="AD48" s="13">
        <v>11</v>
      </c>
      <c r="AE48" s="13">
        <v>10</v>
      </c>
      <c r="AF48" s="16">
        <v>0.91</v>
      </c>
      <c r="AG48" s="13">
        <v>48</v>
      </c>
      <c r="AH48" s="13">
        <v>10</v>
      </c>
      <c r="AI48" s="13">
        <v>7</v>
      </c>
      <c r="AJ48" s="13">
        <v>23</v>
      </c>
      <c r="AK48" s="13">
        <v>21</v>
      </c>
      <c r="AL48" s="16">
        <v>0.91</v>
      </c>
      <c r="AM48" s="13">
        <v>40</v>
      </c>
      <c r="AN48" s="13">
        <v>16</v>
      </c>
      <c r="AO48" s="13">
        <v>3</v>
      </c>
      <c r="AP48" s="13">
        <v>18</v>
      </c>
      <c r="AQ48" s="13">
        <v>17</v>
      </c>
      <c r="AR48" s="16">
        <v>0.94</v>
      </c>
      <c r="AS48" s="13">
        <v>55</v>
      </c>
      <c r="AT48" s="13">
        <v>14</v>
      </c>
      <c r="AU48" s="13">
        <v>1</v>
      </c>
      <c r="AV48" s="13">
        <v>22</v>
      </c>
      <c r="AW48" s="13">
        <v>13</v>
      </c>
      <c r="AX48" s="16">
        <v>0.59</v>
      </c>
      <c r="AY48" s="13">
        <v>39</v>
      </c>
      <c r="AZ48" s="13">
        <v>13</v>
      </c>
      <c r="BA48" s="13">
        <v>6</v>
      </c>
      <c r="BB48" s="13">
        <v>18</v>
      </c>
      <c r="BC48" s="13">
        <v>10</v>
      </c>
      <c r="BD48" s="16">
        <v>0.56000000000000005</v>
      </c>
      <c r="BE48" s="13">
        <v>40</v>
      </c>
      <c r="BF48" s="13">
        <v>16</v>
      </c>
      <c r="BG48" s="13">
        <v>5</v>
      </c>
      <c r="BH48" s="13">
        <v>21</v>
      </c>
      <c r="BI48" s="13">
        <v>10</v>
      </c>
      <c r="BJ48" s="16">
        <v>0.48</v>
      </c>
      <c r="BK48" s="13">
        <v>52</v>
      </c>
      <c r="BL48" s="13">
        <v>20</v>
      </c>
      <c r="BM48" s="13">
        <v>5</v>
      </c>
      <c r="BN48" s="13">
        <v>30</v>
      </c>
      <c r="BO48" s="13">
        <v>21</v>
      </c>
      <c r="BP48" s="16">
        <v>0.7</v>
      </c>
      <c r="BQ48" s="13">
        <v>52</v>
      </c>
      <c r="BR48" s="13">
        <v>15</v>
      </c>
      <c r="BS48" s="13">
        <v>3</v>
      </c>
      <c r="BT48" s="13">
        <v>20</v>
      </c>
      <c r="BU48" s="13">
        <v>10</v>
      </c>
      <c r="BV48" s="16">
        <v>0.5</v>
      </c>
      <c r="BW48" t="s">
        <v>526</v>
      </c>
      <c r="BX48" t="s">
        <v>520</v>
      </c>
      <c r="BY48" t="str">
        <f t="shared" si="0"/>
        <v>Proportion of CLTI treated within 5 days England</v>
      </c>
      <c r="BZ48" s="4">
        <v>0.56897054534849811</v>
      </c>
      <c r="CA48" s="4">
        <v>0.52658569500674768</v>
      </c>
      <c r="CB48" s="4">
        <v>0.50914298303591099</v>
      </c>
    </row>
    <row r="49" spans="1:80" x14ac:dyDescent="0.25">
      <c r="A49" s="15" t="s">
        <v>159</v>
      </c>
      <c r="B49" s="15" t="s">
        <v>31</v>
      </c>
      <c r="C49" s="13">
        <v>16</v>
      </c>
      <c r="D49" s="13">
        <v>22</v>
      </c>
      <c r="E49" s="13">
        <v>0</v>
      </c>
      <c r="F49" s="13">
        <v>3</v>
      </c>
      <c r="G49" s="13">
        <v>2</v>
      </c>
      <c r="H49" s="16">
        <v>0.67</v>
      </c>
      <c r="I49" s="13">
        <v>20</v>
      </c>
      <c r="J49" s="13">
        <v>19</v>
      </c>
      <c r="K49" s="13">
        <v>1</v>
      </c>
      <c r="L49" s="13">
        <v>6</v>
      </c>
      <c r="M49" s="13">
        <v>4</v>
      </c>
      <c r="N49" s="16">
        <v>0.67</v>
      </c>
      <c r="O49" s="13">
        <v>36</v>
      </c>
      <c r="P49" s="13">
        <v>15</v>
      </c>
      <c r="Q49" s="13">
        <v>0</v>
      </c>
      <c r="R49" s="13">
        <v>5</v>
      </c>
      <c r="S49" s="13">
        <v>1</v>
      </c>
      <c r="T49" s="16">
        <v>0.2</v>
      </c>
      <c r="U49" s="13">
        <v>35</v>
      </c>
      <c r="V49" s="13">
        <v>17</v>
      </c>
      <c r="W49" s="13">
        <v>0</v>
      </c>
      <c r="X49" s="13">
        <v>3</v>
      </c>
      <c r="Y49" s="13">
        <v>3</v>
      </c>
      <c r="Z49" s="16">
        <v>1</v>
      </c>
      <c r="AA49" s="13">
        <v>30</v>
      </c>
      <c r="AB49" s="13">
        <v>23</v>
      </c>
      <c r="AC49" s="13">
        <v>0</v>
      </c>
      <c r="AD49" s="13">
        <v>7</v>
      </c>
      <c r="AE49" s="13">
        <v>6</v>
      </c>
      <c r="AF49" s="16">
        <v>0.86</v>
      </c>
      <c r="AG49" s="13">
        <v>30</v>
      </c>
      <c r="AH49" s="13">
        <v>28</v>
      </c>
      <c r="AI49" s="13">
        <v>0</v>
      </c>
      <c r="AJ49" s="13">
        <v>5</v>
      </c>
      <c r="AK49" s="13">
        <v>1</v>
      </c>
      <c r="AL49" s="16">
        <v>0.2</v>
      </c>
      <c r="AM49" s="13">
        <v>22</v>
      </c>
      <c r="AN49" s="13">
        <v>30</v>
      </c>
      <c r="AO49" s="13">
        <v>0</v>
      </c>
      <c r="AP49" s="13">
        <v>8</v>
      </c>
      <c r="AQ49" s="13">
        <v>3</v>
      </c>
      <c r="AR49" s="16">
        <v>0.38</v>
      </c>
      <c r="AS49" s="13">
        <v>28</v>
      </c>
      <c r="AT49" s="13">
        <v>14</v>
      </c>
      <c r="AU49" s="13">
        <v>0</v>
      </c>
      <c r="AV49" s="13">
        <v>12</v>
      </c>
      <c r="AW49" s="13">
        <v>7</v>
      </c>
      <c r="AX49" s="16">
        <v>0.57999999999999996</v>
      </c>
      <c r="AY49" s="13">
        <v>40</v>
      </c>
      <c r="AZ49" s="13">
        <v>18</v>
      </c>
      <c r="BA49" s="13">
        <v>2</v>
      </c>
      <c r="BB49" s="13">
        <v>16</v>
      </c>
      <c r="BC49" s="13">
        <v>10</v>
      </c>
      <c r="BD49" s="16">
        <v>0.63</v>
      </c>
      <c r="BE49" s="13">
        <v>27</v>
      </c>
      <c r="BF49" s="13">
        <v>17</v>
      </c>
      <c r="BG49" s="13">
        <v>3</v>
      </c>
      <c r="BH49" s="13">
        <v>18</v>
      </c>
      <c r="BI49" s="13">
        <v>14</v>
      </c>
      <c r="BJ49" s="16">
        <v>0.78</v>
      </c>
      <c r="BK49" s="13">
        <v>25</v>
      </c>
      <c r="BL49" s="13">
        <v>11</v>
      </c>
      <c r="BM49" s="13">
        <v>4</v>
      </c>
      <c r="BN49" s="13">
        <v>19</v>
      </c>
      <c r="BO49" s="13">
        <v>15</v>
      </c>
      <c r="BP49" s="16">
        <v>0.79</v>
      </c>
      <c r="BQ49" s="13">
        <v>35</v>
      </c>
      <c r="BR49" s="13">
        <v>14</v>
      </c>
      <c r="BS49" s="13">
        <v>4</v>
      </c>
      <c r="BT49" s="13">
        <v>16</v>
      </c>
      <c r="BU49" s="13">
        <v>9</v>
      </c>
      <c r="BV49" s="16">
        <v>0.56000000000000005</v>
      </c>
      <c r="BW49" t="s">
        <v>526</v>
      </c>
      <c r="BX49" t="s">
        <v>520</v>
      </c>
      <c r="BY49" t="str">
        <f t="shared" si="0"/>
        <v>Proportion of CLTI treated within 5 days England</v>
      </c>
      <c r="BZ49" s="4">
        <v>0.56897054534849811</v>
      </c>
      <c r="CA49" s="4">
        <v>0.52658569500674768</v>
      </c>
      <c r="CB49" s="4">
        <v>0.50914298303591099</v>
      </c>
    </row>
    <row r="50" spans="1:80" x14ac:dyDescent="0.25">
      <c r="A50" s="15" t="s">
        <v>16</v>
      </c>
      <c r="B50" s="15" t="s">
        <v>15</v>
      </c>
      <c r="C50" s="13">
        <v>25</v>
      </c>
      <c r="D50" s="13">
        <v>14</v>
      </c>
      <c r="E50" s="13">
        <v>6</v>
      </c>
      <c r="F50" s="13">
        <v>9</v>
      </c>
      <c r="G50" s="13">
        <v>4</v>
      </c>
      <c r="H50" s="16">
        <v>0.44</v>
      </c>
      <c r="I50" s="13">
        <v>31</v>
      </c>
      <c r="J50" s="13">
        <v>18</v>
      </c>
      <c r="K50" s="13">
        <v>6</v>
      </c>
      <c r="L50" s="13">
        <v>10</v>
      </c>
      <c r="M50" s="13">
        <v>6</v>
      </c>
      <c r="N50" s="16">
        <v>0.6</v>
      </c>
      <c r="O50" s="13">
        <v>0</v>
      </c>
      <c r="P50" s="13">
        <v>0</v>
      </c>
      <c r="Q50" s="13">
        <v>1</v>
      </c>
      <c r="R50" s="13">
        <v>1</v>
      </c>
      <c r="S50" s="13">
        <v>1</v>
      </c>
      <c r="T50" s="16">
        <v>1</v>
      </c>
      <c r="U50" s="13">
        <v>1</v>
      </c>
      <c r="V50" s="13">
        <v>1</v>
      </c>
      <c r="W50" s="13">
        <v>2</v>
      </c>
      <c r="X50" s="13">
        <v>1</v>
      </c>
      <c r="Y50" s="13">
        <v>1</v>
      </c>
      <c r="Z50" s="16">
        <v>1</v>
      </c>
      <c r="AA50" s="13">
        <v>0</v>
      </c>
      <c r="AB50" s="13">
        <v>2</v>
      </c>
      <c r="AC50" s="13">
        <v>1</v>
      </c>
      <c r="AD50" s="13">
        <v>1</v>
      </c>
      <c r="AE50" s="13">
        <v>1</v>
      </c>
      <c r="AF50" s="16">
        <v>1</v>
      </c>
      <c r="AG50" s="13">
        <v>0</v>
      </c>
      <c r="AH50" s="13">
        <v>1</v>
      </c>
      <c r="AI50" s="13">
        <v>1</v>
      </c>
      <c r="AJ50" s="13">
        <v>2</v>
      </c>
      <c r="AK50" s="13">
        <v>1</v>
      </c>
      <c r="AL50" s="16">
        <v>0.5</v>
      </c>
      <c r="AM50" s="13">
        <v>1</v>
      </c>
      <c r="AN50" s="13">
        <v>4</v>
      </c>
      <c r="AO50" s="13">
        <v>3</v>
      </c>
      <c r="AP50" s="13">
        <v>3</v>
      </c>
      <c r="AQ50" s="13">
        <v>1</v>
      </c>
      <c r="AR50" s="16">
        <v>0.33</v>
      </c>
      <c r="AS50" s="13">
        <v>0</v>
      </c>
      <c r="AT50" s="13">
        <v>3</v>
      </c>
      <c r="AU50" s="13">
        <v>2</v>
      </c>
      <c r="AV50" s="13">
        <v>0</v>
      </c>
      <c r="AW50" s="13">
        <v>0</v>
      </c>
      <c r="AX50" s="16" t="s">
        <v>122</v>
      </c>
      <c r="AY50" s="13">
        <v>1</v>
      </c>
      <c r="AZ50" s="13">
        <v>3</v>
      </c>
      <c r="BA50" s="13">
        <v>0</v>
      </c>
      <c r="BB50" s="13">
        <v>2</v>
      </c>
      <c r="BC50" s="13">
        <v>1</v>
      </c>
      <c r="BD50" s="16">
        <v>0.5</v>
      </c>
      <c r="BE50" s="13">
        <v>2</v>
      </c>
      <c r="BF50" s="13">
        <v>2</v>
      </c>
      <c r="BG50" s="13">
        <v>0</v>
      </c>
      <c r="BH50" s="13">
        <v>3</v>
      </c>
      <c r="BI50" s="13">
        <v>1</v>
      </c>
      <c r="BJ50" s="16">
        <v>0.33</v>
      </c>
      <c r="BK50" s="13">
        <v>13</v>
      </c>
      <c r="BL50" s="13">
        <v>9</v>
      </c>
      <c r="BM50" s="13">
        <v>40</v>
      </c>
      <c r="BN50" s="13">
        <v>17</v>
      </c>
      <c r="BO50" s="13">
        <v>8</v>
      </c>
      <c r="BP50" s="16">
        <v>0.47</v>
      </c>
      <c r="BQ50" s="13">
        <v>14</v>
      </c>
      <c r="BR50" s="13">
        <v>5</v>
      </c>
      <c r="BS50" s="13">
        <v>5</v>
      </c>
      <c r="BT50" s="13">
        <v>9</v>
      </c>
      <c r="BU50" s="13">
        <v>1</v>
      </c>
      <c r="BV50" s="16">
        <v>0.11</v>
      </c>
      <c r="BW50" t="s">
        <v>526</v>
      </c>
      <c r="BX50" t="s">
        <v>520</v>
      </c>
      <c r="BY50" t="str">
        <f t="shared" si="0"/>
        <v>Proportion of CLTI treated within 5 days England</v>
      </c>
      <c r="BZ50" s="4">
        <v>0.56897054534849811</v>
      </c>
      <c r="CA50" s="4">
        <v>0.52658569500674768</v>
      </c>
      <c r="CB50" s="4">
        <v>0.50914298303591099</v>
      </c>
    </row>
    <row r="51" spans="1:80" x14ac:dyDescent="0.25">
      <c r="A51" s="15" t="s">
        <v>35</v>
      </c>
      <c r="B51" s="15" t="s">
        <v>34</v>
      </c>
      <c r="C51" s="13">
        <v>1</v>
      </c>
      <c r="D51" s="13">
        <v>11</v>
      </c>
      <c r="E51" s="13">
        <v>0</v>
      </c>
      <c r="F51" s="13">
        <v>5</v>
      </c>
      <c r="G51" s="13">
        <v>2</v>
      </c>
      <c r="H51" s="16">
        <v>0.4</v>
      </c>
      <c r="I51" s="13">
        <v>0</v>
      </c>
      <c r="J51" s="13">
        <v>9</v>
      </c>
      <c r="K51" s="13">
        <v>0</v>
      </c>
      <c r="L51" s="13">
        <v>4</v>
      </c>
      <c r="M51" s="13">
        <v>2</v>
      </c>
      <c r="N51" s="16">
        <v>0.5</v>
      </c>
      <c r="O51" s="13">
        <v>6</v>
      </c>
      <c r="P51" s="13">
        <v>12</v>
      </c>
      <c r="Q51" s="13">
        <v>2</v>
      </c>
      <c r="R51" s="13">
        <v>7</v>
      </c>
      <c r="S51" s="13">
        <v>1</v>
      </c>
      <c r="T51" s="16">
        <v>0.14000000000000001</v>
      </c>
      <c r="U51" s="13">
        <v>2</v>
      </c>
      <c r="V51" s="13">
        <v>9</v>
      </c>
      <c r="W51" s="13">
        <v>3</v>
      </c>
      <c r="X51" s="13">
        <v>0</v>
      </c>
      <c r="Y51" s="13">
        <v>0</v>
      </c>
      <c r="Z51" s="16" t="s">
        <v>122</v>
      </c>
      <c r="AA51" s="13">
        <v>7</v>
      </c>
      <c r="AB51" s="13">
        <v>6</v>
      </c>
      <c r="AC51" s="13">
        <v>0</v>
      </c>
      <c r="AD51" s="13">
        <v>6</v>
      </c>
      <c r="AE51" s="13">
        <v>2</v>
      </c>
      <c r="AF51" s="16">
        <v>0.33</v>
      </c>
      <c r="AG51" s="13">
        <v>4</v>
      </c>
      <c r="AH51" s="13">
        <v>24</v>
      </c>
      <c r="AI51" s="13">
        <v>1</v>
      </c>
      <c r="AJ51" s="13">
        <v>9</v>
      </c>
      <c r="AK51" s="13">
        <v>6</v>
      </c>
      <c r="AL51" s="16">
        <v>0.67</v>
      </c>
      <c r="AM51" s="13">
        <v>6</v>
      </c>
      <c r="AN51" s="13">
        <v>23</v>
      </c>
      <c r="AO51" s="13">
        <v>7</v>
      </c>
      <c r="AP51" s="13">
        <v>13</v>
      </c>
      <c r="AQ51" s="13">
        <v>10</v>
      </c>
      <c r="AR51" s="16">
        <v>0.77</v>
      </c>
      <c r="AS51" s="13">
        <v>8</v>
      </c>
      <c r="AT51" s="13">
        <v>14</v>
      </c>
      <c r="AU51" s="13">
        <v>11</v>
      </c>
      <c r="AV51" s="13">
        <v>12</v>
      </c>
      <c r="AW51" s="13">
        <v>7</v>
      </c>
      <c r="AX51" s="16">
        <v>0.57999999999999996</v>
      </c>
      <c r="AY51" s="13">
        <v>18</v>
      </c>
      <c r="AZ51" s="13">
        <v>7</v>
      </c>
      <c r="BA51" s="13">
        <v>11</v>
      </c>
      <c r="BB51" s="13">
        <v>11</v>
      </c>
      <c r="BC51" s="13">
        <v>6</v>
      </c>
      <c r="BD51" s="16">
        <v>0.55000000000000004</v>
      </c>
      <c r="BE51" s="13">
        <v>14</v>
      </c>
      <c r="BF51" s="13">
        <v>14</v>
      </c>
      <c r="BG51" s="13">
        <v>15</v>
      </c>
      <c r="BH51" s="13">
        <v>7</v>
      </c>
      <c r="BI51" s="13">
        <v>4</v>
      </c>
      <c r="BJ51" s="16">
        <v>0.56999999999999995</v>
      </c>
      <c r="BK51" s="13">
        <v>8</v>
      </c>
      <c r="BL51" s="13">
        <v>17</v>
      </c>
      <c r="BM51" s="13">
        <v>14</v>
      </c>
      <c r="BN51" s="13">
        <v>7</v>
      </c>
      <c r="BO51" s="13">
        <v>1</v>
      </c>
      <c r="BP51" s="16">
        <v>0.14000000000000001</v>
      </c>
      <c r="BQ51" s="13">
        <v>3</v>
      </c>
      <c r="BR51" s="13">
        <v>39</v>
      </c>
      <c r="BS51" s="13">
        <v>9</v>
      </c>
      <c r="BT51" s="13">
        <v>17</v>
      </c>
      <c r="BU51" s="13">
        <v>9</v>
      </c>
      <c r="BV51" s="16">
        <v>0.53</v>
      </c>
      <c r="BW51" t="s">
        <v>526</v>
      </c>
      <c r="BX51" t="s">
        <v>520</v>
      </c>
      <c r="BY51" t="str">
        <f t="shared" si="0"/>
        <v>Proportion of CLTI treated within 5 days England</v>
      </c>
      <c r="BZ51" s="4">
        <v>0.56897054534849811</v>
      </c>
      <c r="CA51" s="4">
        <v>0.52658569500674768</v>
      </c>
      <c r="CB51" s="4">
        <v>0.50914298303591099</v>
      </c>
    </row>
    <row r="52" spans="1:80" x14ac:dyDescent="0.25">
      <c r="A52" s="15" t="s">
        <v>99</v>
      </c>
      <c r="B52" s="15" t="s">
        <v>98</v>
      </c>
      <c r="C52" s="13">
        <v>48</v>
      </c>
      <c r="D52" s="13">
        <v>13</v>
      </c>
      <c r="E52" s="13">
        <v>1</v>
      </c>
      <c r="F52" s="13">
        <v>14</v>
      </c>
      <c r="G52" s="13">
        <v>8</v>
      </c>
      <c r="H52" s="16">
        <v>0.56999999999999995</v>
      </c>
      <c r="I52" s="13">
        <v>47</v>
      </c>
      <c r="J52" s="13">
        <v>22</v>
      </c>
      <c r="K52" s="13">
        <v>3</v>
      </c>
      <c r="L52" s="13">
        <v>14</v>
      </c>
      <c r="M52" s="13">
        <v>5</v>
      </c>
      <c r="N52" s="16">
        <v>0.36</v>
      </c>
      <c r="O52" s="13">
        <v>31</v>
      </c>
      <c r="P52" s="13">
        <v>20</v>
      </c>
      <c r="Q52" s="13">
        <v>1</v>
      </c>
      <c r="R52" s="13">
        <v>11</v>
      </c>
      <c r="S52" s="13">
        <v>10</v>
      </c>
      <c r="T52" s="16">
        <v>0.91</v>
      </c>
      <c r="U52" s="13">
        <v>36</v>
      </c>
      <c r="V52" s="13">
        <v>16</v>
      </c>
      <c r="W52" s="13">
        <v>1</v>
      </c>
      <c r="X52" s="13">
        <v>14</v>
      </c>
      <c r="Y52" s="13">
        <v>8</v>
      </c>
      <c r="Z52" s="16">
        <v>0.56999999999999995</v>
      </c>
      <c r="AA52" s="13">
        <v>32</v>
      </c>
      <c r="AB52" s="13">
        <v>9</v>
      </c>
      <c r="AC52" s="13">
        <v>4</v>
      </c>
      <c r="AD52" s="13">
        <v>9</v>
      </c>
      <c r="AE52" s="13">
        <v>4</v>
      </c>
      <c r="AF52" s="16">
        <v>0.44</v>
      </c>
      <c r="AG52" s="13">
        <v>31</v>
      </c>
      <c r="AH52" s="13">
        <v>19</v>
      </c>
      <c r="AI52" s="13">
        <v>7</v>
      </c>
      <c r="AJ52" s="13">
        <v>11</v>
      </c>
      <c r="AK52" s="13">
        <v>7</v>
      </c>
      <c r="AL52" s="16">
        <v>0.64</v>
      </c>
      <c r="AM52" s="13">
        <v>40</v>
      </c>
      <c r="AN52" s="13">
        <v>21</v>
      </c>
      <c r="AO52" s="13">
        <v>4</v>
      </c>
      <c r="AP52" s="13">
        <v>11</v>
      </c>
      <c r="AQ52" s="13">
        <v>9</v>
      </c>
      <c r="AR52" s="16">
        <v>0.82</v>
      </c>
      <c r="AS52" s="13">
        <v>35</v>
      </c>
      <c r="AT52" s="13">
        <v>23</v>
      </c>
      <c r="AU52" s="13">
        <v>3</v>
      </c>
      <c r="AV52" s="13">
        <v>14</v>
      </c>
      <c r="AW52" s="13">
        <v>8</v>
      </c>
      <c r="AX52" s="16">
        <v>0.56999999999999995</v>
      </c>
      <c r="AY52" s="13">
        <v>33</v>
      </c>
      <c r="AZ52" s="13">
        <v>19</v>
      </c>
      <c r="BA52" s="13">
        <v>3</v>
      </c>
      <c r="BB52" s="13">
        <v>7</v>
      </c>
      <c r="BC52" s="13">
        <v>5</v>
      </c>
      <c r="BD52" s="16">
        <v>0.71</v>
      </c>
      <c r="BE52" s="13">
        <v>52</v>
      </c>
      <c r="BF52" s="13">
        <v>11</v>
      </c>
      <c r="BG52" s="13">
        <v>5</v>
      </c>
      <c r="BH52" s="13">
        <v>18</v>
      </c>
      <c r="BI52" s="13">
        <v>11</v>
      </c>
      <c r="BJ52" s="16">
        <v>0.61</v>
      </c>
      <c r="BK52" s="13">
        <v>16</v>
      </c>
      <c r="BL52" s="13">
        <v>16</v>
      </c>
      <c r="BM52" s="13">
        <v>4</v>
      </c>
      <c r="BN52" s="13">
        <v>14</v>
      </c>
      <c r="BO52" s="13">
        <v>9</v>
      </c>
      <c r="BP52" s="16">
        <v>0.64</v>
      </c>
      <c r="BQ52" s="13">
        <v>14</v>
      </c>
      <c r="BR52" s="13">
        <v>22</v>
      </c>
      <c r="BS52" s="13">
        <v>4</v>
      </c>
      <c r="BT52" s="13">
        <v>9</v>
      </c>
      <c r="BU52" s="13">
        <v>5</v>
      </c>
      <c r="BV52" s="16">
        <v>0.56000000000000005</v>
      </c>
      <c r="BW52" t="s">
        <v>526</v>
      </c>
      <c r="BX52" t="s">
        <v>520</v>
      </c>
      <c r="BY52" t="str">
        <f t="shared" si="0"/>
        <v>Proportion of CLTI treated within 5 days England</v>
      </c>
      <c r="BZ52" s="4">
        <v>0.56897054534849811</v>
      </c>
      <c r="CA52" s="4">
        <v>0.52658569500674768</v>
      </c>
      <c r="CB52" s="4">
        <v>0.50914298303591099</v>
      </c>
    </row>
    <row r="53" spans="1:80" x14ac:dyDescent="0.25">
      <c r="A53" s="15" t="s">
        <v>145</v>
      </c>
      <c r="B53" s="15" t="s">
        <v>144</v>
      </c>
      <c r="C53" s="13">
        <v>53</v>
      </c>
      <c r="D53" s="13">
        <v>37</v>
      </c>
      <c r="E53" s="13">
        <v>2</v>
      </c>
      <c r="F53" s="13">
        <v>9</v>
      </c>
      <c r="G53" s="13">
        <v>6</v>
      </c>
      <c r="H53" s="16">
        <v>0.67</v>
      </c>
      <c r="I53" s="13">
        <v>53</v>
      </c>
      <c r="J53" s="13">
        <v>38</v>
      </c>
      <c r="K53" s="13">
        <v>4</v>
      </c>
      <c r="L53" s="13">
        <v>8</v>
      </c>
      <c r="M53" s="13">
        <v>6</v>
      </c>
      <c r="N53" s="16">
        <v>0.75</v>
      </c>
      <c r="O53" s="13">
        <v>51</v>
      </c>
      <c r="P53" s="13">
        <v>35</v>
      </c>
      <c r="Q53" s="13">
        <v>3</v>
      </c>
      <c r="R53" s="13">
        <v>11</v>
      </c>
      <c r="S53" s="13">
        <v>10</v>
      </c>
      <c r="T53" s="16">
        <v>0.91</v>
      </c>
      <c r="U53" s="13">
        <v>77</v>
      </c>
      <c r="V53" s="13">
        <v>47</v>
      </c>
      <c r="W53" s="13">
        <v>6</v>
      </c>
      <c r="X53" s="13">
        <v>27</v>
      </c>
      <c r="Y53" s="13">
        <v>18</v>
      </c>
      <c r="Z53" s="16">
        <v>0.67</v>
      </c>
      <c r="AA53" s="13">
        <v>83</v>
      </c>
      <c r="AB53" s="13">
        <v>34</v>
      </c>
      <c r="AC53" s="13">
        <v>4</v>
      </c>
      <c r="AD53" s="13">
        <v>25</v>
      </c>
      <c r="AE53" s="13">
        <v>22</v>
      </c>
      <c r="AF53" s="16">
        <v>0.88</v>
      </c>
      <c r="AG53" s="13">
        <v>52</v>
      </c>
      <c r="AH53" s="13">
        <v>28</v>
      </c>
      <c r="AI53" s="13">
        <v>4</v>
      </c>
      <c r="AJ53" s="13">
        <v>15</v>
      </c>
      <c r="AK53" s="13">
        <v>13</v>
      </c>
      <c r="AL53" s="16">
        <v>0.87</v>
      </c>
      <c r="AM53" s="13">
        <v>63</v>
      </c>
      <c r="AN53" s="13">
        <v>41</v>
      </c>
      <c r="AO53" s="13">
        <v>5</v>
      </c>
      <c r="AP53" s="13">
        <v>20</v>
      </c>
      <c r="AQ53" s="13">
        <v>20</v>
      </c>
      <c r="AR53" s="16">
        <v>1</v>
      </c>
      <c r="AS53" s="13">
        <v>75</v>
      </c>
      <c r="AT53" s="13">
        <v>31</v>
      </c>
      <c r="AU53" s="13">
        <v>4</v>
      </c>
      <c r="AV53" s="13">
        <v>16</v>
      </c>
      <c r="AW53" s="13">
        <v>11</v>
      </c>
      <c r="AX53" s="16">
        <v>0.69</v>
      </c>
      <c r="AY53" s="13">
        <v>61</v>
      </c>
      <c r="AZ53" s="13">
        <v>35</v>
      </c>
      <c r="BA53" s="13">
        <v>4</v>
      </c>
      <c r="BB53" s="13">
        <v>21</v>
      </c>
      <c r="BC53" s="13">
        <v>14</v>
      </c>
      <c r="BD53" s="16">
        <v>0.67</v>
      </c>
      <c r="BE53" s="13">
        <v>45</v>
      </c>
      <c r="BF53" s="13">
        <v>33</v>
      </c>
      <c r="BG53" s="13">
        <v>1</v>
      </c>
      <c r="BH53" s="13">
        <v>5</v>
      </c>
      <c r="BI53" s="13">
        <v>3</v>
      </c>
      <c r="BJ53" s="16">
        <v>0.6</v>
      </c>
      <c r="BK53" s="13">
        <v>46</v>
      </c>
      <c r="BL53" s="13">
        <v>33</v>
      </c>
      <c r="BM53" s="13">
        <v>6</v>
      </c>
      <c r="BN53" s="13">
        <v>6</v>
      </c>
      <c r="BO53" s="13">
        <v>3</v>
      </c>
      <c r="BP53" s="16">
        <v>0.5</v>
      </c>
      <c r="BQ53" s="13">
        <v>46</v>
      </c>
      <c r="BR53" s="13">
        <v>44</v>
      </c>
      <c r="BS53" s="13">
        <v>5</v>
      </c>
      <c r="BT53" s="13">
        <v>10</v>
      </c>
      <c r="BU53" s="13">
        <v>8</v>
      </c>
      <c r="BV53" s="16">
        <v>0.8</v>
      </c>
      <c r="BW53" t="s">
        <v>526</v>
      </c>
      <c r="BX53" t="s">
        <v>520</v>
      </c>
      <c r="BY53" t="str">
        <f t="shared" si="0"/>
        <v>Proportion of CLTI treated within 5 days England</v>
      </c>
      <c r="BZ53" s="4">
        <v>0.56897054534849811</v>
      </c>
      <c r="CA53" s="4">
        <v>0.52658569500674768</v>
      </c>
      <c r="CB53" s="4">
        <v>0.50914298303591099</v>
      </c>
    </row>
    <row r="54" spans="1:80" x14ac:dyDescent="0.25">
      <c r="A54" s="15" t="s">
        <v>77</v>
      </c>
      <c r="B54" s="15" t="s">
        <v>76</v>
      </c>
      <c r="C54" s="13">
        <v>0</v>
      </c>
      <c r="D54" s="13">
        <v>11</v>
      </c>
      <c r="E54" s="13">
        <v>1</v>
      </c>
      <c r="F54" s="13">
        <v>3</v>
      </c>
      <c r="G54" s="13">
        <v>3</v>
      </c>
      <c r="H54" s="16">
        <v>1</v>
      </c>
      <c r="I54" s="13">
        <v>0</v>
      </c>
      <c r="J54" s="13">
        <v>14</v>
      </c>
      <c r="K54" s="13">
        <v>2</v>
      </c>
      <c r="L54" s="13">
        <v>5</v>
      </c>
      <c r="M54" s="13">
        <v>4</v>
      </c>
      <c r="N54" s="16">
        <v>0.8</v>
      </c>
      <c r="O54" s="13">
        <v>0</v>
      </c>
      <c r="P54" s="13">
        <v>14</v>
      </c>
      <c r="Q54" s="13">
        <v>2</v>
      </c>
      <c r="R54" s="13">
        <v>3</v>
      </c>
      <c r="S54" s="13">
        <v>2</v>
      </c>
      <c r="T54" s="16">
        <v>0.67</v>
      </c>
      <c r="U54" s="13">
        <v>0</v>
      </c>
      <c r="V54" s="13">
        <v>20</v>
      </c>
      <c r="W54" s="13">
        <v>1</v>
      </c>
      <c r="X54" s="13">
        <v>5</v>
      </c>
      <c r="Y54" s="13">
        <v>2</v>
      </c>
      <c r="Z54" s="16">
        <v>0.4</v>
      </c>
      <c r="AA54" s="13">
        <v>0</v>
      </c>
      <c r="AB54" s="13">
        <v>14</v>
      </c>
      <c r="AC54" s="13">
        <v>2</v>
      </c>
      <c r="AD54" s="13">
        <v>5</v>
      </c>
      <c r="AE54" s="13">
        <v>4</v>
      </c>
      <c r="AF54" s="16">
        <v>0.8</v>
      </c>
      <c r="AG54" s="13">
        <v>0</v>
      </c>
      <c r="AH54" s="13">
        <v>11</v>
      </c>
      <c r="AI54" s="13">
        <v>0</v>
      </c>
      <c r="AJ54" s="13">
        <v>1</v>
      </c>
      <c r="AK54" s="13">
        <v>1</v>
      </c>
      <c r="AL54" s="16">
        <v>1</v>
      </c>
      <c r="AM54" s="13">
        <v>0</v>
      </c>
      <c r="AN54" s="13">
        <v>16</v>
      </c>
      <c r="AO54" s="13">
        <v>3</v>
      </c>
      <c r="AP54" s="13">
        <v>4</v>
      </c>
      <c r="AQ54" s="13">
        <v>2</v>
      </c>
      <c r="AR54" s="16">
        <v>0.5</v>
      </c>
      <c r="AS54" s="13">
        <v>6</v>
      </c>
      <c r="AT54" s="13">
        <v>13</v>
      </c>
      <c r="AU54" s="13">
        <v>0</v>
      </c>
      <c r="AV54" s="13">
        <v>8</v>
      </c>
      <c r="AW54" s="13">
        <v>5</v>
      </c>
      <c r="AX54" s="16">
        <v>0.63</v>
      </c>
      <c r="AY54" s="13">
        <v>1</v>
      </c>
      <c r="AZ54" s="13">
        <v>12</v>
      </c>
      <c r="BA54" s="13">
        <v>0</v>
      </c>
      <c r="BB54" s="13">
        <v>2</v>
      </c>
      <c r="BC54" s="13">
        <v>2</v>
      </c>
      <c r="BD54" s="16">
        <v>1</v>
      </c>
      <c r="BE54" s="13">
        <v>11</v>
      </c>
      <c r="BF54" s="13">
        <v>15</v>
      </c>
      <c r="BG54" s="13">
        <v>2</v>
      </c>
      <c r="BH54" s="13">
        <v>7</v>
      </c>
      <c r="BI54" s="13">
        <v>5</v>
      </c>
      <c r="BJ54" s="16">
        <v>0.71</v>
      </c>
      <c r="BK54" s="13">
        <v>12</v>
      </c>
      <c r="BL54" s="13">
        <v>23</v>
      </c>
      <c r="BM54" s="13">
        <v>3</v>
      </c>
      <c r="BN54" s="13">
        <v>6</v>
      </c>
      <c r="BO54" s="13">
        <v>5</v>
      </c>
      <c r="BP54" s="16">
        <v>0.83</v>
      </c>
      <c r="BQ54" s="13">
        <v>14</v>
      </c>
      <c r="BR54" s="13">
        <v>18</v>
      </c>
      <c r="BS54" s="13">
        <v>5</v>
      </c>
      <c r="BT54" s="13">
        <v>17</v>
      </c>
      <c r="BU54" s="13">
        <v>10</v>
      </c>
      <c r="BV54" s="16">
        <v>0.59</v>
      </c>
      <c r="BW54" t="s">
        <v>526</v>
      </c>
      <c r="BX54" t="s">
        <v>520</v>
      </c>
      <c r="BY54" t="str">
        <f t="shared" si="0"/>
        <v>Proportion of CLTI treated within 5 days England</v>
      </c>
      <c r="BZ54" s="4">
        <v>0.56897054534849811</v>
      </c>
      <c r="CA54" s="4">
        <v>0.52658569500674768</v>
      </c>
      <c r="CB54" s="4">
        <v>0.50914298303591099</v>
      </c>
    </row>
    <row r="55" spans="1:80" x14ac:dyDescent="0.25">
      <c r="A55" s="15" t="s">
        <v>138</v>
      </c>
      <c r="B55" s="15" t="s">
        <v>137</v>
      </c>
      <c r="C55" s="13">
        <v>26</v>
      </c>
      <c r="D55" s="13">
        <v>8</v>
      </c>
      <c r="E55" s="13">
        <v>4</v>
      </c>
      <c r="F55" s="13">
        <v>9</v>
      </c>
      <c r="G55" s="13">
        <v>5</v>
      </c>
      <c r="H55" s="16">
        <v>0.56000000000000005</v>
      </c>
      <c r="I55" s="13">
        <v>21</v>
      </c>
      <c r="J55" s="13">
        <v>4</v>
      </c>
      <c r="K55" s="13">
        <v>4</v>
      </c>
      <c r="L55" s="13">
        <v>6</v>
      </c>
      <c r="M55" s="13">
        <v>5</v>
      </c>
      <c r="N55" s="16">
        <v>0.83</v>
      </c>
      <c r="O55" s="13">
        <v>22</v>
      </c>
      <c r="P55" s="13">
        <v>3</v>
      </c>
      <c r="Q55" s="13">
        <v>2</v>
      </c>
      <c r="R55" s="13">
        <v>4</v>
      </c>
      <c r="S55" s="13">
        <v>2</v>
      </c>
      <c r="T55" s="16">
        <v>0.5</v>
      </c>
      <c r="U55" s="13">
        <v>14</v>
      </c>
      <c r="V55" s="13">
        <v>10</v>
      </c>
      <c r="W55" s="13">
        <v>4</v>
      </c>
      <c r="X55" s="13">
        <v>11</v>
      </c>
      <c r="Y55" s="13">
        <v>2</v>
      </c>
      <c r="Z55" s="16">
        <v>0.18</v>
      </c>
      <c r="AA55" s="13">
        <v>14</v>
      </c>
      <c r="AB55" s="13">
        <v>7</v>
      </c>
      <c r="AC55" s="13">
        <v>4</v>
      </c>
      <c r="AD55" s="13">
        <v>4</v>
      </c>
      <c r="AE55" s="13">
        <v>0</v>
      </c>
      <c r="AF55" s="16">
        <v>0</v>
      </c>
      <c r="AG55" s="13">
        <v>29</v>
      </c>
      <c r="AH55" s="13">
        <v>6</v>
      </c>
      <c r="AI55" s="13">
        <v>1</v>
      </c>
      <c r="AJ55" s="13">
        <v>6</v>
      </c>
      <c r="AK55" s="13">
        <v>3</v>
      </c>
      <c r="AL55" s="16">
        <v>0.5</v>
      </c>
      <c r="AM55" s="13">
        <v>22</v>
      </c>
      <c r="AN55" s="13">
        <v>12</v>
      </c>
      <c r="AO55" s="13">
        <v>6</v>
      </c>
      <c r="AP55" s="13">
        <v>9</v>
      </c>
      <c r="AQ55" s="13">
        <v>4</v>
      </c>
      <c r="AR55" s="16">
        <v>0.44</v>
      </c>
      <c r="AS55" s="13">
        <v>43</v>
      </c>
      <c r="AT55" s="13">
        <v>2</v>
      </c>
      <c r="AU55" s="13">
        <v>16</v>
      </c>
      <c r="AV55" s="13">
        <v>10</v>
      </c>
      <c r="AW55" s="13">
        <v>4</v>
      </c>
      <c r="AX55" s="16">
        <v>0.4</v>
      </c>
      <c r="AY55" s="13">
        <v>41</v>
      </c>
      <c r="AZ55" s="13">
        <v>4</v>
      </c>
      <c r="BA55" s="13">
        <v>11</v>
      </c>
      <c r="BB55" s="13">
        <v>9</v>
      </c>
      <c r="BC55" s="13">
        <v>5</v>
      </c>
      <c r="BD55" s="16">
        <v>0.56000000000000005</v>
      </c>
      <c r="BE55" s="13">
        <v>35</v>
      </c>
      <c r="BF55" s="13">
        <v>8</v>
      </c>
      <c r="BG55" s="13">
        <v>5</v>
      </c>
      <c r="BH55" s="13">
        <v>12</v>
      </c>
      <c r="BI55" s="13">
        <v>3</v>
      </c>
      <c r="BJ55" s="16">
        <v>0.25</v>
      </c>
      <c r="BK55" s="13">
        <v>52</v>
      </c>
      <c r="BL55" s="13">
        <v>11</v>
      </c>
      <c r="BM55" s="13">
        <v>11</v>
      </c>
      <c r="BN55" s="13">
        <v>6</v>
      </c>
      <c r="BO55" s="13">
        <v>2</v>
      </c>
      <c r="BP55" s="16">
        <v>0.33</v>
      </c>
      <c r="BQ55" s="13">
        <v>50</v>
      </c>
      <c r="BR55" s="13">
        <v>12</v>
      </c>
      <c r="BS55" s="13">
        <v>11</v>
      </c>
      <c r="BT55" s="13">
        <v>5</v>
      </c>
      <c r="BU55" s="13">
        <v>3</v>
      </c>
      <c r="BV55" s="16">
        <v>0.6</v>
      </c>
      <c r="BW55" t="s">
        <v>526</v>
      </c>
      <c r="BX55" t="s">
        <v>520</v>
      </c>
      <c r="BY55" t="str">
        <f t="shared" si="0"/>
        <v>Proportion of CLTI treated within 5 days England</v>
      </c>
      <c r="BZ55" s="4">
        <v>0.56897054534849811</v>
      </c>
      <c r="CA55" s="4">
        <v>0.52658569500674768</v>
      </c>
      <c r="CB55" s="4">
        <v>0.50914298303591099</v>
      </c>
    </row>
    <row r="56" spans="1:80" x14ac:dyDescent="0.25">
      <c r="A56" s="15" t="s">
        <v>41</v>
      </c>
      <c r="B56" s="15" t="s">
        <v>40</v>
      </c>
      <c r="C56" s="13">
        <v>33</v>
      </c>
      <c r="D56" s="13">
        <v>16</v>
      </c>
      <c r="E56" s="13">
        <v>11</v>
      </c>
      <c r="F56" s="13">
        <v>13</v>
      </c>
      <c r="G56" s="13">
        <v>7</v>
      </c>
      <c r="H56" s="16">
        <v>0.54</v>
      </c>
      <c r="I56" s="13">
        <v>46</v>
      </c>
      <c r="J56" s="13">
        <v>15</v>
      </c>
      <c r="K56" s="13">
        <v>10</v>
      </c>
      <c r="L56" s="13">
        <v>24</v>
      </c>
      <c r="M56" s="13">
        <v>15</v>
      </c>
      <c r="N56" s="16">
        <v>0.63</v>
      </c>
      <c r="O56" s="13">
        <v>53</v>
      </c>
      <c r="P56" s="13">
        <v>7</v>
      </c>
      <c r="Q56" s="13">
        <v>12</v>
      </c>
      <c r="R56" s="13">
        <v>28</v>
      </c>
      <c r="S56" s="13">
        <v>19</v>
      </c>
      <c r="T56" s="16">
        <v>0.68</v>
      </c>
      <c r="U56" s="13">
        <v>50</v>
      </c>
      <c r="V56" s="13">
        <v>6</v>
      </c>
      <c r="W56" s="13">
        <v>7</v>
      </c>
      <c r="X56" s="13">
        <v>24</v>
      </c>
      <c r="Y56" s="13">
        <v>17</v>
      </c>
      <c r="Z56" s="16">
        <v>0.71</v>
      </c>
      <c r="AA56" s="13">
        <v>34</v>
      </c>
      <c r="AB56" s="13">
        <v>6</v>
      </c>
      <c r="AC56" s="13">
        <v>13</v>
      </c>
      <c r="AD56" s="13">
        <v>12</v>
      </c>
      <c r="AE56" s="13">
        <v>9</v>
      </c>
      <c r="AF56" s="16">
        <v>0.75</v>
      </c>
      <c r="AG56" s="13">
        <v>26</v>
      </c>
      <c r="AH56" s="13">
        <v>4</v>
      </c>
      <c r="AI56" s="13">
        <v>17</v>
      </c>
      <c r="AJ56" s="13">
        <v>10</v>
      </c>
      <c r="AK56" s="13">
        <v>7</v>
      </c>
      <c r="AL56" s="16">
        <v>0.7</v>
      </c>
      <c r="AM56" s="13">
        <v>25</v>
      </c>
      <c r="AN56" s="13">
        <v>5</v>
      </c>
      <c r="AO56" s="13">
        <v>20</v>
      </c>
      <c r="AP56" s="13">
        <v>13</v>
      </c>
      <c r="AQ56" s="13">
        <v>10</v>
      </c>
      <c r="AR56" s="16">
        <v>0.77</v>
      </c>
      <c r="AS56" s="13">
        <v>37</v>
      </c>
      <c r="AT56" s="13">
        <v>3</v>
      </c>
      <c r="AU56" s="13">
        <v>11</v>
      </c>
      <c r="AV56" s="13">
        <v>11</v>
      </c>
      <c r="AW56" s="13">
        <v>6</v>
      </c>
      <c r="AX56" s="16">
        <v>0.55000000000000004</v>
      </c>
      <c r="AY56" s="13">
        <v>45</v>
      </c>
      <c r="AZ56" s="13">
        <v>4</v>
      </c>
      <c r="BA56" s="13">
        <v>16</v>
      </c>
      <c r="BB56" s="13">
        <v>14</v>
      </c>
      <c r="BC56" s="13">
        <v>5</v>
      </c>
      <c r="BD56" s="16">
        <v>0.36</v>
      </c>
      <c r="BE56" s="13">
        <v>30</v>
      </c>
      <c r="BF56" s="13">
        <v>9</v>
      </c>
      <c r="BG56" s="13">
        <v>17</v>
      </c>
      <c r="BH56" s="13">
        <v>16</v>
      </c>
      <c r="BI56" s="13">
        <v>7</v>
      </c>
      <c r="BJ56" s="16">
        <v>0.44</v>
      </c>
      <c r="BK56" s="13">
        <v>50</v>
      </c>
      <c r="BL56" s="13">
        <v>11</v>
      </c>
      <c r="BM56" s="13">
        <v>21</v>
      </c>
      <c r="BN56" s="13">
        <v>27</v>
      </c>
      <c r="BO56" s="13">
        <v>15</v>
      </c>
      <c r="BP56" s="16">
        <v>0.56000000000000005</v>
      </c>
      <c r="BQ56" s="13">
        <v>63</v>
      </c>
      <c r="BR56" s="13">
        <v>10</v>
      </c>
      <c r="BS56" s="13">
        <v>27</v>
      </c>
      <c r="BT56" s="13">
        <v>27</v>
      </c>
      <c r="BU56" s="13">
        <v>16</v>
      </c>
      <c r="BV56" s="16">
        <v>0.59</v>
      </c>
      <c r="BW56" t="s">
        <v>526</v>
      </c>
      <c r="BX56" t="s">
        <v>520</v>
      </c>
      <c r="BY56" t="str">
        <f t="shared" si="0"/>
        <v>Proportion of CLTI treated within 5 days England</v>
      </c>
      <c r="BZ56" s="4">
        <v>0.56897054534849811</v>
      </c>
      <c r="CA56" s="4">
        <v>0.52658569500674768</v>
      </c>
      <c r="CB56" s="4">
        <v>0.50914298303591099</v>
      </c>
    </row>
    <row r="57" spans="1:80" x14ac:dyDescent="0.25">
      <c r="A57" s="15" t="s">
        <v>134</v>
      </c>
      <c r="B57" s="15" t="s">
        <v>133</v>
      </c>
      <c r="C57" s="13">
        <v>11</v>
      </c>
      <c r="D57" s="13">
        <v>0</v>
      </c>
      <c r="E57" s="13">
        <v>0</v>
      </c>
      <c r="F57" s="13">
        <v>1</v>
      </c>
      <c r="G57" s="13">
        <v>0</v>
      </c>
      <c r="H57" s="16">
        <v>0</v>
      </c>
      <c r="I57" s="13">
        <v>11</v>
      </c>
      <c r="J57" s="13">
        <v>0</v>
      </c>
      <c r="K57" s="13">
        <v>0</v>
      </c>
      <c r="L57" s="13">
        <v>4</v>
      </c>
      <c r="M57" s="13">
        <v>1</v>
      </c>
      <c r="N57" s="16">
        <v>0.25</v>
      </c>
      <c r="O57" s="13">
        <v>13</v>
      </c>
      <c r="P57" s="13">
        <v>0</v>
      </c>
      <c r="Q57" s="13">
        <v>1</v>
      </c>
      <c r="R57" s="13">
        <v>4</v>
      </c>
      <c r="S57" s="13">
        <v>2</v>
      </c>
      <c r="T57" s="16">
        <v>0.5</v>
      </c>
      <c r="U57" s="13">
        <v>16</v>
      </c>
      <c r="V57" s="13">
        <v>0</v>
      </c>
      <c r="W57" s="13">
        <v>0</v>
      </c>
      <c r="X57" s="13">
        <v>2</v>
      </c>
      <c r="Y57" s="13">
        <v>1</v>
      </c>
      <c r="Z57" s="16">
        <v>0.5</v>
      </c>
      <c r="AA57" s="13">
        <v>22</v>
      </c>
      <c r="AB57" s="13">
        <v>0</v>
      </c>
      <c r="AC57" s="13">
        <v>0</v>
      </c>
      <c r="AD57" s="13">
        <v>2</v>
      </c>
      <c r="AE57" s="13">
        <v>2</v>
      </c>
      <c r="AF57" s="16">
        <v>1</v>
      </c>
      <c r="AG57" s="13">
        <v>17</v>
      </c>
      <c r="AH57" s="13">
        <v>0</v>
      </c>
      <c r="AI57" s="13">
        <v>0</v>
      </c>
      <c r="AJ57" s="13">
        <v>4</v>
      </c>
      <c r="AK57" s="13">
        <v>0</v>
      </c>
      <c r="AL57" s="16">
        <v>0</v>
      </c>
      <c r="AM57" s="13">
        <v>21</v>
      </c>
      <c r="AN57" s="13">
        <v>0</v>
      </c>
      <c r="AO57" s="13">
        <v>0</v>
      </c>
      <c r="AP57" s="13">
        <v>4</v>
      </c>
      <c r="AQ57" s="13">
        <v>1</v>
      </c>
      <c r="AR57" s="16">
        <v>0.25</v>
      </c>
      <c r="AS57" s="13">
        <v>9</v>
      </c>
      <c r="AT57" s="13">
        <v>0</v>
      </c>
      <c r="AU57" s="13">
        <v>0</v>
      </c>
      <c r="AV57" s="13">
        <v>3</v>
      </c>
      <c r="AW57" s="13">
        <v>1</v>
      </c>
      <c r="AX57" s="16">
        <v>0.33</v>
      </c>
      <c r="AY57" s="13">
        <v>16</v>
      </c>
      <c r="AZ57" s="13">
        <v>0</v>
      </c>
      <c r="BA57" s="13">
        <v>0</v>
      </c>
      <c r="BB57" s="13">
        <v>6</v>
      </c>
      <c r="BC57" s="13">
        <v>2</v>
      </c>
      <c r="BD57" s="16">
        <v>0.33</v>
      </c>
      <c r="BE57" s="13">
        <v>10</v>
      </c>
      <c r="BF57" s="13">
        <v>0</v>
      </c>
      <c r="BG57" s="13">
        <v>0</v>
      </c>
      <c r="BH57" s="13">
        <v>1</v>
      </c>
      <c r="BI57" s="13">
        <v>0</v>
      </c>
      <c r="BJ57" s="16">
        <v>0</v>
      </c>
      <c r="BK57" s="13">
        <v>10</v>
      </c>
      <c r="BL57" s="13">
        <v>0</v>
      </c>
      <c r="BM57" s="13">
        <v>0</v>
      </c>
      <c r="BN57" s="13">
        <v>4</v>
      </c>
      <c r="BO57" s="13">
        <v>0</v>
      </c>
      <c r="BP57" s="16">
        <v>0</v>
      </c>
      <c r="BQ57" s="13">
        <v>15</v>
      </c>
      <c r="BR57" s="13">
        <v>0</v>
      </c>
      <c r="BS57" s="13">
        <v>0</v>
      </c>
      <c r="BT57" s="13">
        <v>6</v>
      </c>
      <c r="BU57" s="13">
        <v>0</v>
      </c>
      <c r="BV57" s="16">
        <v>0</v>
      </c>
      <c r="BW57" t="s">
        <v>526</v>
      </c>
      <c r="BX57" t="s">
        <v>520</v>
      </c>
      <c r="BY57" t="str">
        <f t="shared" si="0"/>
        <v>Proportion of CLTI treated within 5 days England</v>
      </c>
      <c r="BZ57" s="4">
        <v>0.56897054534849811</v>
      </c>
      <c r="CA57" s="4">
        <v>0.52658569500674768</v>
      </c>
      <c r="CB57" s="4">
        <v>0.50914298303591099</v>
      </c>
    </row>
    <row r="58" spans="1:80" x14ac:dyDescent="0.25">
      <c r="A58" s="15" t="s">
        <v>119</v>
      </c>
      <c r="B58" s="15" t="s">
        <v>2</v>
      </c>
      <c r="C58" s="13">
        <v>23</v>
      </c>
      <c r="D58" s="13">
        <v>30</v>
      </c>
      <c r="E58" s="13">
        <v>1</v>
      </c>
      <c r="F58" s="13">
        <v>32</v>
      </c>
      <c r="G58" s="13">
        <v>17</v>
      </c>
      <c r="H58" s="16">
        <v>0.53</v>
      </c>
      <c r="I58" s="13">
        <v>16</v>
      </c>
      <c r="J58" s="13">
        <v>20</v>
      </c>
      <c r="K58" s="13">
        <v>1</v>
      </c>
      <c r="L58" s="13">
        <v>20</v>
      </c>
      <c r="M58" s="13">
        <v>11</v>
      </c>
      <c r="N58" s="16">
        <v>0.55000000000000004</v>
      </c>
      <c r="O58" s="13">
        <v>40</v>
      </c>
      <c r="P58" s="13">
        <v>29</v>
      </c>
      <c r="Q58" s="13">
        <v>1</v>
      </c>
      <c r="R58" s="13">
        <v>41</v>
      </c>
      <c r="S58" s="13">
        <v>11</v>
      </c>
      <c r="T58" s="16">
        <v>0.27</v>
      </c>
      <c r="U58" s="13">
        <v>47</v>
      </c>
      <c r="V58" s="13">
        <v>21</v>
      </c>
      <c r="W58" s="13">
        <v>3</v>
      </c>
      <c r="X58" s="13">
        <v>43</v>
      </c>
      <c r="Y58" s="13">
        <v>23</v>
      </c>
      <c r="Z58" s="16">
        <v>0.53</v>
      </c>
      <c r="AA58" s="13">
        <v>57</v>
      </c>
      <c r="AB58" s="13">
        <v>28</v>
      </c>
      <c r="AC58" s="13">
        <v>3</v>
      </c>
      <c r="AD58" s="13">
        <v>59</v>
      </c>
      <c r="AE58" s="13">
        <v>22</v>
      </c>
      <c r="AF58" s="16">
        <v>0.37</v>
      </c>
      <c r="AG58" s="13">
        <v>45</v>
      </c>
      <c r="AH58" s="13">
        <v>33</v>
      </c>
      <c r="AI58" s="13">
        <v>2</v>
      </c>
      <c r="AJ58" s="13">
        <v>45</v>
      </c>
      <c r="AK58" s="13">
        <v>17</v>
      </c>
      <c r="AL58" s="16">
        <v>0.38</v>
      </c>
      <c r="AM58" s="13">
        <v>36</v>
      </c>
      <c r="AN58" s="13">
        <v>32</v>
      </c>
      <c r="AO58" s="13">
        <v>6</v>
      </c>
      <c r="AP58" s="13">
        <v>52</v>
      </c>
      <c r="AQ58" s="13">
        <v>19</v>
      </c>
      <c r="AR58" s="16">
        <v>0.37</v>
      </c>
      <c r="AS58" s="13">
        <v>42</v>
      </c>
      <c r="AT58" s="13">
        <v>32</v>
      </c>
      <c r="AU58" s="13">
        <v>4</v>
      </c>
      <c r="AV58" s="13">
        <v>56</v>
      </c>
      <c r="AW58" s="13">
        <v>23</v>
      </c>
      <c r="AX58" s="16">
        <v>0.41</v>
      </c>
      <c r="AY58" s="13">
        <v>43</v>
      </c>
      <c r="AZ58" s="13">
        <v>41</v>
      </c>
      <c r="BA58" s="13">
        <v>3</v>
      </c>
      <c r="BB58" s="13">
        <v>60</v>
      </c>
      <c r="BC58" s="13">
        <v>31</v>
      </c>
      <c r="BD58" s="16">
        <v>0.52</v>
      </c>
      <c r="BE58" s="13">
        <v>40</v>
      </c>
      <c r="BF58" s="13">
        <v>28</v>
      </c>
      <c r="BG58" s="13">
        <v>5</v>
      </c>
      <c r="BH58" s="13">
        <v>51</v>
      </c>
      <c r="BI58" s="13">
        <v>24</v>
      </c>
      <c r="BJ58" s="16">
        <v>0.47</v>
      </c>
      <c r="BK58" s="13">
        <v>39</v>
      </c>
      <c r="BL58" s="13">
        <v>44</v>
      </c>
      <c r="BM58" s="13">
        <v>7</v>
      </c>
      <c r="BN58" s="13">
        <v>52</v>
      </c>
      <c r="BO58" s="13">
        <v>25</v>
      </c>
      <c r="BP58" s="16">
        <v>0.48</v>
      </c>
      <c r="BQ58" s="13">
        <v>40</v>
      </c>
      <c r="BR58" s="13">
        <v>33</v>
      </c>
      <c r="BS58" s="13">
        <v>5</v>
      </c>
      <c r="BT58" s="13">
        <v>56</v>
      </c>
      <c r="BU58" s="13">
        <v>25</v>
      </c>
      <c r="BV58" s="16">
        <v>0.45</v>
      </c>
      <c r="BW58" t="s">
        <v>527</v>
      </c>
      <c r="BX58" t="s">
        <v>520</v>
      </c>
      <c r="BY58" t="str">
        <f t="shared" si="0"/>
        <v>Proportion of CLTI treated within 5 days Wales</v>
      </c>
      <c r="BZ58" s="4">
        <v>0.44727272727272727</v>
      </c>
      <c r="CA58" s="4">
        <v>0.41212121212121211</v>
      </c>
      <c r="CB58" s="4">
        <v>0.43224299065420563</v>
      </c>
    </row>
    <row r="59" spans="1:80" x14ac:dyDescent="0.25">
      <c r="A59" s="15" t="s">
        <v>54</v>
      </c>
      <c r="B59" s="15" t="s">
        <v>53</v>
      </c>
      <c r="C59" s="13">
        <v>22</v>
      </c>
      <c r="D59" s="13">
        <v>35</v>
      </c>
      <c r="E59" s="13">
        <v>8</v>
      </c>
      <c r="F59" s="13">
        <v>28</v>
      </c>
      <c r="G59" s="13">
        <v>25</v>
      </c>
      <c r="H59" s="16">
        <v>0.89</v>
      </c>
      <c r="I59" s="13">
        <v>33</v>
      </c>
      <c r="J59" s="13">
        <v>28</v>
      </c>
      <c r="K59" s="13">
        <v>7</v>
      </c>
      <c r="L59" s="13">
        <v>37</v>
      </c>
      <c r="M59" s="13">
        <v>28</v>
      </c>
      <c r="N59" s="16">
        <v>0.76</v>
      </c>
      <c r="O59" s="13">
        <v>21</v>
      </c>
      <c r="P59" s="13">
        <v>27</v>
      </c>
      <c r="Q59" s="13">
        <v>5</v>
      </c>
      <c r="R59" s="13">
        <v>24</v>
      </c>
      <c r="S59" s="13">
        <v>20</v>
      </c>
      <c r="T59" s="16">
        <v>0.83</v>
      </c>
      <c r="U59" s="13">
        <v>31</v>
      </c>
      <c r="V59" s="13">
        <v>29</v>
      </c>
      <c r="W59" s="13">
        <v>6</v>
      </c>
      <c r="X59" s="13">
        <v>31</v>
      </c>
      <c r="Y59" s="13">
        <v>16</v>
      </c>
      <c r="Z59" s="16">
        <v>0.52</v>
      </c>
      <c r="AA59" s="13">
        <v>17</v>
      </c>
      <c r="AB59" s="13">
        <v>27</v>
      </c>
      <c r="AC59" s="13">
        <v>5</v>
      </c>
      <c r="AD59" s="13">
        <v>19</v>
      </c>
      <c r="AE59" s="13">
        <v>12</v>
      </c>
      <c r="AF59" s="16">
        <v>0.63</v>
      </c>
      <c r="AG59" s="13">
        <v>10</v>
      </c>
      <c r="AH59" s="13">
        <v>25</v>
      </c>
      <c r="AI59" s="13">
        <v>5</v>
      </c>
      <c r="AJ59" s="13">
        <v>17</v>
      </c>
      <c r="AK59" s="13">
        <v>10</v>
      </c>
      <c r="AL59" s="16">
        <v>0.59</v>
      </c>
      <c r="AM59" s="13">
        <v>29</v>
      </c>
      <c r="AN59" s="13">
        <v>27</v>
      </c>
      <c r="AO59" s="13">
        <v>8</v>
      </c>
      <c r="AP59" s="13">
        <v>26</v>
      </c>
      <c r="AQ59" s="13">
        <v>17</v>
      </c>
      <c r="AR59" s="16">
        <v>0.65</v>
      </c>
      <c r="AS59" s="13">
        <v>26</v>
      </c>
      <c r="AT59" s="13">
        <v>21</v>
      </c>
      <c r="AU59" s="13">
        <v>11</v>
      </c>
      <c r="AV59" s="13">
        <v>19</v>
      </c>
      <c r="AW59" s="13">
        <v>9</v>
      </c>
      <c r="AX59" s="16">
        <v>0.47</v>
      </c>
      <c r="AY59" s="13">
        <v>37</v>
      </c>
      <c r="AZ59" s="13">
        <v>26</v>
      </c>
      <c r="BA59" s="13">
        <v>4</v>
      </c>
      <c r="BB59" s="13">
        <v>26</v>
      </c>
      <c r="BC59" s="13">
        <v>16</v>
      </c>
      <c r="BD59" s="16">
        <v>0.62</v>
      </c>
      <c r="BE59" s="13">
        <v>44</v>
      </c>
      <c r="BF59" s="13">
        <v>28</v>
      </c>
      <c r="BG59" s="13">
        <v>9</v>
      </c>
      <c r="BH59" s="13">
        <v>25</v>
      </c>
      <c r="BI59" s="13">
        <v>17</v>
      </c>
      <c r="BJ59" s="16">
        <v>0.68</v>
      </c>
      <c r="BK59" s="13">
        <v>71</v>
      </c>
      <c r="BL59" s="13">
        <v>27</v>
      </c>
      <c r="BM59" s="13">
        <v>14</v>
      </c>
      <c r="BN59" s="13">
        <v>40</v>
      </c>
      <c r="BO59" s="13">
        <v>26</v>
      </c>
      <c r="BP59" s="16">
        <v>0.65</v>
      </c>
      <c r="BQ59" s="13">
        <v>40</v>
      </c>
      <c r="BR59" s="13">
        <v>14</v>
      </c>
      <c r="BS59" s="13">
        <v>18</v>
      </c>
      <c r="BT59" s="13">
        <v>24</v>
      </c>
      <c r="BU59" s="13">
        <v>17</v>
      </c>
      <c r="BV59" s="16">
        <v>0.71</v>
      </c>
      <c r="BW59" t="s">
        <v>526</v>
      </c>
      <c r="BX59" t="s">
        <v>520</v>
      </c>
      <c r="BY59" t="str">
        <f t="shared" si="0"/>
        <v>Proportion of CLTI treated within 5 days England</v>
      </c>
      <c r="BZ59" s="4">
        <v>0.56897054534849811</v>
      </c>
      <c r="CA59" s="4">
        <v>0.52658569500674768</v>
      </c>
      <c r="CB59" s="4">
        <v>0.50914298303591099</v>
      </c>
    </row>
    <row r="60" spans="1:80" x14ac:dyDescent="0.25">
      <c r="A60" s="15" t="s">
        <v>11</v>
      </c>
      <c r="B60" s="15" t="s">
        <v>10</v>
      </c>
      <c r="C60" s="13">
        <v>0</v>
      </c>
      <c r="D60" s="13">
        <v>2</v>
      </c>
      <c r="E60" s="13">
        <v>0</v>
      </c>
      <c r="F60" s="13">
        <v>0</v>
      </c>
      <c r="G60" s="13">
        <v>0</v>
      </c>
      <c r="H60" s="16" t="s">
        <v>122</v>
      </c>
      <c r="I60" s="13">
        <v>0</v>
      </c>
      <c r="J60" s="13">
        <v>0</v>
      </c>
      <c r="K60" s="13">
        <v>0</v>
      </c>
      <c r="L60" s="13">
        <v>0</v>
      </c>
      <c r="M60" s="13">
        <v>0</v>
      </c>
      <c r="N60" s="16" t="s">
        <v>122</v>
      </c>
      <c r="O60" s="13">
        <v>0</v>
      </c>
      <c r="P60" s="13">
        <v>0</v>
      </c>
      <c r="Q60" s="13">
        <v>1</v>
      </c>
      <c r="R60" s="13">
        <v>0</v>
      </c>
      <c r="S60" s="13">
        <v>0</v>
      </c>
      <c r="T60" s="16" t="s">
        <v>122</v>
      </c>
      <c r="U60" s="13">
        <v>0</v>
      </c>
      <c r="V60" s="13">
        <v>0</v>
      </c>
      <c r="W60" s="13">
        <v>0</v>
      </c>
      <c r="X60" s="13">
        <v>0</v>
      </c>
      <c r="Y60" s="13">
        <v>0</v>
      </c>
      <c r="Z60" s="16" t="s">
        <v>122</v>
      </c>
      <c r="AA60" s="13">
        <v>0</v>
      </c>
      <c r="AB60" s="13">
        <v>0</v>
      </c>
      <c r="AC60" s="13">
        <v>0</v>
      </c>
      <c r="AD60" s="13">
        <v>0</v>
      </c>
      <c r="AE60" s="13">
        <v>0</v>
      </c>
      <c r="AF60" s="16" t="s">
        <v>122</v>
      </c>
      <c r="AG60" s="13">
        <v>0</v>
      </c>
      <c r="AH60" s="13">
        <v>0</v>
      </c>
      <c r="AI60" s="13">
        <v>0</v>
      </c>
      <c r="AJ60" s="13">
        <v>0</v>
      </c>
      <c r="AK60" s="13">
        <v>0</v>
      </c>
      <c r="AL60" s="16" t="s">
        <v>122</v>
      </c>
      <c r="AM60" s="13">
        <v>0</v>
      </c>
      <c r="AN60" s="13">
        <v>0</v>
      </c>
      <c r="AO60" s="13">
        <v>0</v>
      </c>
      <c r="AP60" s="13">
        <v>0</v>
      </c>
      <c r="AQ60" s="13">
        <v>0</v>
      </c>
      <c r="AR60" s="16" t="s">
        <v>122</v>
      </c>
      <c r="AS60" s="13">
        <v>0</v>
      </c>
      <c r="AT60" s="13">
        <v>1</v>
      </c>
      <c r="AU60" s="13">
        <v>0</v>
      </c>
      <c r="AV60" s="13">
        <v>0</v>
      </c>
      <c r="AW60" s="13">
        <v>0</v>
      </c>
      <c r="AX60" s="16" t="s">
        <v>122</v>
      </c>
      <c r="AY60" s="13">
        <v>0</v>
      </c>
      <c r="AZ60" s="13">
        <v>1</v>
      </c>
      <c r="BA60" s="13">
        <v>1</v>
      </c>
      <c r="BB60" s="13">
        <v>0</v>
      </c>
      <c r="BC60" s="13">
        <v>0</v>
      </c>
      <c r="BD60" s="16" t="s">
        <v>122</v>
      </c>
      <c r="BE60" s="13">
        <v>0</v>
      </c>
      <c r="BF60" s="13">
        <v>0</v>
      </c>
      <c r="BG60" s="13">
        <v>1</v>
      </c>
      <c r="BH60" s="13">
        <v>0</v>
      </c>
      <c r="BI60" s="13">
        <v>0</v>
      </c>
      <c r="BJ60" s="16" t="s">
        <v>122</v>
      </c>
      <c r="BK60" s="13">
        <v>2</v>
      </c>
      <c r="BL60" s="13">
        <v>1</v>
      </c>
      <c r="BM60" s="13">
        <v>0</v>
      </c>
      <c r="BN60" s="13">
        <v>0</v>
      </c>
      <c r="BO60" s="13">
        <v>0</v>
      </c>
      <c r="BP60" s="16" t="s">
        <v>122</v>
      </c>
      <c r="BQ60" s="13">
        <v>1</v>
      </c>
      <c r="BR60" s="13">
        <v>0</v>
      </c>
      <c r="BS60" s="13">
        <v>0</v>
      </c>
      <c r="BT60" s="13">
        <v>0</v>
      </c>
      <c r="BU60" s="13">
        <v>0</v>
      </c>
      <c r="BV60" s="16" t="s">
        <v>122</v>
      </c>
      <c r="BW60" t="s">
        <v>526</v>
      </c>
      <c r="BX60" t="s">
        <v>520</v>
      </c>
      <c r="BY60" t="str">
        <f t="shared" si="0"/>
        <v>Proportion of CLTI treated within 5 days England</v>
      </c>
      <c r="BZ60" s="4">
        <v>0.56897054534849811</v>
      </c>
      <c r="CA60" s="4">
        <v>0.52658569500674768</v>
      </c>
      <c r="CB60" s="4">
        <v>0.50914298303591099</v>
      </c>
    </row>
    <row r="61" spans="1:80" x14ac:dyDescent="0.25">
      <c r="A61" s="15" t="s">
        <v>84</v>
      </c>
      <c r="B61" s="15" t="s">
        <v>83</v>
      </c>
      <c r="C61" s="13">
        <v>33</v>
      </c>
      <c r="D61" s="13">
        <v>9</v>
      </c>
      <c r="E61" s="13">
        <v>1</v>
      </c>
      <c r="F61" s="13">
        <v>10</v>
      </c>
      <c r="G61" s="13">
        <v>2</v>
      </c>
      <c r="H61" s="16">
        <v>0.2</v>
      </c>
      <c r="I61" s="13">
        <v>32</v>
      </c>
      <c r="J61" s="13">
        <v>6</v>
      </c>
      <c r="K61" s="13">
        <v>0</v>
      </c>
      <c r="L61" s="13">
        <v>8</v>
      </c>
      <c r="M61" s="13">
        <v>3</v>
      </c>
      <c r="N61" s="16">
        <v>0.38</v>
      </c>
      <c r="O61" s="13">
        <v>32</v>
      </c>
      <c r="P61" s="13">
        <v>9</v>
      </c>
      <c r="Q61" s="13">
        <v>0</v>
      </c>
      <c r="R61" s="13">
        <v>13</v>
      </c>
      <c r="S61" s="13">
        <v>3</v>
      </c>
      <c r="T61" s="16">
        <v>0.23</v>
      </c>
      <c r="U61" s="13">
        <v>39</v>
      </c>
      <c r="V61" s="13">
        <v>11</v>
      </c>
      <c r="W61" s="13">
        <v>1</v>
      </c>
      <c r="X61" s="13">
        <v>10</v>
      </c>
      <c r="Y61" s="13">
        <v>6</v>
      </c>
      <c r="Z61" s="16">
        <v>0.6</v>
      </c>
      <c r="AA61" s="13">
        <v>40</v>
      </c>
      <c r="AB61" s="13">
        <v>9</v>
      </c>
      <c r="AC61" s="13">
        <v>0</v>
      </c>
      <c r="AD61" s="13">
        <v>16</v>
      </c>
      <c r="AE61" s="13">
        <v>6</v>
      </c>
      <c r="AF61" s="16">
        <v>0.38</v>
      </c>
      <c r="AG61" s="13">
        <v>30</v>
      </c>
      <c r="AH61" s="13">
        <v>10</v>
      </c>
      <c r="AI61" s="13">
        <v>0</v>
      </c>
      <c r="AJ61" s="13">
        <v>12</v>
      </c>
      <c r="AK61" s="13">
        <v>3</v>
      </c>
      <c r="AL61" s="16">
        <v>0.25</v>
      </c>
      <c r="AM61" s="13">
        <v>32</v>
      </c>
      <c r="AN61" s="13">
        <v>13</v>
      </c>
      <c r="AO61" s="13">
        <v>1</v>
      </c>
      <c r="AP61" s="13">
        <v>18</v>
      </c>
      <c r="AQ61" s="13">
        <v>5</v>
      </c>
      <c r="AR61" s="16">
        <v>0.28000000000000003</v>
      </c>
      <c r="AS61" s="13">
        <v>42</v>
      </c>
      <c r="AT61" s="13">
        <v>9</v>
      </c>
      <c r="AU61" s="13">
        <v>0</v>
      </c>
      <c r="AV61" s="13">
        <v>17</v>
      </c>
      <c r="AW61" s="13">
        <v>3</v>
      </c>
      <c r="AX61" s="16">
        <v>0.18</v>
      </c>
      <c r="AY61" s="13">
        <v>30</v>
      </c>
      <c r="AZ61" s="13">
        <v>9</v>
      </c>
      <c r="BA61" s="13">
        <v>1</v>
      </c>
      <c r="BB61" s="13">
        <v>14</v>
      </c>
      <c r="BC61" s="13">
        <v>5</v>
      </c>
      <c r="BD61" s="16">
        <v>0.36</v>
      </c>
      <c r="BE61" s="13">
        <v>42</v>
      </c>
      <c r="BF61" s="13">
        <v>0</v>
      </c>
      <c r="BG61" s="13">
        <v>1</v>
      </c>
      <c r="BH61" s="13">
        <v>20</v>
      </c>
      <c r="BI61" s="13">
        <v>4</v>
      </c>
      <c r="BJ61" s="16">
        <v>0.2</v>
      </c>
      <c r="BK61" s="13">
        <v>42</v>
      </c>
      <c r="BL61" s="13">
        <v>13</v>
      </c>
      <c r="BM61" s="13">
        <v>0</v>
      </c>
      <c r="BN61" s="13">
        <v>19</v>
      </c>
      <c r="BO61" s="13">
        <v>6</v>
      </c>
      <c r="BP61" s="16">
        <v>0.32</v>
      </c>
      <c r="BQ61" s="13">
        <v>45</v>
      </c>
      <c r="BR61" s="13">
        <v>4</v>
      </c>
      <c r="BS61" s="13">
        <v>2</v>
      </c>
      <c r="BT61" s="13">
        <v>27</v>
      </c>
      <c r="BU61" s="13">
        <v>11</v>
      </c>
      <c r="BV61" s="16">
        <v>0.41</v>
      </c>
      <c r="BW61" t="s">
        <v>526</v>
      </c>
      <c r="BX61" t="s">
        <v>520</v>
      </c>
      <c r="BY61" t="str">
        <f t="shared" si="0"/>
        <v>Proportion of CLTI treated within 5 days England</v>
      </c>
      <c r="BZ61" s="4">
        <v>0.56897054534849811</v>
      </c>
      <c r="CA61" s="4">
        <v>0.52658569500674768</v>
      </c>
      <c r="CB61" s="4">
        <v>0.50914298303591099</v>
      </c>
    </row>
    <row r="62" spans="1:80" x14ac:dyDescent="0.25">
      <c r="A62" s="15" t="s">
        <v>67</v>
      </c>
      <c r="B62" s="15" t="s">
        <v>66</v>
      </c>
      <c r="C62" s="13">
        <v>7</v>
      </c>
      <c r="D62" s="13">
        <v>0</v>
      </c>
      <c r="E62" s="13">
        <v>0</v>
      </c>
      <c r="F62" s="13">
        <v>2</v>
      </c>
      <c r="G62" s="13">
        <v>0</v>
      </c>
      <c r="H62" s="16">
        <v>0</v>
      </c>
      <c r="I62" s="13">
        <v>10</v>
      </c>
      <c r="J62" s="13">
        <v>0</v>
      </c>
      <c r="K62" s="13">
        <v>0</v>
      </c>
      <c r="L62" s="13">
        <v>3</v>
      </c>
      <c r="M62" s="13">
        <v>1</v>
      </c>
      <c r="N62" s="16">
        <v>0.33</v>
      </c>
      <c r="O62" s="13">
        <v>3</v>
      </c>
      <c r="P62" s="13">
        <v>0</v>
      </c>
      <c r="Q62" s="13">
        <v>0</v>
      </c>
      <c r="R62" s="13">
        <v>0</v>
      </c>
      <c r="S62" s="13">
        <v>0</v>
      </c>
      <c r="T62" s="16" t="s">
        <v>122</v>
      </c>
      <c r="U62" s="13">
        <v>10</v>
      </c>
      <c r="V62" s="13">
        <v>0</v>
      </c>
      <c r="W62" s="13">
        <v>0</v>
      </c>
      <c r="X62" s="13">
        <v>2</v>
      </c>
      <c r="Y62" s="13">
        <v>0</v>
      </c>
      <c r="Z62" s="16">
        <v>0</v>
      </c>
      <c r="AA62" s="13">
        <v>2</v>
      </c>
      <c r="AB62" s="13">
        <v>0</v>
      </c>
      <c r="AC62" s="13">
        <v>0</v>
      </c>
      <c r="AD62" s="13">
        <v>1</v>
      </c>
      <c r="AE62" s="13">
        <v>0</v>
      </c>
      <c r="AF62" s="16">
        <v>0</v>
      </c>
      <c r="AG62" s="13">
        <v>4</v>
      </c>
      <c r="AH62" s="13">
        <v>0</v>
      </c>
      <c r="AI62" s="13">
        <v>0</v>
      </c>
      <c r="AJ62" s="13">
        <v>2</v>
      </c>
      <c r="AK62" s="13">
        <v>1</v>
      </c>
      <c r="AL62" s="16">
        <v>0.5</v>
      </c>
      <c r="AM62" s="13">
        <v>0</v>
      </c>
      <c r="AN62" s="13">
        <v>0</v>
      </c>
      <c r="AO62" s="13">
        <v>0</v>
      </c>
      <c r="AP62" s="13">
        <v>0</v>
      </c>
      <c r="AQ62" s="13">
        <v>0</v>
      </c>
      <c r="AR62" s="16" t="s">
        <v>122</v>
      </c>
      <c r="AS62" s="13">
        <v>0</v>
      </c>
      <c r="AT62" s="13">
        <v>0</v>
      </c>
      <c r="AU62" s="13">
        <v>0</v>
      </c>
      <c r="AV62" s="13">
        <v>0</v>
      </c>
      <c r="AW62" s="13">
        <v>0</v>
      </c>
      <c r="AX62" s="16" t="s">
        <v>122</v>
      </c>
      <c r="AY62" s="13">
        <v>0</v>
      </c>
      <c r="AZ62" s="13">
        <v>0</v>
      </c>
      <c r="BA62" s="13">
        <v>0</v>
      </c>
      <c r="BB62" s="13">
        <v>0</v>
      </c>
      <c r="BC62" s="13">
        <v>0</v>
      </c>
      <c r="BD62" s="16" t="s">
        <v>122</v>
      </c>
      <c r="BE62" s="13">
        <v>0</v>
      </c>
      <c r="BF62" s="13">
        <v>0</v>
      </c>
      <c r="BG62" s="13">
        <v>0</v>
      </c>
      <c r="BH62" s="13">
        <v>0</v>
      </c>
      <c r="BI62" s="13">
        <v>0</v>
      </c>
      <c r="BJ62" s="16" t="s">
        <v>122</v>
      </c>
      <c r="BK62" s="13">
        <v>0</v>
      </c>
      <c r="BL62" s="13">
        <v>0</v>
      </c>
      <c r="BM62" s="13">
        <v>0</v>
      </c>
      <c r="BN62" s="13">
        <v>0</v>
      </c>
      <c r="BO62" s="13">
        <v>0</v>
      </c>
      <c r="BP62" s="16" t="s">
        <v>122</v>
      </c>
      <c r="BQ62" s="13">
        <v>2</v>
      </c>
      <c r="BR62" s="13">
        <v>0</v>
      </c>
      <c r="BS62" s="13">
        <v>0</v>
      </c>
      <c r="BT62" s="13">
        <v>1</v>
      </c>
      <c r="BU62" s="13">
        <v>1</v>
      </c>
      <c r="BV62" s="16">
        <v>1</v>
      </c>
      <c r="BW62" t="s">
        <v>526</v>
      </c>
      <c r="BX62" t="s">
        <v>520</v>
      </c>
      <c r="BY62" t="str">
        <f t="shared" si="0"/>
        <v>Proportion of CLTI treated within 5 days England</v>
      </c>
      <c r="BZ62" s="4">
        <v>0.56897054534849811</v>
      </c>
      <c r="CA62" s="4">
        <v>0.52658569500674768</v>
      </c>
      <c r="CB62" s="4">
        <v>0.50914298303591099</v>
      </c>
    </row>
    <row r="63" spans="1:80" x14ac:dyDescent="0.25">
      <c r="A63" s="15" t="s">
        <v>43</v>
      </c>
      <c r="B63" s="15" t="s">
        <v>42</v>
      </c>
      <c r="C63" s="13">
        <v>52</v>
      </c>
      <c r="D63" s="13">
        <v>30</v>
      </c>
      <c r="E63" s="13">
        <v>8</v>
      </c>
      <c r="F63" s="13">
        <v>26</v>
      </c>
      <c r="G63" s="13">
        <v>13</v>
      </c>
      <c r="H63" s="16">
        <v>0.5</v>
      </c>
      <c r="I63" s="13">
        <v>49</v>
      </c>
      <c r="J63" s="13">
        <v>31</v>
      </c>
      <c r="K63" s="13">
        <v>4</v>
      </c>
      <c r="L63" s="13">
        <v>21</v>
      </c>
      <c r="M63" s="13">
        <v>16</v>
      </c>
      <c r="N63" s="16">
        <v>0.76</v>
      </c>
      <c r="O63" s="13">
        <v>59</v>
      </c>
      <c r="P63" s="13">
        <v>20</v>
      </c>
      <c r="Q63" s="13">
        <v>5</v>
      </c>
      <c r="R63" s="13">
        <v>30</v>
      </c>
      <c r="S63" s="13">
        <v>17</v>
      </c>
      <c r="T63" s="16">
        <v>0.56999999999999995</v>
      </c>
      <c r="U63" s="13">
        <v>65</v>
      </c>
      <c r="V63" s="13">
        <v>38</v>
      </c>
      <c r="W63" s="13">
        <v>6</v>
      </c>
      <c r="X63" s="13">
        <v>37</v>
      </c>
      <c r="Y63" s="13">
        <v>12</v>
      </c>
      <c r="Z63" s="16">
        <v>0.32</v>
      </c>
      <c r="AA63" s="13">
        <v>39</v>
      </c>
      <c r="AB63" s="13">
        <v>28</v>
      </c>
      <c r="AC63" s="13">
        <v>9</v>
      </c>
      <c r="AD63" s="13">
        <v>13</v>
      </c>
      <c r="AE63" s="13">
        <v>7</v>
      </c>
      <c r="AF63" s="16">
        <v>0.54</v>
      </c>
      <c r="AG63" s="13">
        <v>43</v>
      </c>
      <c r="AH63" s="13">
        <v>29</v>
      </c>
      <c r="AI63" s="13">
        <v>6</v>
      </c>
      <c r="AJ63" s="13">
        <v>22</v>
      </c>
      <c r="AK63" s="13">
        <v>12</v>
      </c>
      <c r="AL63" s="16">
        <v>0.55000000000000004</v>
      </c>
      <c r="AM63" s="13">
        <v>58</v>
      </c>
      <c r="AN63" s="13">
        <v>32</v>
      </c>
      <c r="AO63" s="13">
        <v>7</v>
      </c>
      <c r="AP63" s="13">
        <v>31</v>
      </c>
      <c r="AQ63" s="13">
        <v>16</v>
      </c>
      <c r="AR63" s="16">
        <v>0.52</v>
      </c>
      <c r="AS63" s="13">
        <v>63</v>
      </c>
      <c r="AT63" s="13">
        <v>34</v>
      </c>
      <c r="AU63" s="13">
        <v>13</v>
      </c>
      <c r="AV63" s="13">
        <v>43</v>
      </c>
      <c r="AW63" s="13">
        <v>14</v>
      </c>
      <c r="AX63" s="16">
        <v>0.33</v>
      </c>
      <c r="AY63" s="13">
        <v>45</v>
      </c>
      <c r="AZ63" s="13">
        <v>31</v>
      </c>
      <c r="BA63" s="13">
        <v>7</v>
      </c>
      <c r="BB63" s="13">
        <v>20</v>
      </c>
      <c r="BC63" s="13">
        <v>8</v>
      </c>
      <c r="BD63" s="16">
        <v>0.4</v>
      </c>
      <c r="BE63" s="13">
        <v>51</v>
      </c>
      <c r="BF63" s="13">
        <v>34</v>
      </c>
      <c r="BG63" s="13">
        <v>8</v>
      </c>
      <c r="BH63" s="13">
        <v>32</v>
      </c>
      <c r="BI63" s="13">
        <v>22</v>
      </c>
      <c r="BJ63" s="16">
        <v>0.69</v>
      </c>
      <c r="BK63" s="13">
        <v>74</v>
      </c>
      <c r="BL63" s="13">
        <v>34</v>
      </c>
      <c r="BM63" s="13">
        <v>4</v>
      </c>
      <c r="BN63" s="13">
        <v>47</v>
      </c>
      <c r="BO63" s="13">
        <v>23</v>
      </c>
      <c r="BP63" s="16">
        <v>0.49</v>
      </c>
      <c r="BQ63" s="13">
        <v>73</v>
      </c>
      <c r="BR63" s="13">
        <v>30</v>
      </c>
      <c r="BS63" s="13">
        <v>9</v>
      </c>
      <c r="BT63" s="13">
        <v>47</v>
      </c>
      <c r="BU63" s="13">
        <v>14</v>
      </c>
      <c r="BV63" s="16">
        <v>0.3</v>
      </c>
      <c r="BW63" t="s">
        <v>526</v>
      </c>
      <c r="BX63" t="s">
        <v>520</v>
      </c>
      <c r="BY63" t="str">
        <f t="shared" si="0"/>
        <v>Proportion of CLTI treated within 5 days England</v>
      </c>
      <c r="BZ63" s="4">
        <v>0.56897054534849811</v>
      </c>
      <c r="CA63" s="4">
        <v>0.52658569500674768</v>
      </c>
      <c r="CB63" s="4">
        <v>0.50914298303591099</v>
      </c>
    </row>
    <row r="64" spans="1:80" x14ac:dyDescent="0.25">
      <c r="A64" s="15" t="s">
        <v>33</v>
      </c>
      <c r="B64" s="15" t="s">
        <v>32</v>
      </c>
      <c r="C64" s="13">
        <v>22</v>
      </c>
      <c r="D64" s="13">
        <v>28</v>
      </c>
      <c r="E64" s="13">
        <v>11</v>
      </c>
      <c r="F64" s="13">
        <v>8</v>
      </c>
      <c r="G64" s="13">
        <v>5</v>
      </c>
      <c r="H64" s="16">
        <v>0.63</v>
      </c>
      <c r="I64" s="13">
        <v>24</v>
      </c>
      <c r="J64" s="13">
        <v>29</v>
      </c>
      <c r="K64" s="13">
        <v>11</v>
      </c>
      <c r="L64" s="13">
        <v>12</v>
      </c>
      <c r="M64" s="13">
        <v>8</v>
      </c>
      <c r="N64" s="16">
        <v>0.67</v>
      </c>
      <c r="O64" s="13">
        <v>11</v>
      </c>
      <c r="P64" s="13">
        <v>32</v>
      </c>
      <c r="Q64" s="13">
        <v>12</v>
      </c>
      <c r="R64" s="13">
        <v>7</v>
      </c>
      <c r="S64" s="13">
        <v>2</v>
      </c>
      <c r="T64" s="16">
        <v>0.28999999999999998</v>
      </c>
      <c r="U64" s="13">
        <v>3</v>
      </c>
      <c r="V64" s="13">
        <v>29</v>
      </c>
      <c r="W64" s="13">
        <v>14</v>
      </c>
      <c r="X64" s="13">
        <v>5</v>
      </c>
      <c r="Y64" s="13">
        <v>2</v>
      </c>
      <c r="Z64" s="16">
        <v>0.4</v>
      </c>
      <c r="AA64" s="13">
        <v>0</v>
      </c>
      <c r="AB64" s="13">
        <v>26</v>
      </c>
      <c r="AC64" s="13">
        <v>15</v>
      </c>
      <c r="AD64" s="13">
        <v>9</v>
      </c>
      <c r="AE64" s="13">
        <v>1</v>
      </c>
      <c r="AF64" s="16">
        <v>0.11</v>
      </c>
      <c r="AG64" s="13">
        <v>0</v>
      </c>
      <c r="AH64" s="13">
        <v>24</v>
      </c>
      <c r="AI64" s="13">
        <v>23</v>
      </c>
      <c r="AJ64" s="13">
        <v>12</v>
      </c>
      <c r="AK64" s="13">
        <v>6</v>
      </c>
      <c r="AL64" s="16">
        <v>0.5</v>
      </c>
      <c r="AM64" s="13">
        <v>1</v>
      </c>
      <c r="AN64" s="13">
        <v>32</v>
      </c>
      <c r="AO64" s="13">
        <v>12</v>
      </c>
      <c r="AP64" s="13">
        <v>8</v>
      </c>
      <c r="AQ64" s="13">
        <v>6</v>
      </c>
      <c r="AR64" s="16">
        <v>0.75</v>
      </c>
      <c r="AS64" s="13">
        <v>5</v>
      </c>
      <c r="AT64" s="13">
        <v>26</v>
      </c>
      <c r="AU64" s="13">
        <v>13</v>
      </c>
      <c r="AV64" s="13">
        <v>17</v>
      </c>
      <c r="AW64" s="13">
        <v>10</v>
      </c>
      <c r="AX64" s="16">
        <v>0.59</v>
      </c>
      <c r="AY64" s="13">
        <v>4</v>
      </c>
      <c r="AZ64" s="13">
        <v>37</v>
      </c>
      <c r="BA64" s="13">
        <v>17</v>
      </c>
      <c r="BB64" s="13">
        <v>13</v>
      </c>
      <c r="BC64" s="13">
        <v>10</v>
      </c>
      <c r="BD64" s="16">
        <v>0.77</v>
      </c>
      <c r="BE64" s="13">
        <v>21</v>
      </c>
      <c r="BF64" s="13">
        <v>33</v>
      </c>
      <c r="BG64" s="13">
        <v>24</v>
      </c>
      <c r="BH64" s="13">
        <v>34</v>
      </c>
      <c r="BI64" s="13">
        <v>18</v>
      </c>
      <c r="BJ64" s="16">
        <v>0.53</v>
      </c>
      <c r="BK64" s="13">
        <v>1</v>
      </c>
      <c r="BL64" s="13">
        <v>30</v>
      </c>
      <c r="BM64" s="13">
        <v>24</v>
      </c>
      <c r="BN64" s="13">
        <v>36</v>
      </c>
      <c r="BO64" s="13">
        <v>14</v>
      </c>
      <c r="BP64" s="16">
        <v>0.39</v>
      </c>
      <c r="BQ64" s="13">
        <v>0</v>
      </c>
      <c r="BR64" s="13">
        <v>51</v>
      </c>
      <c r="BS64" s="13">
        <v>22</v>
      </c>
      <c r="BT64" s="13">
        <v>45</v>
      </c>
      <c r="BU64" s="13">
        <v>23</v>
      </c>
      <c r="BV64" s="16">
        <v>0.51</v>
      </c>
      <c r="BW64" t="s">
        <v>526</v>
      </c>
      <c r="BX64" t="s">
        <v>520</v>
      </c>
      <c r="BY64" t="str">
        <f t="shared" si="0"/>
        <v>Proportion of CLTI treated within 5 days England</v>
      </c>
      <c r="BZ64" s="4">
        <v>0.56897054534849811</v>
      </c>
      <c r="CA64" s="4">
        <v>0.52658569500674768</v>
      </c>
      <c r="CB64" s="4">
        <v>0.50914298303591099</v>
      </c>
    </row>
    <row r="65" spans="1:80" x14ac:dyDescent="0.25">
      <c r="A65" s="15" t="s">
        <v>148</v>
      </c>
      <c r="B65" s="15" t="s">
        <v>147</v>
      </c>
      <c r="C65" s="13">
        <v>0</v>
      </c>
      <c r="D65" s="13">
        <v>28</v>
      </c>
      <c r="E65" s="13">
        <v>0</v>
      </c>
      <c r="F65" s="13">
        <v>12</v>
      </c>
      <c r="G65" s="13">
        <v>6</v>
      </c>
      <c r="H65" s="16">
        <v>0.5</v>
      </c>
      <c r="I65" s="13">
        <v>0</v>
      </c>
      <c r="J65" s="13">
        <v>22</v>
      </c>
      <c r="K65" s="13">
        <v>0</v>
      </c>
      <c r="L65" s="13">
        <v>7</v>
      </c>
      <c r="M65" s="13">
        <v>3</v>
      </c>
      <c r="N65" s="16">
        <v>0.43</v>
      </c>
      <c r="O65" s="13">
        <v>0</v>
      </c>
      <c r="P65" s="13">
        <v>34</v>
      </c>
      <c r="Q65" s="13">
        <v>0</v>
      </c>
      <c r="R65" s="13">
        <v>14</v>
      </c>
      <c r="S65" s="13">
        <v>9</v>
      </c>
      <c r="T65" s="16">
        <v>0.64</v>
      </c>
      <c r="U65" s="13">
        <v>0</v>
      </c>
      <c r="V65" s="13">
        <v>22</v>
      </c>
      <c r="W65" s="13">
        <v>0</v>
      </c>
      <c r="X65" s="13">
        <v>13</v>
      </c>
      <c r="Y65" s="13">
        <v>7</v>
      </c>
      <c r="Z65" s="16">
        <v>0.54</v>
      </c>
      <c r="AA65" s="13">
        <v>0</v>
      </c>
      <c r="AB65" s="13">
        <v>19</v>
      </c>
      <c r="AC65" s="13">
        <v>0</v>
      </c>
      <c r="AD65" s="13">
        <v>10</v>
      </c>
      <c r="AE65" s="13">
        <v>3</v>
      </c>
      <c r="AF65" s="16">
        <v>0.3</v>
      </c>
      <c r="AG65" s="13">
        <v>0</v>
      </c>
      <c r="AH65" s="13">
        <v>11</v>
      </c>
      <c r="AI65" s="13">
        <v>0</v>
      </c>
      <c r="AJ65" s="13">
        <v>9</v>
      </c>
      <c r="AK65" s="13">
        <v>5</v>
      </c>
      <c r="AL65" s="16">
        <v>0.56000000000000005</v>
      </c>
      <c r="AM65" s="13">
        <v>9</v>
      </c>
      <c r="AN65" s="13">
        <v>11</v>
      </c>
      <c r="AO65" s="13">
        <v>0</v>
      </c>
      <c r="AP65" s="13">
        <v>6</v>
      </c>
      <c r="AQ65" s="13">
        <v>2</v>
      </c>
      <c r="AR65" s="16">
        <v>0.33</v>
      </c>
      <c r="AS65" s="13">
        <v>23</v>
      </c>
      <c r="AT65" s="13">
        <v>16</v>
      </c>
      <c r="AU65" s="13">
        <v>0</v>
      </c>
      <c r="AV65" s="13">
        <v>18</v>
      </c>
      <c r="AW65" s="13">
        <v>4</v>
      </c>
      <c r="AX65" s="16">
        <v>0.22</v>
      </c>
      <c r="AY65" s="13">
        <v>55</v>
      </c>
      <c r="AZ65" s="13">
        <v>16</v>
      </c>
      <c r="BA65" s="13">
        <v>3</v>
      </c>
      <c r="BB65" s="13">
        <v>36</v>
      </c>
      <c r="BC65" s="13">
        <v>14</v>
      </c>
      <c r="BD65" s="16">
        <v>0.39</v>
      </c>
      <c r="BE65" s="13">
        <v>52</v>
      </c>
      <c r="BF65" s="13">
        <v>12</v>
      </c>
      <c r="BG65" s="13">
        <v>4</v>
      </c>
      <c r="BH65" s="13">
        <v>14</v>
      </c>
      <c r="BI65" s="13">
        <v>5</v>
      </c>
      <c r="BJ65" s="16">
        <v>0.36</v>
      </c>
      <c r="BK65" s="13">
        <v>79</v>
      </c>
      <c r="BL65" s="13">
        <v>13</v>
      </c>
      <c r="BM65" s="13">
        <v>1</v>
      </c>
      <c r="BN65" s="13">
        <v>32</v>
      </c>
      <c r="BO65" s="13">
        <v>13</v>
      </c>
      <c r="BP65" s="16">
        <v>0.41</v>
      </c>
      <c r="BQ65" s="13">
        <v>65</v>
      </c>
      <c r="BR65" s="13">
        <v>18</v>
      </c>
      <c r="BS65" s="13">
        <v>1</v>
      </c>
      <c r="BT65" s="13">
        <v>29</v>
      </c>
      <c r="BU65" s="13">
        <v>11</v>
      </c>
      <c r="BV65" s="16">
        <v>0.38</v>
      </c>
      <c r="BW65" t="s">
        <v>526</v>
      </c>
      <c r="BX65" t="s">
        <v>520</v>
      </c>
      <c r="BY65" t="str">
        <f t="shared" si="0"/>
        <v>Proportion of CLTI treated within 5 days England</v>
      </c>
      <c r="BZ65" s="4">
        <v>0.56897054534849811</v>
      </c>
      <c r="CA65" s="4">
        <v>0.52658569500674768</v>
      </c>
      <c r="CB65" s="4">
        <v>0.50914298303591099</v>
      </c>
    </row>
    <row r="66" spans="1:80" x14ac:dyDescent="0.25">
      <c r="A66" s="15" t="s">
        <v>65</v>
      </c>
      <c r="B66" s="15" t="s">
        <v>64</v>
      </c>
      <c r="C66" s="13">
        <v>73</v>
      </c>
      <c r="D66" s="13">
        <v>26</v>
      </c>
      <c r="E66" s="13">
        <v>12</v>
      </c>
      <c r="F66" s="13">
        <v>48</v>
      </c>
      <c r="G66" s="13">
        <v>35</v>
      </c>
      <c r="H66" s="16">
        <v>0.73</v>
      </c>
      <c r="I66" s="13">
        <v>66</v>
      </c>
      <c r="J66" s="13">
        <v>22</v>
      </c>
      <c r="K66" s="13">
        <v>20</v>
      </c>
      <c r="L66" s="13">
        <v>40</v>
      </c>
      <c r="M66" s="13">
        <v>24</v>
      </c>
      <c r="N66" s="16">
        <v>0.6</v>
      </c>
      <c r="O66" s="13">
        <v>82</v>
      </c>
      <c r="P66" s="13">
        <v>16</v>
      </c>
      <c r="Q66" s="13">
        <v>11</v>
      </c>
      <c r="R66" s="13">
        <v>55</v>
      </c>
      <c r="S66" s="13">
        <v>47</v>
      </c>
      <c r="T66" s="16">
        <v>0.85</v>
      </c>
      <c r="U66" s="13">
        <v>100</v>
      </c>
      <c r="V66" s="13">
        <v>28</v>
      </c>
      <c r="W66" s="13">
        <v>14</v>
      </c>
      <c r="X66" s="13">
        <v>84</v>
      </c>
      <c r="Y66" s="13">
        <v>50</v>
      </c>
      <c r="Z66" s="16">
        <v>0.6</v>
      </c>
      <c r="AA66" s="13">
        <v>68</v>
      </c>
      <c r="AB66" s="13">
        <v>27</v>
      </c>
      <c r="AC66" s="13">
        <v>14</v>
      </c>
      <c r="AD66" s="13">
        <v>68</v>
      </c>
      <c r="AE66" s="13">
        <v>39</v>
      </c>
      <c r="AF66" s="16">
        <v>0.56999999999999995</v>
      </c>
      <c r="AG66" s="13">
        <v>68</v>
      </c>
      <c r="AH66" s="13">
        <v>29</v>
      </c>
      <c r="AI66" s="13">
        <v>15</v>
      </c>
      <c r="AJ66" s="13">
        <v>68</v>
      </c>
      <c r="AK66" s="13">
        <v>49</v>
      </c>
      <c r="AL66" s="16">
        <v>0.72</v>
      </c>
      <c r="AM66" s="13">
        <v>59</v>
      </c>
      <c r="AN66" s="13">
        <v>26</v>
      </c>
      <c r="AO66" s="13">
        <v>16</v>
      </c>
      <c r="AP66" s="13">
        <v>54</v>
      </c>
      <c r="AQ66" s="13">
        <v>38</v>
      </c>
      <c r="AR66" s="16">
        <v>0.7</v>
      </c>
      <c r="AS66" s="13">
        <v>65</v>
      </c>
      <c r="AT66" s="13">
        <v>38</v>
      </c>
      <c r="AU66" s="13">
        <v>18</v>
      </c>
      <c r="AV66" s="13">
        <v>60</v>
      </c>
      <c r="AW66" s="13">
        <v>36</v>
      </c>
      <c r="AX66" s="16">
        <v>0.6</v>
      </c>
      <c r="AY66" s="13">
        <v>38</v>
      </c>
      <c r="AZ66" s="13">
        <v>33</v>
      </c>
      <c r="BA66" s="13">
        <v>13</v>
      </c>
      <c r="BB66" s="13">
        <v>50</v>
      </c>
      <c r="BC66" s="13">
        <v>32</v>
      </c>
      <c r="BD66" s="16">
        <v>0.64</v>
      </c>
      <c r="BE66" s="13">
        <v>65</v>
      </c>
      <c r="BF66" s="13">
        <v>29</v>
      </c>
      <c r="BG66" s="13">
        <v>17</v>
      </c>
      <c r="BH66" s="13">
        <v>46</v>
      </c>
      <c r="BI66" s="13">
        <v>27</v>
      </c>
      <c r="BJ66" s="16">
        <v>0.59</v>
      </c>
      <c r="BK66" s="13">
        <v>48</v>
      </c>
      <c r="BL66" s="13">
        <v>26</v>
      </c>
      <c r="BM66" s="13">
        <v>14</v>
      </c>
      <c r="BN66" s="13">
        <v>47</v>
      </c>
      <c r="BO66" s="13">
        <v>39</v>
      </c>
      <c r="BP66" s="16">
        <v>0.83</v>
      </c>
      <c r="BQ66" s="13">
        <v>50</v>
      </c>
      <c r="BR66" s="13">
        <v>25</v>
      </c>
      <c r="BS66" s="13">
        <v>11</v>
      </c>
      <c r="BT66" s="13">
        <v>33</v>
      </c>
      <c r="BU66" s="13">
        <v>25</v>
      </c>
      <c r="BV66" s="16">
        <v>0.76</v>
      </c>
      <c r="BW66" t="s">
        <v>526</v>
      </c>
      <c r="BX66" t="s">
        <v>520</v>
      </c>
      <c r="BY66" t="str">
        <f t="shared" si="0"/>
        <v>Proportion of CLTI treated within 5 days England</v>
      </c>
      <c r="BZ66" s="4">
        <v>0.56897054534849811</v>
      </c>
      <c r="CA66" s="4">
        <v>0.52658569500674768</v>
      </c>
      <c r="CB66" s="4">
        <v>0.50914298303591099</v>
      </c>
    </row>
    <row r="67" spans="1:80" x14ac:dyDescent="0.25">
      <c r="A67" s="15" t="s">
        <v>50</v>
      </c>
      <c r="B67" s="15" t="s">
        <v>49</v>
      </c>
      <c r="C67" s="13">
        <v>12</v>
      </c>
      <c r="D67" s="13">
        <v>32</v>
      </c>
      <c r="E67" s="13">
        <v>0</v>
      </c>
      <c r="F67" s="13">
        <v>15</v>
      </c>
      <c r="G67" s="13">
        <v>7</v>
      </c>
      <c r="H67" s="16">
        <v>0.47</v>
      </c>
      <c r="I67" s="13">
        <v>14</v>
      </c>
      <c r="J67" s="13">
        <v>20</v>
      </c>
      <c r="K67" s="13">
        <v>0</v>
      </c>
      <c r="L67" s="13">
        <v>12</v>
      </c>
      <c r="M67" s="13">
        <v>4</v>
      </c>
      <c r="N67" s="16">
        <v>0.33</v>
      </c>
      <c r="O67" s="13">
        <v>21</v>
      </c>
      <c r="P67" s="13">
        <v>23</v>
      </c>
      <c r="Q67" s="13">
        <v>2</v>
      </c>
      <c r="R67" s="13">
        <v>17</v>
      </c>
      <c r="S67" s="13">
        <v>7</v>
      </c>
      <c r="T67" s="16">
        <v>0.41</v>
      </c>
      <c r="U67" s="13">
        <v>29</v>
      </c>
      <c r="V67" s="13">
        <v>21</v>
      </c>
      <c r="W67" s="13">
        <v>1</v>
      </c>
      <c r="X67" s="13">
        <v>20</v>
      </c>
      <c r="Y67" s="13">
        <v>10</v>
      </c>
      <c r="Z67" s="16">
        <v>0.5</v>
      </c>
      <c r="AA67" s="13">
        <v>16</v>
      </c>
      <c r="AB67" s="13">
        <v>16</v>
      </c>
      <c r="AC67" s="13">
        <v>2</v>
      </c>
      <c r="AD67" s="13">
        <v>12</v>
      </c>
      <c r="AE67" s="13">
        <v>5</v>
      </c>
      <c r="AF67" s="16">
        <v>0.42</v>
      </c>
      <c r="AG67" s="13">
        <v>9</v>
      </c>
      <c r="AH67" s="13">
        <v>19</v>
      </c>
      <c r="AI67" s="13">
        <v>4</v>
      </c>
      <c r="AJ67" s="13">
        <v>14</v>
      </c>
      <c r="AK67" s="13">
        <v>8</v>
      </c>
      <c r="AL67" s="16">
        <v>0.56999999999999995</v>
      </c>
      <c r="AM67" s="13">
        <v>14</v>
      </c>
      <c r="AN67" s="13">
        <v>29</v>
      </c>
      <c r="AO67" s="13">
        <v>5</v>
      </c>
      <c r="AP67" s="13">
        <v>24</v>
      </c>
      <c r="AQ67" s="13">
        <v>13</v>
      </c>
      <c r="AR67" s="16">
        <v>0.54</v>
      </c>
      <c r="AS67" s="13">
        <v>17</v>
      </c>
      <c r="AT67" s="13">
        <v>10</v>
      </c>
      <c r="AU67" s="13">
        <v>2</v>
      </c>
      <c r="AV67" s="13">
        <v>19</v>
      </c>
      <c r="AW67" s="13">
        <v>11</v>
      </c>
      <c r="AX67" s="16">
        <v>0.57999999999999996</v>
      </c>
      <c r="AY67" s="13">
        <v>13</v>
      </c>
      <c r="AZ67" s="13">
        <v>10</v>
      </c>
      <c r="BA67" s="13">
        <v>2</v>
      </c>
      <c r="BB67" s="13">
        <v>12</v>
      </c>
      <c r="BC67" s="13">
        <v>7</v>
      </c>
      <c r="BD67" s="16">
        <v>0.57999999999999996</v>
      </c>
      <c r="BE67" s="13">
        <v>15</v>
      </c>
      <c r="BF67" s="13">
        <v>5</v>
      </c>
      <c r="BG67" s="13">
        <v>3</v>
      </c>
      <c r="BH67" s="13">
        <v>11</v>
      </c>
      <c r="BI67" s="13">
        <v>5</v>
      </c>
      <c r="BJ67" s="16">
        <v>0.45</v>
      </c>
      <c r="BK67" s="13">
        <v>11</v>
      </c>
      <c r="BL67" s="13">
        <v>9</v>
      </c>
      <c r="BM67" s="13">
        <v>1</v>
      </c>
      <c r="BN67" s="13">
        <v>9</v>
      </c>
      <c r="BO67" s="13">
        <v>2</v>
      </c>
      <c r="BP67" s="16">
        <v>0.22</v>
      </c>
      <c r="BQ67" s="13">
        <v>15</v>
      </c>
      <c r="BR67" s="13">
        <v>14</v>
      </c>
      <c r="BS67" s="13">
        <v>1</v>
      </c>
      <c r="BT67" s="13">
        <v>21</v>
      </c>
      <c r="BU67" s="13">
        <v>7</v>
      </c>
      <c r="BV67" s="16">
        <v>0.33</v>
      </c>
      <c r="BW67" t="s">
        <v>526</v>
      </c>
      <c r="BX67" t="s">
        <v>520</v>
      </c>
      <c r="BY67" t="str">
        <f t="shared" ref="BY67:BY76" si="1">BX67&amp;" "&amp;BW67</f>
        <v>Proportion of CLTI treated within 5 days England</v>
      </c>
      <c r="BZ67" s="4">
        <v>0.56897054534849811</v>
      </c>
      <c r="CA67" s="4">
        <v>0.52658569500674768</v>
      </c>
      <c r="CB67" s="4">
        <v>0.50914298303591099</v>
      </c>
    </row>
    <row r="68" spans="1:80" x14ac:dyDescent="0.25">
      <c r="A68" s="15" t="s">
        <v>140</v>
      </c>
      <c r="B68" s="15" t="s">
        <v>139</v>
      </c>
      <c r="C68" s="13">
        <v>0</v>
      </c>
      <c r="D68" s="13">
        <v>10</v>
      </c>
      <c r="E68" s="13">
        <v>4</v>
      </c>
      <c r="F68" s="13">
        <v>2</v>
      </c>
      <c r="G68" s="13">
        <v>1</v>
      </c>
      <c r="H68" s="16">
        <v>0.5</v>
      </c>
      <c r="I68" s="13">
        <v>0</v>
      </c>
      <c r="J68" s="13">
        <v>10</v>
      </c>
      <c r="K68" s="13">
        <v>6</v>
      </c>
      <c r="L68" s="13">
        <v>2</v>
      </c>
      <c r="M68" s="13">
        <v>1</v>
      </c>
      <c r="N68" s="16">
        <v>0.5</v>
      </c>
      <c r="O68" s="13">
        <v>0</v>
      </c>
      <c r="P68" s="13">
        <v>10</v>
      </c>
      <c r="Q68" s="13">
        <v>4</v>
      </c>
      <c r="R68" s="13">
        <v>4</v>
      </c>
      <c r="S68" s="13">
        <v>3</v>
      </c>
      <c r="T68" s="16">
        <v>0.75</v>
      </c>
      <c r="U68" s="13">
        <v>0</v>
      </c>
      <c r="V68" s="13">
        <v>24</v>
      </c>
      <c r="W68" s="13">
        <v>6</v>
      </c>
      <c r="X68" s="13">
        <v>5</v>
      </c>
      <c r="Y68" s="13">
        <v>3</v>
      </c>
      <c r="Z68" s="16">
        <v>0.6</v>
      </c>
      <c r="AA68" s="13">
        <v>0</v>
      </c>
      <c r="AB68" s="13">
        <v>20</v>
      </c>
      <c r="AC68" s="13">
        <v>1</v>
      </c>
      <c r="AD68" s="13">
        <v>2</v>
      </c>
      <c r="AE68" s="13">
        <v>1</v>
      </c>
      <c r="AF68" s="16">
        <v>0.5</v>
      </c>
      <c r="AG68" s="13">
        <v>0</v>
      </c>
      <c r="AH68" s="13">
        <v>11</v>
      </c>
      <c r="AI68" s="13">
        <v>1</v>
      </c>
      <c r="AJ68" s="13">
        <v>5</v>
      </c>
      <c r="AK68" s="13">
        <v>2</v>
      </c>
      <c r="AL68" s="16">
        <v>0.4</v>
      </c>
      <c r="AM68" s="13">
        <v>0</v>
      </c>
      <c r="AN68" s="13">
        <v>14</v>
      </c>
      <c r="AO68" s="13">
        <v>2</v>
      </c>
      <c r="AP68" s="13">
        <v>1</v>
      </c>
      <c r="AQ68" s="13">
        <v>0</v>
      </c>
      <c r="AR68" s="16">
        <v>0</v>
      </c>
      <c r="AS68" s="13">
        <v>0</v>
      </c>
      <c r="AT68" s="13">
        <v>11</v>
      </c>
      <c r="AU68" s="13">
        <v>0</v>
      </c>
      <c r="AV68" s="13">
        <v>1</v>
      </c>
      <c r="AW68" s="13">
        <v>0</v>
      </c>
      <c r="AX68" s="16">
        <v>0</v>
      </c>
      <c r="AY68" s="13">
        <v>22</v>
      </c>
      <c r="AZ68" s="13">
        <v>3</v>
      </c>
      <c r="BA68" s="13">
        <v>1</v>
      </c>
      <c r="BB68" s="13">
        <v>2</v>
      </c>
      <c r="BC68" s="13">
        <v>2</v>
      </c>
      <c r="BD68" s="16">
        <v>1</v>
      </c>
      <c r="BE68" s="13">
        <v>27</v>
      </c>
      <c r="BF68" s="13">
        <v>5</v>
      </c>
      <c r="BG68" s="13">
        <v>1</v>
      </c>
      <c r="BH68" s="13">
        <v>0</v>
      </c>
      <c r="BI68" s="13">
        <v>0</v>
      </c>
      <c r="BJ68" s="16" t="s">
        <v>122</v>
      </c>
      <c r="BK68" s="13">
        <v>11</v>
      </c>
      <c r="BL68" s="13">
        <v>8</v>
      </c>
      <c r="BM68" s="13">
        <v>5</v>
      </c>
      <c r="BN68" s="13">
        <v>2</v>
      </c>
      <c r="BO68" s="13">
        <v>2</v>
      </c>
      <c r="BP68" s="16">
        <v>1</v>
      </c>
      <c r="BQ68" s="13">
        <v>1</v>
      </c>
      <c r="BR68" s="13">
        <v>10</v>
      </c>
      <c r="BS68" s="13">
        <v>0</v>
      </c>
      <c r="BT68" s="13">
        <v>0</v>
      </c>
      <c r="BU68" s="13">
        <v>0</v>
      </c>
      <c r="BV68" s="16" t="s">
        <v>122</v>
      </c>
      <c r="BW68" t="s">
        <v>526</v>
      </c>
      <c r="BX68" t="s">
        <v>520</v>
      </c>
      <c r="BY68" t="str">
        <f t="shared" si="1"/>
        <v>Proportion of CLTI treated within 5 days England</v>
      </c>
      <c r="BZ68" s="4">
        <v>0.56897054534849811</v>
      </c>
      <c r="CA68" s="4">
        <v>0.52658569500674768</v>
      </c>
      <c r="CB68" s="4">
        <v>0.50914298303591099</v>
      </c>
    </row>
    <row r="69" spans="1:80" x14ac:dyDescent="0.25">
      <c r="A69" s="15" t="s">
        <v>123</v>
      </c>
      <c r="B69" s="15" t="s">
        <v>74</v>
      </c>
      <c r="C69" s="13">
        <v>97</v>
      </c>
      <c r="D69" s="13">
        <v>15</v>
      </c>
      <c r="E69" s="13">
        <v>10</v>
      </c>
      <c r="F69" s="13">
        <v>25</v>
      </c>
      <c r="G69" s="13">
        <v>5</v>
      </c>
      <c r="H69" s="16">
        <v>0.2</v>
      </c>
      <c r="I69" s="13">
        <v>55</v>
      </c>
      <c r="J69" s="13">
        <v>17</v>
      </c>
      <c r="K69" s="13">
        <v>12</v>
      </c>
      <c r="L69" s="13">
        <v>19</v>
      </c>
      <c r="M69" s="13">
        <v>8</v>
      </c>
      <c r="N69" s="16">
        <v>0.42</v>
      </c>
      <c r="O69" s="13">
        <v>52</v>
      </c>
      <c r="P69" s="13">
        <v>12</v>
      </c>
      <c r="Q69" s="13">
        <v>6</v>
      </c>
      <c r="R69" s="13">
        <v>16</v>
      </c>
      <c r="S69" s="13">
        <v>7</v>
      </c>
      <c r="T69" s="16">
        <v>0.44</v>
      </c>
      <c r="U69" s="13">
        <v>86</v>
      </c>
      <c r="V69" s="13">
        <v>16</v>
      </c>
      <c r="W69" s="13">
        <v>10</v>
      </c>
      <c r="X69" s="13">
        <v>23</v>
      </c>
      <c r="Y69" s="13">
        <v>6</v>
      </c>
      <c r="Z69" s="16">
        <v>0.26</v>
      </c>
      <c r="AA69" s="13">
        <v>76</v>
      </c>
      <c r="AB69" s="13">
        <v>21</v>
      </c>
      <c r="AC69" s="13">
        <v>10</v>
      </c>
      <c r="AD69" s="13">
        <v>21</v>
      </c>
      <c r="AE69" s="13">
        <v>6</v>
      </c>
      <c r="AF69" s="16">
        <v>0.28999999999999998</v>
      </c>
      <c r="AG69" s="13">
        <v>62</v>
      </c>
      <c r="AH69" s="13">
        <v>13</v>
      </c>
      <c r="AI69" s="13">
        <v>7</v>
      </c>
      <c r="AJ69" s="13">
        <v>21</v>
      </c>
      <c r="AK69" s="13">
        <v>10</v>
      </c>
      <c r="AL69" s="16">
        <v>0.48</v>
      </c>
      <c r="AM69" s="13">
        <v>79</v>
      </c>
      <c r="AN69" s="13">
        <v>20</v>
      </c>
      <c r="AO69" s="13">
        <v>11</v>
      </c>
      <c r="AP69" s="13">
        <v>42</v>
      </c>
      <c r="AQ69" s="13">
        <v>14</v>
      </c>
      <c r="AR69" s="16">
        <v>0.33</v>
      </c>
      <c r="AS69" s="13">
        <v>70</v>
      </c>
      <c r="AT69" s="13">
        <v>16</v>
      </c>
      <c r="AU69" s="13">
        <v>9</v>
      </c>
      <c r="AV69" s="13">
        <v>33</v>
      </c>
      <c r="AW69" s="13">
        <v>13</v>
      </c>
      <c r="AX69" s="16">
        <v>0.39</v>
      </c>
      <c r="AY69" s="13">
        <v>56</v>
      </c>
      <c r="AZ69" s="13">
        <v>15</v>
      </c>
      <c r="BA69" s="13">
        <v>9</v>
      </c>
      <c r="BB69" s="13">
        <v>34</v>
      </c>
      <c r="BC69" s="13">
        <v>12</v>
      </c>
      <c r="BD69" s="16">
        <v>0.35</v>
      </c>
      <c r="BE69" s="13">
        <v>54</v>
      </c>
      <c r="BF69" s="13">
        <v>16</v>
      </c>
      <c r="BG69" s="13">
        <v>12</v>
      </c>
      <c r="BH69" s="13">
        <v>39</v>
      </c>
      <c r="BI69" s="13">
        <v>7</v>
      </c>
      <c r="BJ69" s="16">
        <v>0.18</v>
      </c>
      <c r="BK69" s="13">
        <v>67</v>
      </c>
      <c r="BL69" s="13">
        <v>11</v>
      </c>
      <c r="BM69" s="13">
        <v>17</v>
      </c>
      <c r="BN69" s="13">
        <v>34</v>
      </c>
      <c r="BO69" s="13">
        <v>10</v>
      </c>
      <c r="BP69" s="16">
        <v>0.28999999999999998</v>
      </c>
      <c r="BQ69" s="13">
        <v>28</v>
      </c>
      <c r="BR69" s="13">
        <v>11</v>
      </c>
      <c r="BS69" s="13">
        <v>13</v>
      </c>
      <c r="BT69" s="13">
        <v>26</v>
      </c>
      <c r="BU69" s="13">
        <v>8</v>
      </c>
      <c r="BV69" s="16">
        <v>0.31</v>
      </c>
      <c r="BW69" t="s">
        <v>526</v>
      </c>
      <c r="BX69" t="s">
        <v>520</v>
      </c>
      <c r="BY69" t="str">
        <f t="shared" si="1"/>
        <v>Proportion of CLTI treated within 5 days England</v>
      </c>
      <c r="BZ69" s="4">
        <v>0.56897054534849811</v>
      </c>
      <c r="CA69" s="4">
        <v>0.52658569500674768</v>
      </c>
      <c r="CB69" s="4">
        <v>0.50914298303591099</v>
      </c>
    </row>
    <row r="70" spans="1:80" x14ac:dyDescent="0.25">
      <c r="A70" s="15" t="s">
        <v>86</v>
      </c>
      <c r="B70" s="15" t="s">
        <v>85</v>
      </c>
      <c r="C70" s="13">
        <v>66</v>
      </c>
      <c r="D70" s="13">
        <v>13</v>
      </c>
      <c r="E70" s="13">
        <v>14</v>
      </c>
      <c r="F70" s="13">
        <v>30</v>
      </c>
      <c r="G70" s="13">
        <v>22</v>
      </c>
      <c r="H70" s="16">
        <v>0.73</v>
      </c>
      <c r="I70" s="13">
        <v>59</v>
      </c>
      <c r="J70" s="13">
        <v>20</v>
      </c>
      <c r="K70" s="13">
        <v>14</v>
      </c>
      <c r="L70" s="13">
        <v>31</v>
      </c>
      <c r="M70" s="13">
        <v>21</v>
      </c>
      <c r="N70" s="16">
        <v>0.68</v>
      </c>
      <c r="O70" s="13">
        <v>65</v>
      </c>
      <c r="P70" s="13">
        <v>22</v>
      </c>
      <c r="Q70" s="13">
        <v>28</v>
      </c>
      <c r="R70" s="13">
        <v>30</v>
      </c>
      <c r="S70" s="13">
        <v>18</v>
      </c>
      <c r="T70" s="16">
        <v>0.6</v>
      </c>
      <c r="U70" s="13">
        <v>67</v>
      </c>
      <c r="V70" s="13">
        <v>15</v>
      </c>
      <c r="W70" s="13">
        <v>13</v>
      </c>
      <c r="X70" s="13">
        <v>26</v>
      </c>
      <c r="Y70" s="13">
        <v>15</v>
      </c>
      <c r="Z70" s="16">
        <v>0.57999999999999996</v>
      </c>
      <c r="AA70" s="13">
        <v>48</v>
      </c>
      <c r="AB70" s="13">
        <v>5</v>
      </c>
      <c r="AC70" s="13">
        <v>28</v>
      </c>
      <c r="AD70" s="13">
        <v>34</v>
      </c>
      <c r="AE70" s="13">
        <v>25</v>
      </c>
      <c r="AF70" s="16">
        <v>0.74</v>
      </c>
      <c r="AG70" s="13">
        <v>32</v>
      </c>
      <c r="AH70" s="13">
        <v>12</v>
      </c>
      <c r="AI70" s="13">
        <v>25</v>
      </c>
      <c r="AJ70" s="13">
        <v>26</v>
      </c>
      <c r="AK70" s="13">
        <v>15</v>
      </c>
      <c r="AL70" s="16">
        <v>0.57999999999999996</v>
      </c>
      <c r="AM70" s="13">
        <v>20</v>
      </c>
      <c r="AN70" s="13">
        <v>21</v>
      </c>
      <c r="AO70" s="13">
        <v>17</v>
      </c>
      <c r="AP70" s="13">
        <v>15</v>
      </c>
      <c r="AQ70" s="13">
        <v>9</v>
      </c>
      <c r="AR70" s="16">
        <v>0.6</v>
      </c>
      <c r="AS70" s="13">
        <v>4</v>
      </c>
      <c r="AT70" s="13">
        <v>11</v>
      </c>
      <c r="AU70" s="13">
        <v>20</v>
      </c>
      <c r="AV70" s="13">
        <v>15</v>
      </c>
      <c r="AW70" s="13">
        <v>5</v>
      </c>
      <c r="AX70" s="16">
        <v>0.33</v>
      </c>
      <c r="AY70" s="13">
        <v>17</v>
      </c>
      <c r="AZ70" s="13">
        <v>19</v>
      </c>
      <c r="BA70" s="13">
        <v>11</v>
      </c>
      <c r="BB70" s="13">
        <v>25</v>
      </c>
      <c r="BC70" s="13">
        <v>15</v>
      </c>
      <c r="BD70" s="16">
        <v>0.6</v>
      </c>
      <c r="BE70" s="13">
        <v>8</v>
      </c>
      <c r="BF70" s="13">
        <v>17</v>
      </c>
      <c r="BG70" s="13">
        <v>20</v>
      </c>
      <c r="BH70" s="13">
        <v>14</v>
      </c>
      <c r="BI70" s="13">
        <v>7</v>
      </c>
      <c r="BJ70" s="16">
        <v>0.5</v>
      </c>
      <c r="BK70" s="13">
        <v>36</v>
      </c>
      <c r="BL70" s="13">
        <v>20</v>
      </c>
      <c r="BM70" s="13">
        <v>14</v>
      </c>
      <c r="BN70" s="13">
        <v>26</v>
      </c>
      <c r="BO70" s="13">
        <v>8</v>
      </c>
      <c r="BP70" s="16">
        <v>0.31</v>
      </c>
      <c r="BQ70" s="13">
        <v>24</v>
      </c>
      <c r="BR70" s="13">
        <v>19</v>
      </c>
      <c r="BS70" s="13">
        <v>18</v>
      </c>
      <c r="BT70" s="13">
        <v>23</v>
      </c>
      <c r="BU70" s="13">
        <v>11</v>
      </c>
      <c r="BV70" s="16">
        <v>0.48</v>
      </c>
      <c r="BW70" t="s">
        <v>526</v>
      </c>
      <c r="BX70" t="s">
        <v>520</v>
      </c>
      <c r="BY70" t="str">
        <f t="shared" si="1"/>
        <v>Proportion of CLTI treated within 5 days England</v>
      </c>
      <c r="BZ70" s="4">
        <v>0.56897054534849811</v>
      </c>
      <c r="CA70" s="4">
        <v>0.52658569500674768</v>
      </c>
      <c r="CB70" s="4">
        <v>0.50914298303591099</v>
      </c>
    </row>
    <row r="71" spans="1:80" x14ac:dyDescent="0.25">
      <c r="A71" s="15" t="s">
        <v>120</v>
      </c>
      <c r="B71" s="15" t="s">
        <v>48</v>
      </c>
      <c r="C71" s="13">
        <v>1</v>
      </c>
      <c r="D71" s="13">
        <v>13</v>
      </c>
      <c r="E71" s="13">
        <v>1</v>
      </c>
      <c r="F71" s="13">
        <v>3</v>
      </c>
      <c r="G71" s="13">
        <v>2</v>
      </c>
      <c r="H71" s="16">
        <v>0.67</v>
      </c>
      <c r="I71" s="13">
        <v>1</v>
      </c>
      <c r="J71" s="13">
        <v>11</v>
      </c>
      <c r="K71" s="13">
        <v>1</v>
      </c>
      <c r="L71" s="13">
        <v>5</v>
      </c>
      <c r="M71" s="13">
        <v>3</v>
      </c>
      <c r="N71" s="16">
        <v>0.6</v>
      </c>
      <c r="O71" s="13">
        <v>0</v>
      </c>
      <c r="P71" s="13">
        <v>13</v>
      </c>
      <c r="Q71" s="13">
        <v>0</v>
      </c>
      <c r="R71" s="13">
        <v>4</v>
      </c>
      <c r="S71" s="13">
        <v>1</v>
      </c>
      <c r="T71" s="16">
        <v>0.25</v>
      </c>
      <c r="U71" s="13">
        <v>0</v>
      </c>
      <c r="V71" s="13">
        <v>11</v>
      </c>
      <c r="W71" s="13">
        <v>1</v>
      </c>
      <c r="X71" s="13">
        <v>2</v>
      </c>
      <c r="Y71" s="13">
        <v>1</v>
      </c>
      <c r="Z71" s="16">
        <v>0.5</v>
      </c>
      <c r="AA71" s="13">
        <v>0</v>
      </c>
      <c r="AB71" s="13">
        <v>7</v>
      </c>
      <c r="AC71" s="13">
        <v>0</v>
      </c>
      <c r="AD71" s="13">
        <v>0</v>
      </c>
      <c r="AE71" s="13">
        <v>0</v>
      </c>
      <c r="AF71" s="16" t="s">
        <v>122</v>
      </c>
      <c r="AG71" s="13">
        <v>0</v>
      </c>
      <c r="AH71" s="13">
        <v>12</v>
      </c>
      <c r="AI71" s="13">
        <v>0</v>
      </c>
      <c r="AJ71" s="13">
        <v>5</v>
      </c>
      <c r="AK71" s="13">
        <v>3</v>
      </c>
      <c r="AL71" s="16">
        <v>0.6</v>
      </c>
      <c r="AM71" s="13">
        <v>0</v>
      </c>
      <c r="AN71" s="13">
        <v>6</v>
      </c>
      <c r="AO71" s="13">
        <v>0</v>
      </c>
      <c r="AP71" s="13">
        <v>3</v>
      </c>
      <c r="AQ71" s="13">
        <v>3</v>
      </c>
      <c r="AR71" s="16">
        <v>1</v>
      </c>
      <c r="AS71" s="13">
        <v>0</v>
      </c>
      <c r="AT71" s="13">
        <v>7</v>
      </c>
      <c r="AU71" s="13">
        <v>0</v>
      </c>
      <c r="AV71" s="13">
        <v>1</v>
      </c>
      <c r="AW71" s="13">
        <v>1</v>
      </c>
      <c r="AX71" s="16">
        <v>1</v>
      </c>
      <c r="AY71" s="13">
        <v>0</v>
      </c>
      <c r="AZ71" s="13">
        <v>8</v>
      </c>
      <c r="BA71" s="13">
        <v>1</v>
      </c>
      <c r="BB71" s="13">
        <v>2</v>
      </c>
      <c r="BC71" s="13">
        <v>0</v>
      </c>
      <c r="BD71" s="16">
        <v>0</v>
      </c>
      <c r="BE71" s="13">
        <v>0</v>
      </c>
      <c r="BF71" s="13">
        <v>9</v>
      </c>
      <c r="BG71" s="13">
        <v>3</v>
      </c>
      <c r="BH71" s="13">
        <v>1</v>
      </c>
      <c r="BI71" s="13">
        <v>0</v>
      </c>
      <c r="BJ71" s="16">
        <v>0</v>
      </c>
      <c r="BK71" s="13">
        <v>0</v>
      </c>
      <c r="BL71" s="13">
        <v>17</v>
      </c>
      <c r="BM71" s="13">
        <v>0</v>
      </c>
      <c r="BN71" s="13">
        <v>6</v>
      </c>
      <c r="BO71" s="13">
        <v>2</v>
      </c>
      <c r="BP71" s="16">
        <v>0.33</v>
      </c>
      <c r="BQ71" s="13">
        <v>0</v>
      </c>
      <c r="BR71" s="13">
        <v>16</v>
      </c>
      <c r="BS71" s="13">
        <v>0</v>
      </c>
      <c r="BT71" s="13">
        <v>3</v>
      </c>
      <c r="BU71" s="13">
        <v>2</v>
      </c>
      <c r="BV71" s="16">
        <v>0.67</v>
      </c>
      <c r="BW71" t="s">
        <v>526</v>
      </c>
      <c r="BX71" t="s">
        <v>520</v>
      </c>
      <c r="BY71" t="str">
        <f t="shared" si="1"/>
        <v>Proportion of CLTI treated within 5 days England</v>
      </c>
      <c r="BZ71" s="4">
        <v>0.56897054534849811</v>
      </c>
      <c r="CA71" s="4">
        <v>0.52658569500674768</v>
      </c>
      <c r="CB71" s="4">
        <v>0.50914298303591099</v>
      </c>
    </row>
    <row r="72" spans="1:80" x14ac:dyDescent="0.25">
      <c r="A72" s="31" t="s">
        <v>156</v>
      </c>
      <c r="B72" s="15" t="s">
        <v>87</v>
      </c>
      <c r="C72" s="13">
        <v>1</v>
      </c>
      <c r="D72" s="13">
        <v>5</v>
      </c>
      <c r="E72" s="13">
        <v>5</v>
      </c>
      <c r="F72" s="13">
        <v>3</v>
      </c>
      <c r="G72" s="13">
        <v>0</v>
      </c>
      <c r="H72" s="16">
        <v>0</v>
      </c>
      <c r="I72" s="13">
        <v>4</v>
      </c>
      <c r="J72" s="13">
        <v>8</v>
      </c>
      <c r="K72" s="13">
        <v>5</v>
      </c>
      <c r="L72" s="13">
        <v>2</v>
      </c>
      <c r="M72" s="13">
        <v>2</v>
      </c>
      <c r="N72" s="16">
        <v>1</v>
      </c>
      <c r="O72" s="13">
        <v>1</v>
      </c>
      <c r="P72" s="13">
        <v>11</v>
      </c>
      <c r="Q72" s="13">
        <v>2</v>
      </c>
      <c r="R72" s="13">
        <v>5</v>
      </c>
      <c r="S72" s="13">
        <v>3</v>
      </c>
      <c r="T72" s="16">
        <v>0.6</v>
      </c>
      <c r="U72" s="13">
        <v>2</v>
      </c>
      <c r="V72" s="13">
        <v>8</v>
      </c>
      <c r="W72" s="13">
        <v>2</v>
      </c>
      <c r="X72" s="13">
        <v>1</v>
      </c>
      <c r="Y72" s="13">
        <v>0</v>
      </c>
      <c r="Z72" s="16">
        <v>0</v>
      </c>
      <c r="AA72" s="13">
        <v>4</v>
      </c>
      <c r="AB72" s="13">
        <v>7</v>
      </c>
      <c r="AC72" s="13">
        <v>1</v>
      </c>
      <c r="AD72" s="13">
        <v>2</v>
      </c>
      <c r="AE72" s="13">
        <v>1</v>
      </c>
      <c r="AF72" s="16">
        <v>0.5</v>
      </c>
      <c r="AG72" s="13">
        <v>1</v>
      </c>
      <c r="AH72" s="13">
        <v>11</v>
      </c>
      <c r="AI72" s="13">
        <v>4</v>
      </c>
      <c r="AJ72" s="13">
        <v>5</v>
      </c>
      <c r="AK72" s="13">
        <v>3</v>
      </c>
      <c r="AL72" s="16">
        <v>0.6</v>
      </c>
      <c r="AM72" s="13">
        <v>1</v>
      </c>
      <c r="AN72" s="13">
        <v>10</v>
      </c>
      <c r="AO72" s="13">
        <v>2</v>
      </c>
      <c r="AP72" s="13">
        <v>0</v>
      </c>
      <c r="AQ72" s="13">
        <v>0</v>
      </c>
      <c r="AR72" s="16" t="s">
        <v>122</v>
      </c>
      <c r="AS72" s="13">
        <v>1</v>
      </c>
      <c r="AT72" s="13">
        <v>10</v>
      </c>
      <c r="AU72" s="13">
        <v>3</v>
      </c>
      <c r="AV72" s="13">
        <v>5</v>
      </c>
      <c r="AW72" s="13">
        <v>3</v>
      </c>
      <c r="AX72" s="16">
        <v>0.6</v>
      </c>
      <c r="AY72" s="13">
        <v>3</v>
      </c>
      <c r="AZ72" s="13">
        <v>8</v>
      </c>
      <c r="BA72" s="13">
        <v>4</v>
      </c>
      <c r="BB72" s="13">
        <v>3</v>
      </c>
      <c r="BC72" s="13">
        <v>1</v>
      </c>
      <c r="BD72" s="16">
        <v>0.33</v>
      </c>
      <c r="BE72" s="13">
        <v>1</v>
      </c>
      <c r="BF72" s="13">
        <v>0</v>
      </c>
      <c r="BG72" s="13">
        <v>1</v>
      </c>
      <c r="BH72" s="13">
        <v>0</v>
      </c>
      <c r="BI72" s="13">
        <v>0</v>
      </c>
      <c r="BJ72" s="16" t="s">
        <v>122</v>
      </c>
      <c r="BK72" s="13">
        <v>2</v>
      </c>
      <c r="BL72" s="13">
        <v>5</v>
      </c>
      <c r="BM72" s="13">
        <v>2</v>
      </c>
      <c r="BN72" s="13">
        <v>4</v>
      </c>
      <c r="BO72" s="13">
        <v>2</v>
      </c>
      <c r="BP72" s="16">
        <v>0.5</v>
      </c>
      <c r="BQ72" s="13">
        <v>0</v>
      </c>
      <c r="BR72" s="13">
        <v>8</v>
      </c>
      <c r="BS72" s="13">
        <v>3</v>
      </c>
      <c r="BT72" s="13">
        <v>1</v>
      </c>
      <c r="BU72" s="13">
        <v>0</v>
      </c>
      <c r="BV72" s="16">
        <v>0</v>
      </c>
      <c r="BW72" t="s">
        <v>526</v>
      </c>
      <c r="BX72" t="s">
        <v>520</v>
      </c>
      <c r="BY72" t="str">
        <f t="shared" si="1"/>
        <v>Proportion of CLTI treated within 5 days England</v>
      </c>
      <c r="BZ72" s="4">
        <v>0.56897054534849811</v>
      </c>
      <c r="CA72" s="4">
        <v>0.52658569500674768</v>
      </c>
      <c r="CB72" s="4">
        <v>0.50914298303591099</v>
      </c>
    </row>
    <row r="73" spans="1:80" x14ac:dyDescent="0.25">
      <c r="A73" s="15" t="s">
        <v>28</v>
      </c>
      <c r="B73" s="15" t="s">
        <v>27</v>
      </c>
      <c r="C73" s="13">
        <v>0</v>
      </c>
      <c r="D73" s="13">
        <v>0</v>
      </c>
      <c r="E73" s="13">
        <v>0</v>
      </c>
      <c r="F73" s="13">
        <v>0</v>
      </c>
      <c r="G73" s="13">
        <v>0</v>
      </c>
      <c r="H73" s="16" t="s">
        <v>122</v>
      </c>
      <c r="I73" s="13">
        <v>0</v>
      </c>
      <c r="J73" s="13">
        <v>0</v>
      </c>
      <c r="K73" s="13">
        <v>0</v>
      </c>
      <c r="L73" s="13">
        <v>0</v>
      </c>
      <c r="M73" s="13">
        <v>0</v>
      </c>
      <c r="N73" s="16" t="s">
        <v>122</v>
      </c>
      <c r="O73" s="13">
        <v>1</v>
      </c>
      <c r="P73" s="13">
        <v>0</v>
      </c>
      <c r="Q73" s="13">
        <v>0</v>
      </c>
      <c r="R73" s="13">
        <v>0</v>
      </c>
      <c r="S73" s="13">
        <v>0</v>
      </c>
      <c r="T73" s="16" t="s">
        <v>122</v>
      </c>
      <c r="U73" s="13">
        <v>1</v>
      </c>
      <c r="V73" s="13">
        <v>0</v>
      </c>
      <c r="W73" s="13">
        <v>0</v>
      </c>
      <c r="X73" s="13">
        <v>1</v>
      </c>
      <c r="Y73" s="13">
        <v>0</v>
      </c>
      <c r="Z73" s="16">
        <v>0</v>
      </c>
      <c r="AA73" s="13">
        <v>0</v>
      </c>
      <c r="AB73" s="13">
        <v>0</v>
      </c>
      <c r="AC73" s="13">
        <v>0</v>
      </c>
      <c r="AD73" s="13">
        <v>0</v>
      </c>
      <c r="AE73" s="13">
        <v>0</v>
      </c>
      <c r="AF73" s="16" t="s">
        <v>122</v>
      </c>
      <c r="AG73" s="13">
        <v>0</v>
      </c>
      <c r="AH73" s="13">
        <v>0</v>
      </c>
      <c r="AI73" s="13">
        <v>0</v>
      </c>
      <c r="AJ73" s="13">
        <v>0</v>
      </c>
      <c r="AK73" s="13">
        <v>0</v>
      </c>
      <c r="AL73" s="16" t="s">
        <v>122</v>
      </c>
      <c r="AM73" s="13">
        <v>0</v>
      </c>
      <c r="AN73" s="13">
        <v>0</v>
      </c>
      <c r="AO73" s="13">
        <v>0</v>
      </c>
      <c r="AP73" s="13">
        <v>0</v>
      </c>
      <c r="AQ73" s="13">
        <v>0</v>
      </c>
      <c r="AR73" s="16" t="s">
        <v>122</v>
      </c>
      <c r="AS73" s="13">
        <v>0</v>
      </c>
      <c r="AT73" s="13">
        <v>0</v>
      </c>
      <c r="AU73" s="13">
        <v>0</v>
      </c>
      <c r="AV73" s="13">
        <v>0</v>
      </c>
      <c r="AW73" s="13">
        <v>0</v>
      </c>
      <c r="AX73" s="16" t="s">
        <v>122</v>
      </c>
      <c r="AY73" s="13">
        <v>0</v>
      </c>
      <c r="AZ73" s="13">
        <v>0</v>
      </c>
      <c r="BA73" s="13">
        <v>0</v>
      </c>
      <c r="BB73" s="13">
        <v>0</v>
      </c>
      <c r="BC73" s="13">
        <v>0</v>
      </c>
      <c r="BD73" s="16" t="s">
        <v>122</v>
      </c>
      <c r="BE73" s="13">
        <v>0</v>
      </c>
      <c r="BF73" s="13">
        <v>0</v>
      </c>
      <c r="BG73" s="13">
        <v>0</v>
      </c>
      <c r="BH73" s="13">
        <v>0</v>
      </c>
      <c r="BI73" s="13">
        <v>0</v>
      </c>
      <c r="BJ73" s="16" t="s">
        <v>122</v>
      </c>
      <c r="BK73" s="13">
        <v>0</v>
      </c>
      <c r="BL73" s="13">
        <v>0</v>
      </c>
      <c r="BM73" s="13">
        <v>0</v>
      </c>
      <c r="BN73" s="13">
        <v>0</v>
      </c>
      <c r="BO73" s="13">
        <v>0</v>
      </c>
      <c r="BP73" s="16" t="s">
        <v>122</v>
      </c>
      <c r="BQ73" s="13">
        <v>7</v>
      </c>
      <c r="BR73" s="13">
        <v>0</v>
      </c>
      <c r="BS73" s="13">
        <v>0</v>
      </c>
      <c r="BT73" s="13">
        <v>1</v>
      </c>
      <c r="BU73" s="13">
        <v>1</v>
      </c>
      <c r="BV73" s="16">
        <v>1</v>
      </c>
      <c r="BW73" t="s">
        <v>526</v>
      </c>
      <c r="BX73" t="s">
        <v>520</v>
      </c>
      <c r="BY73" t="str">
        <f t="shared" si="1"/>
        <v>Proportion of CLTI treated within 5 days England</v>
      </c>
      <c r="BZ73" s="4">
        <v>0.56897054534849811</v>
      </c>
      <c r="CA73" s="4">
        <v>0.52658569500674768</v>
      </c>
      <c r="CB73" s="4">
        <v>0.50914298303591099</v>
      </c>
    </row>
    <row r="74" spans="1:80" x14ac:dyDescent="0.25">
      <c r="A74" s="15" t="s">
        <v>91</v>
      </c>
      <c r="B74" s="15" t="s">
        <v>90</v>
      </c>
      <c r="C74" s="13">
        <v>28</v>
      </c>
      <c r="D74" s="13">
        <v>23</v>
      </c>
      <c r="E74" s="13">
        <v>5</v>
      </c>
      <c r="F74" s="13">
        <v>19</v>
      </c>
      <c r="G74" s="13">
        <v>9</v>
      </c>
      <c r="H74" s="16">
        <v>0.47</v>
      </c>
      <c r="I74" s="13">
        <v>44</v>
      </c>
      <c r="J74" s="13">
        <v>28</v>
      </c>
      <c r="K74" s="13">
        <v>1</v>
      </c>
      <c r="L74" s="13">
        <v>25</v>
      </c>
      <c r="M74" s="13">
        <v>14</v>
      </c>
      <c r="N74" s="16">
        <v>0.56000000000000005</v>
      </c>
      <c r="O74" s="13">
        <v>19</v>
      </c>
      <c r="P74" s="13">
        <v>14</v>
      </c>
      <c r="Q74" s="13">
        <v>5</v>
      </c>
      <c r="R74" s="13">
        <v>12</v>
      </c>
      <c r="S74" s="13">
        <v>5</v>
      </c>
      <c r="T74" s="16">
        <v>0.42</v>
      </c>
      <c r="U74" s="13">
        <v>44</v>
      </c>
      <c r="V74" s="13">
        <v>31</v>
      </c>
      <c r="W74" s="13">
        <v>6</v>
      </c>
      <c r="X74" s="13">
        <v>24</v>
      </c>
      <c r="Y74" s="13">
        <v>8</v>
      </c>
      <c r="Z74" s="16">
        <v>0.33</v>
      </c>
      <c r="AA74" s="13">
        <v>50</v>
      </c>
      <c r="AB74" s="13">
        <v>21</v>
      </c>
      <c r="AC74" s="13">
        <v>6</v>
      </c>
      <c r="AD74" s="13">
        <v>23</v>
      </c>
      <c r="AE74" s="13">
        <v>8</v>
      </c>
      <c r="AF74" s="16">
        <v>0.35</v>
      </c>
      <c r="AG74" s="13">
        <v>28</v>
      </c>
      <c r="AH74" s="13">
        <v>30</v>
      </c>
      <c r="AI74" s="13">
        <v>10</v>
      </c>
      <c r="AJ74" s="13">
        <v>20</v>
      </c>
      <c r="AK74" s="13">
        <v>10</v>
      </c>
      <c r="AL74" s="16">
        <v>0.5</v>
      </c>
      <c r="AM74" s="13">
        <v>30</v>
      </c>
      <c r="AN74" s="13">
        <v>22</v>
      </c>
      <c r="AO74" s="13">
        <v>3</v>
      </c>
      <c r="AP74" s="13">
        <v>25</v>
      </c>
      <c r="AQ74" s="13">
        <v>12</v>
      </c>
      <c r="AR74" s="16">
        <v>0.48</v>
      </c>
      <c r="AS74" s="13">
        <v>31</v>
      </c>
      <c r="AT74" s="13">
        <v>29</v>
      </c>
      <c r="AU74" s="13">
        <v>6</v>
      </c>
      <c r="AV74" s="13">
        <v>29</v>
      </c>
      <c r="AW74" s="13">
        <v>15</v>
      </c>
      <c r="AX74" s="16">
        <v>0.52</v>
      </c>
      <c r="AY74" s="13">
        <v>51</v>
      </c>
      <c r="AZ74" s="13">
        <v>21</v>
      </c>
      <c r="BA74" s="13">
        <v>10</v>
      </c>
      <c r="BB74" s="13">
        <v>33</v>
      </c>
      <c r="BC74" s="13">
        <v>19</v>
      </c>
      <c r="BD74" s="16">
        <v>0.57999999999999996</v>
      </c>
      <c r="BE74" s="13">
        <v>33</v>
      </c>
      <c r="BF74" s="13">
        <v>23</v>
      </c>
      <c r="BG74" s="13">
        <v>9</v>
      </c>
      <c r="BH74" s="13">
        <v>24</v>
      </c>
      <c r="BI74" s="13">
        <v>9</v>
      </c>
      <c r="BJ74" s="16">
        <v>0.38</v>
      </c>
      <c r="BK74" s="13">
        <v>61</v>
      </c>
      <c r="BL74" s="13">
        <v>25</v>
      </c>
      <c r="BM74" s="13">
        <v>8</v>
      </c>
      <c r="BN74" s="13">
        <v>37</v>
      </c>
      <c r="BO74" s="13">
        <v>17</v>
      </c>
      <c r="BP74" s="16">
        <v>0.46</v>
      </c>
      <c r="BQ74" s="13">
        <v>36</v>
      </c>
      <c r="BR74" s="13">
        <v>25</v>
      </c>
      <c r="BS74" s="13">
        <v>5</v>
      </c>
      <c r="BT74" s="13">
        <v>23</v>
      </c>
      <c r="BU74" s="13">
        <v>11</v>
      </c>
      <c r="BV74" s="16">
        <v>0.48</v>
      </c>
      <c r="BW74" t="s">
        <v>526</v>
      </c>
      <c r="BX74" t="s">
        <v>520</v>
      </c>
      <c r="BY74" t="str">
        <f t="shared" si="1"/>
        <v>Proportion of CLTI treated within 5 days England</v>
      </c>
      <c r="BZ74" s="4">
        <v>0.56897054534849811</v>
      </c>
      <c r="CA74" s="4">
        <v>0.52658569500674768</v>
      </c>
      <c r="CB74" s="4">
        <v>0.50914298303591099</v>
      </c>
    </row>
    <row r="75" spans="1:80" x14ac:dyDescent="0.25">
      <c r="A75" s="15" t="s">
        <v>136</v>
      </c>
      <c r="B75" s="15" t="s">
        <v>135</v>
      </c>
      <c r="C75" s="13">
        <v>13</v>
      </c>
      <c r="D75" s="13">
        <v>0</v>
      </c>
      <c r="E75" s="13">
        <v>0</v>
      </c>
      <c r="F75" s="13">
        <v>2</v>
      </c>
      <c r="G75" s="13">
        <v>1</v>
      </c>
      <c r="H75" s="16">
        <v>0.5</v>
      </c>
      <c r="I75" s="13">
        <v>18</v>
      </c>
      <c r="J75" s="13">
        <v>0</v>
      </c>
      <c r="K75" s="13">
        <v>0</v>
      </c>
      <c r="L75" s="13">
        <v>1</v>
      </c>
      <c r="M75" s="13">
        <v>0</v>
      </c>
      <c r="N75" s="16">
        <v>0</v>
      </c>
      <c r="O75" s="13">
        <v>15</v>
      </c>
      <c r="P75" s="13">
        <v>0</v>
      </c>
      <c r="Q75" s="13">
        <v>0</v>
      </c>
      <c r="R75" s="13">
        <v>2</v>
      </c>
      <c r="S75" s="13">
        <v>0</v>
      </c>
      <c r="T75" s="16">
        <v>0</v>
      </c>
      <c r="U75" s="13">
        <v>15</v>
      </c>
      <c r="V75" s="13">
        <v>0</v>
      </c>
      <c r="W75" s="13">
        <v>0</v>
      </c>
      <c r="X75" s="13">
        <v>3</v>
      </c>
      <c r="Y75" s="13">
        <v>0</v>
      </c>
      <c r="Z75" s="16">
        <v>0</v>
      </c>
      <c r="AA75" s="13">
        <v>23</v>
      </c>
      <c r="AB75" s="13">
        <v>0</v>
      </c>
      <c r="AC75" s="13">
        <v>0</v>
      </c>
      <c r="AD75" s="13">
        <v>3</v>
      </c>
      <c r="AE75" s="13">
        <v>1</v>
      </c>
      <c r="AF75" s="16">
        <v>0.33</v>
      </c>
      <c r="AG75" s="13">
        <v>15</v>
      </c>
      <c r="AH75" s="13">
        <v>0</v>
      </c>
      <c r="AI75" s="13">
        <v>2</v>
      </c>
      <c r="AJ75" s="13">
        <v>1</v>
      </c>
      <c r="AK75" s="13">
        <v>1</v>
      </c>
      <c r="AL75" s="16">
        <v>1</v>
      </c>
      <c r="AM75" s="13">
        <v>18</v>
      </c>
      <c r="AN75" s="13">
        <v>0</v>
      </c>
      <c r="AO75" s="13">
        <v>0</v>
      </c>
      <c r="AP75" s="13">
        <v>2</v>
      </c>
      <c r="AQ75" s="13">
        <v>0</v>
      </c>
      <c r="AR75" s="16">
        <v>0</v>
      </c>
      <c r="AS75" s="13">
        <v>9</v>
      </c>
      <c r="AT75" s="13">
        <v>0</v>
      </c>
      <c r="AU75" s="13">
        <v>0</v>
      </c>
      <c r="AV75" s="13">
        <v>2</v>
      </c>
      <c r="AW75" s="13">
        <v>1</v>
      </c>
      <c r="AX75" s="16">
        <v>0.5</v>
      </c>
      <c r="AY75" s="13">
        <v>23</v>
      </c>
      <c r="AZ75" s="13">
        <v>0</v>
      </c>
      <c r="BA75" s="13">
        <v>0</v>
      </c>
      <c r="BB75" s="13">
        <v>2</v>
      </c>
      <c r="BC75" s="13">
        <v>0</v>
      </c>
      <c r="BD75" s="16">
        <v>0</v>
      </c>
      <c r="BE75" s="13">
        <v>11</v>
      </c>
      <c r="BF75" s="13">
        <v>0</v>
      </c>
      <c r="BG75" s="13">
        <v>0</v>
      </c>
      <c r="BH75" s="13">
        <v>4</v>
      </c>
      <c r="BI75" s="13">
        <v>1</v>
      </c>
      <c r="BJ75" s="16">
        <v>0.25</v>
      </c>
      <c r="BK75" s="13">
        <v>18</v>
      </c>
      <c r="BL75" s="13">
        <v>0</v>
      </c>
      <c r="BM75" s="13">
        <v>0</v>
      </c>
      <c r="BN75" s="13">
        <v>0</v>
      </c>
      <c r="BO75" s="13">
        <v>0</v>
      </c>
      <c r="BP75" s="16" t="s">
        <v>122</v>
      </c>
      <c r="BQ75" s="13">
        <v>16</v>
      </c>
      <c r="BR75" s="13">
        <v>0</v>
      </c>
      <c r="BS75" s="13">
        <v>0</v>
      </c>
      <c r="BT75" s="13">
        <v>5</v>
      </c>
      <c r="BU75" s="13">
        <v>2</v>
      </c>
      <c r="BV75" s="16">
        <v>0.4</v>
      </c>
      <c r="BW75" t="s">
        <v>526</v>
      </c>
      <c r="BX75" t="s">
        <v>520</v>
      </c>
      <c r="BY75" t="str">
        <f t="shared" si="1"/>
        <v>Proportion of CLTI treated within 5 days England</v>
      </c>
      <c r="BZ75" s="4">
        <v>0.56897054534849811</v>
      </c>
      <c r="CA75" s="4">
        <v>0.52658569500674768</v>
      </c>
      <c r="CB75" s="4">
        <v>0.50914298303591099</v>
      </c>
    </row>
    <row r="76" spans="1:80" x14ac:dyDescent="0.25">
      <c r="A76" s="15" t="s">
        <v>19</v>
      </c>
      <c r="B76" s="15" t="s">
        <v>18</v>
      </c>
      <c r="C76" s="13">
        <v>71</v>
      </c>
      <c r="D76" s="13">
        <v>13</v>
      </c>
      <c r="E76" s="13">
        <v>2</v>
      </c>
      <c r="F76" s="13">
        <v>28</v>
      </c>
      <c r="G76" s="13">
        <v>16</v>
      </c>
      <c r="H76" s="16">
        <v>0.56999999999999995</v>
      </c>
      <c r="I76" s="13">
        <v>79</v>
      </c>
      <c r="J76" s="13">
        <v>26</v>
      </c>
      <c r="K76" s="13">
        <v>0</v>
      </c>
      <c r="L76" s="13">
        <v>37</v>
      </c>
      <c r="M76" s="13">
        <v>31</v>
      </c>
      <c r="N76" s="16">
        <v>0.84</v>
      </c>
      <c r="O76" s="13">
        <v>71</v>
      </c>
      <c r="P76" s="13">
        <v>41</v>
      </c>
      <c r="Q76" s="13">
        <v>4</v>
      </c>
      <c r="R76" s="13">
        <v>41</v>
      </c>
      <c r="S76" s="13">
        <v>31</v>
      </c>
      <c r="T76" s="16">
        <v>0.76</v>
      </c>
      <c r="U76" s="13">
        <v>92</v>
      </c>
      <c r="V76" s="13">
        <v>31</v>
      </c>
      <c r="W76" s="13">
        <v>0</v>
      </c>
      <c r="X76" s="13">
        <v>39</v>
      </c>
      <c r="Y76" s="13">
        <v>31</v>
      </c>
      <c r="Z76" s="16">
        <v>0.79</v>
      </c>
      <c r="AA76" s="13">
        <v>76</v>
      </c>
      <c r="AB76" s="13">
        <v>32</v>
      </c>
      <c r="AC76" s="13">
        <v>4</v>
      </c>
      <c r="AD76" s="13">
        <v>25</v>
      </c>
      <c r="AE76" s="13">
        <v>18</v>
      </c>
      <c r="AF76" s="16">
        <v>0.72</v>
      </c>
      <c r="AG76" s="13">
        <v>59</v>
      </c>
      <c r="AH76" s="13">
        <v>27</v>
      </c>
      <c r="AI76" s="13">
        <v>1</v>
      </c>
      <c r="AJ76" s="13">
        <v>28</v>
      </c>
      <c r="AK76" s="13">
        <v>22</v>
      </c>
      <c r="AL76" s="16">
        <v>0.79</v>
      </c>
      <c r="AM76" s="13">
        <v>73</v>
      </c>
      <c r="AN76" s="13">
        <v>27</v>
      </c>
      <c r="AO76" s="13">
        <v>5</v>
      </c>
      <c r="AP76" s="13">
        <v>37</v>
      </c>
      <c r="AQ76" s="13">
        <v>25</v>
      </c>
      <c r="AR76" s="16">
        <v>0.68</v>
      </c>
      <c r="AS76" s="13">
        <v>58</v>
      </c>
      <c r="AT76" s="13">
        <v>22</v>
      </c>
      <c r="AU76" s="13">
        <v>7</v>
      </c>
      <c r="AV76" s="13">
        <v>37</v>
      </c>
      <c r="AW76" s="13">
        <v>23</v>
      </c>
      <c r="AX76" s="16">
        <v>0.62</v>
      </c>
      <c r="AY76" s="13">
        <v>56</v>
      </c>
      <c r="AZ76" s="13">
        <v>15</v>
      </c>
      <c r="BA76" s="13">
        <v>3</v>
      </c>
      <c r="BB76" s="13">
        <v>29</v>
      </c>
      <c r="BC76" s="13">
        <v>15</v>
      </c>
      <c r="BD76" s="16">
        <v>0.52</v>
      </c>
      <c r="BE76" s="13">
        <v>51</v>
      </c>
      <c r="BF76" s="13">
        <v>28</v>
      </c>
      <c r="BG76" s="13">
        <v>2</v>
      </c>
      <c r="BH76" s="13">
        <v>35</v>
      </c>
      <c r="BI76" s="13">
        <v>26</v>
      </c>
      <c r="BJ76" s="16">
        <v>0.74</v>
      </c>
      <c r="BK76" s="13">
        <v>82</v>
      </c>
      <c r="BL76" s="13">
        <v>29</v>
      </c>
      <c r="BM76" s="13">
        <v>5</v>
      </c>
      <c r="BN76" s="13">
        <v>47</v>
      </c>
      <c r="BO76" s="13">
        <v>35</v>
      </c>
      <c r="BP76" s="16">
        <v>0.74</v>
      </c>
      <c r="BQ76" s="13">
        <v>56</v>
      </c>
      <c r="BR76" s="13">
        <v>34</v>
      </c>
      <c r="BS76" s="13">
        <v>3</v>
      </c>
      <c r="BT76" s="13">
        <v>32</v>
      </c>
      <c r="BU76" s="13">
        <v>21</v>
      </c>
      <c r="BV76" s="16">
        <v>0.66</v>
      </c>
      <c r="BW76" t="s">
        <v>526</v>
      </c>
      <c r="BX76" t="s">
        <v>520</v>
      </c>
      <c r="BY76" t="str">
        <f t="shared" si="1"/>
        <v>Proportion of CLTI treated within 5 days England</v>
      </c>
      <c r="BZ76" s="4">
        <v>0.56897054534849811</v>
      </c>
      <c r="CA76" s="4">
        <v>0.52658569500674768</v>
      </c>
      <c r="CB76" s="4">
        <v>0.50914298303591099</v>
      </c>
    </row>
  </sheetData>
  <sortState xmlns:xlrd2="http://schemas.microsoft.com/office/spreadsheetml/2017/richdata2" ref="A2:BV76">
    <sortCondition ref="A2:A76"/>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BD67"/>
  <sheetViews>
    <sheetView workbookViewId="0">
      <pane xSplit="1" ySplit="1" topLeftCell="B2" activePane="bottomRight" state="frozen"/>
      <selection pane="topRight" activeCell="B1" sqref="B1"/>
      <selection pane="bottomLeft" activeCell="A2" sqref="A2"/>
      <selection pane="bottomRight" activeCell="C1" sqref="C1"/>
    </sheetView>
  </sheetViews>
  <sheetFormatPr defaultColWidth="15.85546875" defaultRowHeight="15" x14ac:dyDescent="0.25"/>
  <cols>
    <col min="1" max="1" width="61" bestFit="1" customWidth="1"/>
    <col min="2" max="2" width="10" bestFit="1" customWidth="1"/>
    <col min="3" max="3" width="13.28515625" bestFit="1" customWidth="1"/>
    <col min="4" max="4" width="13.140625" bestFit="1" customWidth="1"/>
    <col min="5" max="5" width="17.28515625" bestFit="1" customWidth="1"/>
    <col min="6" max="6" width="14.85546875" style="4" bestFit="1" customWidth="1"/>
    <col min="7" max="7" width="13.28515625" bestFit="1" customWidth="1"/>
    <col min="8" max="8" width="13.140625" bestFit="1" customWidth="1"/>
    <col min="9" max="9" width="17.28515625" bestFit="1" customWidth="1"/>
    <col min="10" max="10" width="14.85546875" style="4" bestFit="1" customWidth="1"/>
    <col min="11" max="11" width="13.28515625" bestFit="1" customWidth="1"/>
    <col min="12" max="12" width="13.140625" bestFit="1" customWidth="1"/>
    <col min="13" max="13" width="17.28515625" bestFit="1" customWidth="1"/>
    <col min="14" max="14" width="14.85546875" style="4" bestFit="1" customWidth="1"/>
    <col min="15" max="15" width="13.28515625" bestFit="1" customWidth="1"/>
    <col min="16" max="16" width="13.140625" bestFit="1" customWidth="1"/>
    <col min="17" max="17" width="17.28515625" bestFit="1" customWidth="1"/>
    <col min="18" max="18" width="14.85546875" style="4" bestFit="1" customWidth="1"/>
    <col min="19" max="19" width="13.28515625" bestFit="1" customWidth="1"/>
    <col min="20" max="20" width="13.140625" bestFit="1" customWidth="1"/>
    <col min="21" max="21" width="17.28515625" bestFit="1" customWidth="1"/>
    <col min="22" max="22" width="14.85546875" style="4" bestFit="1" customWidth="1"/>
    <col min="23" max="23" width="13.28515625" bestFit="1" customWidth="1"/>
    <col min="24" max="24" width="13.140625" bestFit="1" customWidth="1"/>
    <col min="25" max="25" width="17.28515625" bestFit="1" customWidth="1"/>
    <col min="26" max="26" width="14.85546875" style="4" bestFit="1" customWidth="1"/>
    <col min="27" max="27" width="13.28515625" bestFit="1" customWidth="1"/>
    <col min="28" max="28" width="13.140625" bestFit="1" customWidth="1"/>
    <col min="29" max="29" width="17.28515625" bestFit="1" customWidth="1"/>
    <col min="30" max="30" width="14.85546875" style="4" bestFit="1" customWidth="1"/>
    <col min="31" max="31" width="13.28515625" bestFit="1" customWidth="1"/>
    <col min="32" max="32" width="13.140625" bestFit="1" customWidth="1"/>
    <col min="33" max="33" width="17.28515625" bestFit="1" customWidth="1"/>
    <col min="34" max="34" width="14.85546875" style="4" bestFit="1" customWidth="1"/>
    <col min="35" max="35" width="13.28515625" bestFit="1" customWidth="1"/>
    <col min="36" max="36" width="13.140625" bestFit="1" customWidth="1"/>
    <col min="37" max="37" width="17.28515625" bestFit="1" customWidth="1"/>
    <col min="38" max="38" width="14.85546875" style="4" bestFit="1" customWidth="1"/>
    <col min="39" max="39" width="13.28515625" bestFit="1" customWidth="1"/>
    <col min="40" max="40" width="13.140625" bestFit="1" customWidth="1"/>
    <col min="41" max="41" width="17.28515625" bestFit="1" customWidth="1"/>
    <col min="42" max="42" width="14.85546875" style="4" bestFit="1" customWidth="1"/>
    <col min="43" max="43" width="13.28515625" bestFit="1" customWidth="1"/>
    <col min="44" max="44" width="13.140625" bestFit="1" customWidth="1"/>
    <col min="45" max="45" width="17.28515625" bestFit="1" customWidth="1"/>
    <col min="46" max="46" width="14.85546875" style="4" bestFit="1" customWidth="1"/>
    <col min="47" max="47" width="13.28515625" bestFit="1" customWidth="1"/>
    <col min="48" max="48" width="13.140625" bestFit="1" customWidth="1"/>
    <col min="49" max="49" width="17.28515625" bestFit="1" customWidth="1"/>
    <col min="50" max="50" width="14.5703125" style="4" bestFit="1" customWidth="1"/>
    <col min="51" max="51" width="16" bestFit="1" customWidth="1"/>
    <col min="52" max="52" width="17.28515625" bestFit="1" customWidth="1"/>
    <col min="53" max="53" width="33" bestFit="1" customWidth="1"/>
    <col min="54" max="56" width="16.28515625" bestFit="1" customWidth="1"/>
    <col min="57" max="57" width="17.5703125" bestFit="1" customWidth="1"/>
    <col min="58" max="58" width="14.5703125" bestFit="1" customWidth="1"/>
    <col min="59" max="59" width="13.28515625" bestFit="1" customWidth="1"/>
    <col min="60" max="60" width="13.140625" bestFit="1" customWidth="1"/>
    <col min="61" max="61" width="17.5703125" bestFit="1" customWidth="1"/>
  </cols>
  <sheetData>
    <row r="1" spans="1:56" s="9" customFormat="1" x14ac:dyDescent="0.25">
      <c r="A1" s="9" t="s">
        <v>195</v>
      </c>
      <c r="B1" s="9" t="s">
        <v>164</v>
      </c>
      <c r="C1" s="9" t="s">
        <v>337</v>
      </c>
      <c r="D1" s="9" t="s">
        <v>347</v>
      </c>
      <c r="E1" s="9" t="s">
        <v>410</v>
      </c>
      <c r="F1" s="29" t="s">
        <v>571</v>
      </c>
      <c r="G1" s="9" t="s">
        <v>338</v>
      </c>
      <c r="H1" s="9" t="s">
        <v>348</v>
      </c>
      <c r="I1" s="9" t="s">
        <v>411</v>
      </c>
      <c r="J1" s="29" t="s">
        <v>572</v>
      </c>
      <c r="K1" s="9" t="s">
        <v>339</v>
      </c>
      <c r="L1" s="9" t="s">
        <v>349</v>
      </c>
      <c r="M1" s="9" t="s">
        <v>412</v>
      </c>
      <c r="N1" s="29" t="s">
        <v>573</v>
      </c>
      <c r="O1" s="9" t="s">
        <v>340</v>
      </c>
      <c r="P1" s="9" t="s">
        <v>350</v>
      </c>
      <c r="Q1" s="9" t="s">
        <v>413</v>
      </c>
      <c r="R1" s="29" t="s">
        <v>574</v>
      </c>
      <c r="S1" s="9" t="s">
        <v>341</v>
      </c>
      <c r="T1" s="9" t="s">
        <v>351</v>
      </c>
      <c r="U1" s="9" t="s">
        <v>414</v>
      </c>
      <c r="V1" s="29" t="s">
        <v>575</v>
      </c>
      <c r="W1" s="9" t="s">
        <v>342</v>
      </c>
      <c r="X1" s="9" t="s">
        <v>352</v>
      </c>
      <c r="Y1" s="9" t="s">
        <v>415</v>
      </c>
      <c r="Z1" s="29" t="s">
        <v>576</v>
      </c>
      <c r="AA1" s="9" t="s">
        <v>343</v>
      </c>
      <c r="AB1" s="9" t="s">
        <v>353</v>
      </c>
      <c r="AC1" s="9" t="s">
        <v>416</v>
      </c>
      <c r="AD1" s="29" t="s">
        <v>577</v>
      </c>
      <c r="AE1" s="9" t="s">
        <v>344</v>
      </c>
      <c r="AF1" s="9" t="s">
        <v>354</v>
      </c>
      <c r="AG1" s="9" t="s">
        <v>417</v>
      </c>
      <c r="AH1" s="29" t="s">
        <v>578</v>
      </c>
      <c r="AI1" s="9" t="s">
        <v>345</v>
      </c>
      <c r="AJ1" s="9" t="s">
        <v>355</v>
      </c>
      <c r="AK1" s="9" t="s">
        <v>418</v>
      </c>
      <c r="AL1" s="29" t="s">
        <v>579</v>
      </c>
      <c r="AM1" s="9" t="s">
        <v>346</v>
      </c>
      <c r="AN1" s="9" t="s">
        <v>356</v>
      </c>
      <c r="AO1" s="9" t="s">
        <v>419</v>
      </c>
      <c r="AP1" s="29" t="s">
        <v>580</v>
      </c>
      <c r="AQ1" s="9" t="s">
        <v>455</v>
      </c>
      <c r="AR1" s="9" t="s">
        <v>456</v>
      </c>
      <c r="AS1" s="9" t="s">
        <v>457</v>
      </c>
      <c r="AT1" s="29" t="s">
        <v>581</v>
      </c>
      <c r="AU1" s="9" t="s">
        <v>458</v>
      </c>
      <c r="AV1" s="9" t="s">
        <v>459</v>
      </c>
      <c r="AW1" s="9" t="s">
        <v>460</v>
      </c>
      <c r="AX1" s="29" t="s">
        <v>582</v>
      </c>
      <c r="AY1" s="9" t="s">
        <v>525</v>
      </c>
      <c r="AZ1" s="9" t="s">
        <v>529</v>
      </c>
      <c r="BA1" s="9" t="s">
        <v>530</v>
      </c>
      <c r="BB1" s="9" t="s">
        <v>554</v>
      </c>
      <c r="BC1" s="9" t="s">
        <v>555</v>
      </c>
      <c r="BD1" s="9" t="s">
        <v>556</v>
      </c>
    </row>
    <row r="2" spans="1:56" x14ac:dyDescent="0.25">
      <c r="A2" t="s">
        <v>127</v>
      </c>
      <c r="B2" t="s">
        <v>26</v>
      </c>
      <c r="C2">
        <v>4</v>
      </c>
      <c r="D2">
        <v>2</v>
      </c>
      <c r="E2">
        <v>6</v>
      </c>
      <c r="F2" s="4">
        <v>0.33333333333333331</v>
      </c>
      <c r="G2">
        <v>9</v>
      </c>
      <c r="H2">
        <v>4</v>
      </c>
      <c r="I2">
        <v>13</v>
      </c>
      <c r="J2" s="4">
        <v>0.30769230769230771</v>
      </c>
      <c r="K2">
        <v>3</v>
      </c>
      <c r="L2">
        <v>4</v>
      </c>
      <c r="M2">
        <v>7</v>
      </c>
      <c r="N2" s="4">
        <v>0.5714285714285714</v>
      </c>
      <c r="O2">
        <v>5</v>
      </c>
      <c r="P2">
        <v>1</v>
      </c>
      <c r="Q2">
        <v>6</v>
      </c>
      <c r="R2" s="4">
        <v>0.16666666666666666</v>
      </c>
      <c r="S2">
        <v>1</v>
      </c>
      <c r="T2">
        <v>6</v>
      </c>
      <c r="U2">
        <v>7</v>
      </c>
      <c r="V2" s="4">
        <v>0.8571428571428571</v>
      </c>
      <c r="W2">
        <v>8</v>
      </c>
      <c r="X2">
        <v>4</v>
      </c>
      <c r="Y2">
        <v>12</v>
      </c>
      <c r="Z2" s="4">
        <v>0.33333333333333331</v>
      </c>
      <c r="AA2">
        <v>7</v>
      </c>
      <c r="AB2">
        <v>3</v>
      </c>
      <c r="AC2">
        <v>10</v>
      </c>
      <c r="AD2" s="4">
        <v>0.3</v>
      </c>
      <c r="AE2">
        <v>5</v>
      </c>
      <c r="AF2">
        <v>0</v>
      </c>
      <c r="AG2">
        <v>5</v>
      </c>
      <c r="AH2" s="4">
        <v>0</v>
      </c>
      <c r="AI2">
        <v>6</v>
      </c>
      <c r="AJ2">
        <v>2</v>
      </c>
      <c r="AK2">
        <v>8</v>
      </c>
      <c r="AL2" s="4">
        <v>0.25</v>
      </c>
      <c r="AM2">
        <v>7</v>
      </c>
      <c r="AN2">
        <v>1</v>
      </c>
      <c r="AO2">
        <v>8</v>
      </c>
      <c r="AP2" s="4">
        <v>0.125</v>
      </c>
      <c r="AQ2">
        <v>1</v>
      </c>
      <c r="AR2">
        <v>3</v>
      </c>
      <c r="AS2">
        <v>4</v>
      </c>
      <c r="AT2" s="4">
        <v>0.75</v>
      </c>
      <c r="AU2">
        <v>2</v>
      </c>
      <c r="AV2">
        <v>1</v>
      </c>
      <c r="AW2">
        <v>3</v>
      </c>
      <c r="AX2" s="4">
        <v>0.33333333333333331</v>
      </c>
      <c r="AY2" s="33" t="s">
        <v>526</v>
      </c>
      <c r="AZ2" t="s">
        <v>552</v>
      </c>
      <c r="BA2" t="str">
        <f>AZ2&amp;" "&amp;AY2</f>
        <v>Proportion of BKA England</v>
      </c>
      <c r="BB2" s="4">
        <v>0.49722494286647079</v>
      </c>
      <c r="BC2" s="4">
        <v>0.51047619047619053</v>
      </c>
      <c r="BD2" s="4">
        <v>0.55058139534883721</v>
      </c>
    </row>
    <row r="3" spans="1:56" x14ac:dyDescent="0.25">
      <c r="A3" t="s">
        <v>8</v>
      </c>
      <c r="B3" t="s">
        <v>7</v>
      </c>
      <c r="C3">
        <v>9</v>
      </c>
      <c r="D3">
        <v>15</v>
      </c>
      <c r="E3">
        <v>24</v>
      </c>
      <c r="F3" s="4">
        <v>0.625</v>
      </c>
      <c r="G3">
        <v>10</v>
      </c>
      <c r="H3">
        <v>8</v>
      </c>
      <c r="I3">
        <v>18</v>
      </c>
      <c r="J3" s="4">
        <v>0.44444444444444442</v>
      </c>
      <c r="K3">
        <v>15</v>
      </c>
      <c r="L3">
        <v>4</v>
      </c>
      <c r="M3">
        <v>19</v>
      </c>
      <c r="N3" s="4">
        <v>0.21052631578947367</v>
      </c>
      <c r="O3">
        <v>11</v>
      </c>
      <c r="P3">
        <v>11</v>
      </c>
      <c r="Q3">
        <v>22</v>
      </c>
      <c r="R3" s="4">
        <v>0.5</v>
      </c>
      <c r="S3">
        <v>11</v>
      </c>
      <c r="T3">
        <v>3</v>
      </c>
      <c r="U3">
        <v>14</v>
      </c>
      <c r="V3" s="4">
        <v>0.21428571428571427</v>
      </c>
      <c r="W3">
        <v>10</v>
      </c>
      <c r="X3">
        <v>4</v>
      </c>
      <c r="Y3">
        <v>14</v>
      </c>
      <c r="Z3" s="4">
        <v>0.2857142857142857</v>
      </c>
      <c r="AA3">
        <v>18</v>
      </c>
      <c r="AB3">
        <v>4</v>
      </c>
      <c r="AC3">
        <v>22</v>
      </c>
      <c r="AD3" s="4">
        <v>0.18181818181818182</v>
      </c>
      <c r="AE3">
        <v>2</v>
      </c>
      <c r="AF3">
        <v>2</v>
      </c>
      <c r="AG3">
        <v>4</v>
      </c>
      <c r="AH3" s="4">
        <v>0.5</v>
      </c>
      <c r="AI3">
        <v>0</v>
      </c>
      <c r="AJ3">
        <v>0</v>
      </c>
      <c r="AK3">
        <v>0</v>
      </c>
      <c r="AL3" s="4" t="s">
        <v>122</v>
      </c>
      <c r="AM3">
        <v>0</v>
      </c>
      <c r="AN3">
        <v>0</v>
      </c>
      <c r="AO3">
        <v>0</v>
      </c>
      <c r="AP3" s="4" t="s">
        <v>122</v>
      </c>
      <c r="AQ3">
        <v>8</v>
      </c>
      <c r="AR3">
        <v>6</v>
      </c>
      <c r="AS3">
        <v>14</v>
      </c>
      <c r="AT3" s="4">
        <v>0.42857142857142855</v>
      </c>
      <c r="AU3">
        <v>4</v>
      </c>
      <c r="AV3">
        <v>6</v>
      </c>
      <c r="AW3">
        <v>10</v>
      </c>
      <c r="AX3" s="4">
        <v>0.6</v>
      </c>
      <c r="AY3" s="33" t="s">
        <v>526</v>
      </c>
      <c r="AZ3" t="s">
        <v>552</v>
      </c>
      <c r="BA3" t="str">
        <f t="shared" ref="BA3:BA66" si="0">AZ3&amp;" "&amp;AY3</f>
        <v>Proportion of BKA England</v>
      </c>
      <c r="BB3" s="4">
        <v>0.49722494286647079</v>
      </c>
      <c r="BC3" s="4">
        <v>0.51047619047619053</v>
      </c>
      <c r="BD3" s="4">
        <v>0.55058139534883721</v>
      </c>
    </row>
    <row r="4" spans="1:56" x14ac:dyDescent="0.25">
      <c r="A4" t="s">
        <v>152</v>
      </c>
      <c r="B4" t="s">
        <v>151</v>
      </c>
      <c r="C4">
        <v>6</v>
      </c>
      <c r="D4">
        <v>7</v>
      </c>
      <c r="E4">
        <v>13</v>
      </c>
      <c r="F4" s="4">
        <v>0.53846153846153844</v>
      </c>
      <c r="G4">
        <v>6</v>
      </c>
      <c r="H4">
        <v>4</v>
      </c>
      <c r="I4">
        <v>10</v>
      </c>
      <c r="J4" s="4">
        <v>0.4</v>
      </c>
      <c r="K4">
        <v>8</v>
      </c>
      <c r="L4">
        <v>14</v>
      </c>
      <c r="M4">
        <v>22</v>
      </c>
      <c r="N4" s="4">
        <v>0.63636363636363635</v>
      </c>
      <c r="O4">
        <v>6</v>
      </c>
      <c r="P4">
        <v>10</v>
      </c>
      <c r="Q4">
        <v>16</v>
      </c>
      <c r="R4" s="4">
        <v>0.625</v>
      </c>
      <c r="S4">
        <v>3</v>
      </c>
      <c r="T4">
        <v>5</v>
      </c>
      <c r="U4">
        <v>8</v>
      </c>
      <c r="V4" s="4">
        <v>0.625</v>
      </c>
      <c r="W4">
        <v>6</v>
      </c>
      <c r="X4">
        <v>8</v>
      </c>
      <c r="Y4">
        <v>14</v>
      </c>
      <c r="Z4" s="4">
        <v>0.5714285714285714</v>
      </c>
      <c r="AA4">
        <v>6</v>
      </c>
      <c r="AB4">
        <v>8</v>
      </c>
      <c r="AC4">
        <v>14</v>
      </c>
      <c r="AD4" s="4">
        <v>0.5714285714285714</v>
      </c>
      <c r="AE4">
        <v>7</v>
      </c>
      <c r="AF4">
        <v>7</v>
      </c>
      <c r="AG4">
        <v>14</v>
      </c>
      <c r="AH4" s="4">
        <v>0.5</v>
      </c>
      <c r="AI4">
        <v>10</v>
      </c>
      <c r="AJ4">
        <v>2</v>
      </c>
      <c r="AK4">
        <v>12</v>
      </c>
      <c r="AL4" s="4">
        <v>0.16666666666666666</v>
      </c>
      <c r="AM4">
        <v>3</v>
      </c>
      <c r="AN4">
        <v>9</v>
      </c>
      <c r="AO4">
        <v>12</v>
      </c>
      <c r="AP4" s="4">
        <v>0.75</v>
      </c>
      <c r="AQ4">
        <v>9</v>
      </c>
      <c r="AR4">
        <v>13</v>
      </c>
      <c r="AS4">
        <v>22</v>
      </c>
      <c r="AT4" s="4">
        <v>0.59090909090909094</v>
      </c>
      <c r="AU4">
        <v>6</v>
      </c>
      <c r="AV4">
        <v>4</v>
      </c>
      <c r="AW4">
        <v>10</v>
      </c>
      <c r="AX4" s="4">
        <v>0.4</v>
      </c>
      <c r="AY4" s="33" t="s">
        <v>526</v>
      </c>
      <c r="AZ4" t="s">
        <v>552</v>
      </c>
      <c r="BA4" t="str">
        <f t="shared" si="0"/>
        <v>Proportion of BKA England</v>
      </c>
      <c r="BB4" s="4">
        <v>0.49722494286647079</v>
      </c>
      <c r="BC4" s="4">
        <v>0.51047619047619053</v>
      </c>
      <c r="BD4" s="4">
        <v>0.55058139534883721</v>
      </c>
    </row>
    <row r="5" spans="1:56" x14ac:dyDescent="0.25">
      <c r="A5" t="s">
        <v>117</v>
      </c>
      <c r="B5" t="s">
        <v>116</v>
      </c>
      <c r="C5">
        <v>14</v>
      </c>
      <c r="D5">
        <v>26</v>
      </c>
      <c r="E5">
        <v>40</v>
      </c>
      <c r="F5" s="4">
        <v>0.65</v>
      </c>
      <c r="G5">
        <v>9</v>
      </c>
      <c r="H5">
        <v>17</v>
      </c>
      <c r="I5">
        <v>26</v>
      </c>
      <c r="J5" s="4">
        <v>0.65384615384615385</v>
      </c>
      <c r="K5">
        <v>11</v>
      </c>
      <c r="L5">
        <v>21</v>
      </c>
      <c r="M5">
        <v>32</v>
      </c>
      <c r="N5" s="4">
        <v>0.65625</v>
      </c>
      <c r="O5">
        <v>8</v>
      </c>
      <c r="P5">
        <v>22</v>
      </c>
      <c r="Q5">
        <v>30</v>
      </c>
      <c r="R5" s="4">
        <v>0.73333333333333328</v>
      </c>
      <c r="S5">
        <v>24</v>
      </c>
      <c r="T5">
        <v>20</v>
      </c>
      <c r="U5">
        <v>44</v>
      </c>
      <c r="V5" s="4">
        <v>0.45454545454545453</v>
      </c>
      <c r="W5">
        <v>7</v>
      </c>
      <c r="X5">
        <v>17</v>
      </c>
      <c r="Y5">
        <v>24</v>
      </c>
      <c r="Z5" s="4">
        <v>0.70833333333333337</v>
      </c>
      <c r="AA5">
        <v>18</v>
      </c>
      <c r="AB5">
        <v>17</v>
      </c>
      <c r="AC5">
        <v>35</v>
      </c>
      <c r="AD5" s="4">
        <v>0.48571428571428571</v>
      </c>
      <c r="AE5">
        <v>21</v>
      </c>
      <c r="AF5">
        <v>25</v>
      </c>
      <c r="AG5">
        <v>46</v>
      </c>
      <c r="AH5" s="4">
        <v>0.54347826086956519</v>
      </c>
      <c r="AI5">
        <v>10</v>
      </c>
      <c r="AJ5">
        <v>25</v>
      </c>
      <c r="AK5">
        <v>35</v>
      </c>
      <c r="AL5" s="4">
        <v>0.7142857142857143</v>
      </c>
      <c r="AM5">
        <v>17</v>
      </c>
      <c r="AN5">
        <v>19</v>
      </c>
      <c r="AO5">
        <v>36</v>
      </c>
      <c r="AP5" s="4">
        <v>0.52777777777777779</v>
      </c>
      <c r="AQ5">
        <v>19</v>
      </c>
      <c r="AR5">
        <v>26</v>
      </c>
      <c r="AS5">
        <v>45</v>
      </c>
      <c r="AT5" s="4">
        <v>0.57777777777777772</v>
      </c>
      <c r="AU5">
        <v>20</v>
      </c>
      <c r="AV5">
        <v>28</v>
      </c>
      <c r="AW5">
        <v>48</v>
      </c>
      <c r="AX5" s="4">
        <v>0.58333333333333337</v>
      </c>
      <c r="AY5" s="33" t="s">
        <v>531</v>
      </c>
      <c r="AZ5" t="s">
        <v>552</v>
      </c>
      <c r="BA5" t="str">
        <f t="shared" si="0"/>
        <v>Proportion of BKA Northern Ireland</v>
      </c>
      <c r="BB5" s="4">
        <v>0.671875</v>
      </c>
      <c r="BC5" s="4">
        <v>0.53020134228187921</v>
      </c>
      <c r="BD5" s="4">
        <v>0.59756097560975607</v>
      </c>
    </row>
    <row r="6" spans="1:56" x14ac:dyDescent="0.25">
      <c r="A6" t="s">
        <v>1</v>
      </c>
      <c r="B6" t="s">
        <v>0</v>
      </c>
      <c r="C6">
        <v>10</v>
      </c>
      <c r="D6">
        <v>9</v>
      </c>
      <c r="E6">
        <v>19</v>
      </c>
      <c r="F6" s="4">
        <v>0.47368421052631576</v>
      </c>
      <c r="G6">
        <v>9</v>
      </c>
      <c r="H6">
        <v>7</v>
      </c>
      <c r="I6">
        <v>16</v>
      </c>
      <c r="J6" s="4">
        <v>0.4375</v>
      </c>
      <c r="K6">
        <v>5</v>
      </c>
      <c r="L6">
        <v>10</v>
      </c>
      <c r="M6">
        <v>15</v>
      </c>
      <c r="N6" s="4">
        <v>0.66666666666666663</v>
      </c>
      <c r="O6">
        <v>9</v>
      </c>
      <c r="P6">
        <v>9</v>
      </c>
      <c r="Q6">
        <v>18</v>
      </c>
      <c r="R6" s="4">
        <v>0.5</v>
      </c>
      <c r="S6">
        <v>11</v>
      </c>
      <c r="T6">
        <v>11</v>
      </c>
      <c r="U6">
        <v>22</v>
      </c>
      <c r="V6" s="4">
        <v>0.5</v>
      </c>
      <c r="W6">
        <v>5</v>
      </c>
      <c r="X6">
        <v>8</v>
      </c>
      <c r="Y6">
        <v>13</v>
      </c>
      <c r="Z6" s="4">
        <v>0.61538461538461542</v>
      </c>
      <c r="AA6">
        <v>7</v>
      </c>
      <c r="AB6">
        <v>5</v>
      </c>
      <c r="AC6">
        <v>12</v>
      </c>
      <c r="AD6" s="4">
        <v>0.41666666666666669</v>
      </c>
      <c r="AE6">
        <v>11</v>
      </c>
      <c r="AF6">
        <v>10</v>
      </c>
      <c r="AG6">
        <v>21</v>
      </c>
      <c r="AH6" s="4">
        <v>0.47619047619047616</v>
      </c>
      <c r="AI6">
        <v>13</v>
      </c>
      <c r="AJ6">
        <v>11</v>
      </c>
      <c r="AK6">
        <v>24</v>
      </c>
      <c r="AL6" s="4">
        <v>0.45833333333333331</v>
      </c>
      <c r="AM6">
        <v>12</v>
      </c>
      <c r="AN6">
        <v>9</v>
      </c>
      <c r="AO6">
        <v>21</v>
      </c>
      <c r="AP6" s="4">
        <v>0.42857142857142855</v>
      </c>
      <c r="AQ6">
        <v>7</v>
      </c>
      <c r="AR6">
        <v>12</v>
      </c>
      <c r="AS6">
        <v>19</v>
      </c>
      <c r="AT6" s="4">
        <v>0.63157894736842102</v>
      </c>
      <c r="AU6">
        <v>15</v>
      </c>
      <c r="AV6">
        <v>12</v>
      </c>
      <c r="AW6">
        <v>27</v>
      </c>
      <c r="AX6" s="4">
        <v>0.44444444444444442</v>
      </c>
      <c r="AY6" s="33" t="s">
        <v>527</v>
      </c>
      <c r="AZ6" t="s">
        <v>552</v>
      </c>
      <c r="BA6" t="str">
        <f t="shared" si="0"/>
        <v>Proportion of BKA Wales</v>
      </c>
      <c r="BB6" s="4">
        <v>0.50312500000000004</v>
      </c>
      <c r="BC6" s="4">
        <v>0.49386503067484666</v>
      </c>
      <c r="BD6" s="4">
        <v>0.50913838120104438</v>
      </c>
    </row>
    <row r="7" spans="1:56" x14ac:dyDescent="0.25">
      <c r="A7" t="s">
        <v>13</v>
      </c>
      <c r="B7" t="s">
        <v>12</v>
      </c>
      <c r="C7">
        <v>2</v>
      </c>
      <c r="D7">
        <v>1</v>
      </c>
      <c r="E7">
        <v>3</v>
      </c>
      <c r="F7" s="4">
        <v>0.33333333333333331</v>
      </c>
      <c r="G7">
        <v>8</v>
      </c>
      <c r="H7">
        <v>2</v>
      </c>
      <c r="I7">
        <v>10</v>
      </c>
      <c r="J7" s="4">
        <v>0.2</v>
      </c>
      <c r="K7">
        <v>6</v>
      </c>
      <c r="L7">
        <v>2</v>
      </c>
      <c r="M7">
        <v>8</v>
      </c>
      <c r="N7" s="4">
        <v>0.25</v>
      </c>
      <c r="O7">
        <v>9</v>
      </c>
      <c r="P7">
        <v>3</v>
      </c>
      <c r="Q7">
        <v>12</v>
      </c>
      <c r="R7" s="4">
        <v>0.25</v>
      </c>
      <c r="S7">
        <v>3</v>
      </c>
      <c r="T7">
        <v>0</v>
      </c>
      <c r="U7">
        <v>3</v>
      </c>
      <c r="V7" s="4">
        <v>0</v>
      </c>
      <c r="W7">
        <v>4</v>
      </c>
      <c r="X7">
        <v>2</v>
      </c>
      <c r="Y7">
        <v>6</v>
      </c>
      <c r="Z7" s="4">
        <v>0.33333333333333331</v>
      </c>
      <c r="AA7">
        <v>3</v>
      </c>
      <c r="AB7">
        <v>4</v>
      </c>
      <c r="AC7">
        <v>7</v>
      </c>
      <c r="AD7" s="4">
        <v>0.5714285714285714</v>
      </c>
      <c r="AE7">
        <v>9</v>
      </c>
      <c r="AF7">
        <v>5</v>
      </c>
      <c r="AG7">
        <v>14</v>
      </c>
      <c r="AH7" s="4">
        <v>0.35714285714285715</v>
      </c>
      <c r="AI7">
        <v>8</v>
      </c>
      <c r="AJ7">
        <v>4</v>
      </c>
      <c r="AK7">
        <v>12</v>
      </c>
      <c r="AL7" s="4">
        <v>0.33333333333333331</v>
      </c>
      <c r="AM7">
        <v>7</v>
      </c>
      <c r="AN7">
        <v>3</v>
      </c>
      <c r="AO7">
        <v>10</v>
      </c>
      <c r="AP7" s="4">
        <v>0.3</v>
      </c>
      <c r="AQ7">
        <v>4</v>
      </c>
      <c r="AR7">
        <v>4</v>
      </c>
      <c r="AS7">
        <v>8</v>
      </c>
      <c r="AT7" s="4">
        <v>0.5</v>
      </c>
      <c r="AU7">
        <v>7</v>
      </c>
      <c r="AV7">
        <v>8</v>
      </c>
      <c r="AW7">
        <v>15</v>
      </c>
      <c r="AX7" s="4">
        <v>0.53333333333333333</v>
      </c>
      <c r="AY7" s="33" t="s">
        <v>526</v>
      </c>
      <c r="AZ7" t="s">
        <v>552</v>
      </c>
      <c r="BA7" t="str">
        <f t="shared" si="0"/>
        <v>Proportion of BKA England</v>
      </c>
      <c r="BB7" s="4">
        <v>0.49722494286647079</v>
      </c>
      <c r="BC7" s="4">
        <v>0.51047619047619053</v>
      </c>
      <c r="BD7" s="4">
        <v>0.55058139534883721</v>
      </c>
    </row>
    <row r="8" spans="1:56" x14ac:dyDescent="0.25">
      <c r="A8" t="s">
        <v>30</v>
      </c>
      <c r="B8" t="s">
        <v>29</v>
      </c>
      <c r="C8">
        <v>12</v>
      </c>
      <c r="D8">
        <v>11</v>
      </c>
      <c r="E8">
        <v>23</v>
      </c>
      <c r="F8" s="4">
        <v>0.47826086956521741</v>
      </c>
      <c r="G8">
        <v>7</v>
      </c>
      <c r="H8">
        <v>7</v>
      </c>
      <c r="I8">
        <v>14</v>
      </c>
      <c r="J8" s="4">
        <v>0.5</v>
      </c>
      <c r="K8">
        <v>7</v>
      </c>
      <c r="L8">
        <v>10</v>
      </c>
      <c r="M8">
        <v>17</v>
      </c>
      <c r="N8" s="4">
        <v>0.58823529411764708</v>
      </c>
      <c r="O8">
        <v>5</v>
      </c>
      <c r="P8">
        <v>15</v>
      </c>
      <c r="Q8">
        <v>20</v>
      </c>
      <c r="R8" s="4">
        <v>0.75</v>
      </c>
      <c r="S8">
        <v>7</v>
      </c>
      <c r="T8">
        <v>10</v>
      </c>
      <c r="U8">
        <v>17</v>
      </c>
      <c r="V8" s="4">
        <v>0.58823529411764708</v>
      </c>
      <c r="W8">
        <v>8</v>
      </c>
      <c r="X8">
        <v>8</v>
      </c>
      <c r="Y8">
        <v>16</v>
      </c>
      <c r="Z8" s="4">
        <v>0.5</v>
      </c>
      <c r="AA8">
        <v>12</v>
      </c>
      <c r="AB8">
        <v>18</v>
      </c>
      <c r="AC8">
        <v>30</v>
      </c>
      <c r="AD8" s="4">
        <v>0.6</v>
      </c>
      <c r="AE8">
        <v>9</v>
      </c>
      <c r="AF8">
        <v>18</v>
      </c>
      <c r="AG8">
        <v>27</v>
      </c>
      <c r="AH8" s="4">
        <v>0.66666666666666663</v>
      </c>
      <c r="AI8">
        <v>10</v>
      </c>
      <c r="AJ8">
        <v>13</v>
      </c>
      <c r="AK8">
        <v>23</v>
      </c>
      <c r="AL8" s="4">
        <v>0.56521739130434778</v>
      </c>
      <c r="AM8">
        <v>7</v>
      </c>
      <c r="AN8">
        <v>15</v>
      </c>
      <c r="AO8">
        <v>22</v>
      </c>
      <c r="AP8" s="4">
        <v>0.68181818181818177</v>
      </c>
      <c r="AQ8">
        <v>6</v>
      </c>
      <c r="AR8">
        <v>21</v>
      </c>
      <c r="AS8">
        <v>27</v>
      </c>
      <c r="AT8" s="4">
        <v>0.77777777777777779</v>
      </c>
      <c r="AU8">
        <v>11</v>
      </c>
      <c r="AV8">
        <v>21</v>
      </c>
      <c r="AW8">
        <v>32</v>
      </c>
      <c r="AX8" s="4">
        <v>0.65625</v>
      </c>
      <c r="AY8" s="33" t="s">
        <v>526</v>
      </c>
      <c r="AZ8" t="s">
        <v>552</v>
      </c>
      <c r="BA8" t="str">
        <f t="shared" si="0"/>
        <v>Proportion of BKA England</v>
      </c>
      <c r="BB8" s="4">
        <v>0.49722494286647079</v>
      </c>
      <c r="BC8" s="4">
        <v>0.51047619047619053</v>
      </c>
      <c r="BD8" s="4">
        <v>0.55058139534883721</v>
      </c>
    </row>
    <row r="9" spans="1:56" x14ac:dyDescent="0.25">
      <c r="A9" t="s">
        <v>4</v>
      </c>
      <c r="B9" t="s">
        <v>3</v>
      </c>
      <c r="C9">
        <v>17</v>
      </c>
      <c r="D9">
        <v>10</v>
      </c>
      <c r="E9">
        <v>27</v>
      </c>
      <c r="F9" s="4">
        <v>0.37037037037037035</v>
      </c>
      <c r="G9">
        <v>7</v>
      </c>
      <c r="H9">
        <v>7</v>
      </c>
      <c r="I9">
        <v>14</v>
      </c>
      <c r="J9" s="4">
        <v>0.5</v>
      </c>
      <c r="K9">
        <v>6</v>
      </c>
      <c r="L9">
        <v>12</v>
      </c>
      <c r="M9">
        <v>18</v>
      </c>
      <c r="N9" s="4">
        <v>0.66666666666666663</v>
      </c>
      <c r="O9">
        <v>15</v>
      </c>
      <c r="P9">
        <v>17</v>
      </c>
      <c r="Q9">
        <v>32</v>
      </c>
      <c r="R9" s="4">
        <v>0.53125</v>
      </c>
      <c r="S9">
        <v>16</v>
      </c>
      <c r="T9">
        <v>17</v>
      </c>
      <c r="U9">
        <v>33</v>
      </c>
      <c r="V9" s="4">
        <v>0.51515151515151514</v>
      </c>
      <c r="W9">
        <v>17</v>
      </c>
      <c r="X9">
        <v>11</v>
      </c>
      <c r="Y9">
        <v>28</v>
      </c>
      <c r="Z9" s="4">
        <v>0.39285714285714285</v>
      </c>
      <c r="AA9">
        <v>8</v>
      </c>
      <c r="AB9">
        <v>16</v>
      </c>
      <c r="AC9">
        <v>24</v>
      </c>
      <c r="AD9" s="4">
        <v>0.66666666666666663</v>
      </c>
      <c r="AE9">
        <v>9</v>
      </c>
      <c r="AF9">
        <v>20</v>
      </c>
      <c r="AG9">
        <v>29</v>
      </c>
      <c r="AH9" s="4">
        <v>0.68965517241379315</v>
      </c>
      <c r="AI9">
        <v>12</v>
      </c>
      <c r="AJ9">
        <v>21</v>
      </c>
      <c r="AK9">
        <v>33</v>
      </c>
      <c r="AL9" s="4">
        <v>0.63636363636363635</v>
      </c>
      <c r="AM9">
        <v>21</v>
      </c>
      <c r="AN9">
        <v>23</v>
      </c>
      <c r="AO9">
        <v>44</v>
      </c>
      <c r="AP9" s="4">
        <v>0.52272727272727271</v>
      </c>
      <c r="AQ9">
        <v>27</v>
      </c>
      <c r="AR9">
        <v>22</v>
      </c>
      <c r="AS9">
        <v>49</v>
      </c>
      <c r="AT9" s="4">
        <v>0.44897959183673469</v>
      </c>
      <c r="AU9">
        <v>22</v>
      </c>
      <c r="AV9">
        <v>30</v>
      </c>
      <c r="AW9">
        <v>52</v>
      </c>
      <c r="AX9" s="4">
        <v>0.57692307692307687</v>
      </c>
      <c r="AY9" s="33" t="s">
        <v>527</v>
      </c>
      <c r="AZ9" t="s">
        <v>552</v>
      </c>
      <c r="BA9" t="str">
        <f t="shared" si="0"/>
        <v>Proportion of BKA Wales</v>
      </c>
      <c r="BB9" s="4">
        <v>0.50312500000000004</v>
      </c>
      <c r="BC9" s="4">
        <v>0.49386503067484666</v>
      </c>
      <c r="BD9" s="4">
        <v>0.50913838120104438</v>
      </c>
    </row>
    <row r="10" spans="1:56" x14ac:dyDescent="0.25">
      <c r="A10" t="s">
        <v>45</v>
      </c>
      <c r="B10" t="s">
        <v>44</v>
      </c>
      <c r="C10">
        <v>10</v>
      </c>
      <c r="D10">
        <v>12</v>
      </c>
      <c r="E10">
        <v>22</v>
      </c>
      <c r="F10" s="4">
        <v>0.54545454545454541</v>
      </c>
      <c r="G10">
        <v>15</v>
      </c>
      <c r="H10">
        <v>9</v>
      </c>
      <c r="I10">
        <v>24</v>
      </c>
      <c r="J10" s="4">
        <v>0.375</v>
      </c>
      <c r="K10">
        <v>10</v>
      </c>
      <c r="L10">
        <v>10</v>
      </c>
      <c r="M10">
        <v>20</v>
      </c>
      <c r="N10" s="4">
        <v>0.5</v>
      </c>
      <c r="O10">
        <v>10</v>
      </c>
      <c r="P10">
        <v>7</v>
      </c>
      <c r="Q10">
        <v>17</v>
      </c>
      <c r="R10" s="4">
        <v>0.41176470588235292</v>
      </c>
      <c r="S10">
        <v>10</v>
      </c>
      <c r="T10">
        <v>7</v>
      </c>
      <c r="U10">
        <v>17</v>
      </c>
      <c r="V10" s="4">
        <v>0.41176470588235292</v>
      </c>
      <c r="W10">
        <v>11</v>
      </c>
      <c r="X10">
        <v>9</v>
      </c>
      <c r="Y10">
        <v>20</v>
      </c>
      <c r="Z10" s="4">
        <v>0.45</v>
      </c>
      <c r="AA10">
        <v>17</v>
      </c>
      <c r="AB10">
        <v>7</v>
      </c>
      <c r="AC10">
        <v>24</v>
      </c>
      <c r="AD10" s="4">
        <v>0.29166666666666669</v>
      </c>
      <c r="AE10">
        <v>16</v>
      </c>
      <c r="AF10">
        <v>12</v>
      </c>
      <c r="AG10">
        <v>28</v>
      </c>
      <c r="AH10" s="4">
        <v>0.42857142857142855</v>
      </c>
      <c r="AI10">
        <v>12</v>
      </c>
      <c r="AJ10">
        <v>9</v>
      </c>
      <c r="AK10">
        <v>21</v>
      </c>
      <c r="AL10" s="4">
        <v>0.42857142857142855</v>
      </c>
      <c r="AM10">
        <v>12</v>
      </c>
      <c r="AN10">
        <v>14</v>
      </c>
      <c r="AO10">
        <v>26</v>
      </c>
      <c r="AP10" s="4">
        <v>0.53846153846153844</v>
      </c>
      <c r="AQ10">
        <v>8</v>
      </c>
      <c r="AR10">
        <v>10</v>
      </c>
      <c r="AS10">
        <v>18</v>
      </c>
      <c r="AT10" s="4">
        <v>0.55555555555555558</v>
      </c>
      <c r="AU10">
        <v>11</v>
      </c>
      <c r="AV10">
        <v>11</v>
      </c>
      <c r="AW10">
        <v>22</v>
      </c>
      <c r="AX10" s="4">
        <v>0.5</v>
      </c>
      <c r="AY10" s="33" t="s">
        <v>526</v>
      </c>
      <c r="AZ10" t="s">
        <v>552</v>
      </c>
      <c r="BA10" t="str">
        <f t="shared" si="0"/>
        <v>Proportion of BKA England</v>
      </c>
      <c r="BB10" s="4">
        <v>0.49722494286647079</v>
      </c>
      <c r="BC10" s="4">
        <v>0.51047619047619053</v>
      </c>
      <c r="BD10" s="4">
        <v>0.55058139534883721</v>
      </c>
    </row>
    <row r="11" spans="1:56" x14ac:dyDescent="0.25">
      <c r="A11" t="s">
        <v>128</v>
      </c>
      <c r="B11" t="s">
        <v>57</v>
      </c>
      <c r="C11">
        <v>3</v>
      </c>
      <c r="D11">
        <v>5</v>
      </c>
      <c r="E11">
        <v>8</v>
      </c>
      <c r="F11" s="4">
        <v>0.625</v>
      </c>
      <c r="G11">
        <v>8</v>
      </c>
      <c r="H11">
        <v>4</v>
      </c>
      <c r="I11">
        <v>12</v>
      </c>
      <c r="J11" s="4">
        <v>0.33333333333333331</v>
      </c>
      <c r="K11">
        <v>4</v>
      </c>
      <c r="L11">
        <v>2</v>
      </c>
      <c r="M11">
        <v>6</v>
      </c>
      <c r="N11" s="4">
        <v>0.33333333333333331</v>
      </c>
      <c r="O11">
        <v>0</v>
      </c>
      <c r="P11">
        <v>0</v>
      </c>
      <c r="Q11">
        <v>0</v>
      </c>
      <c r="R11" s="4" t="s">
        <v>122</v>
      </c>
      <c r="S11">
        <v>0</v>
      </c>
      <c r="T11">
        <v>0</v>
      </c>
      <c r="U11">
        <v>0</v>
      </c>
      <c r="V11" s="4" t="s">
        <v>122</v>
      </c>
      <c r="W11">
        <v>0</v>
      </c>
      <c r="X11">
        <v>0</v>
      </c>
      <c r="Y11">
        <v>0</v>
      </c>
      <c r="Z11" s="4" t="s">
        <v>122</v>
      </c>
      <c r="AA11">
        <v>1</v>
      </c>
      <c r="AB11">
        <v>1</v>
      </c>
      <c r="AC11">
        <v>2</v>
      </c>
      <c r="AD11" s="4">
        <v>0.5</v>
      </c>
      <c r="AE11">
        <v>2</v>
      </c>
      <c r="AF11">
        <v>1</v>
      </c>
      <c r="AG11">
        <v>3</v>
      </c>
      <c r="AH11" s="4">
        <v>0.33333333333333331</v>
      </c>
      <c r="AI11">
        <v>1</v>
      </c>
      <c r="AJ11">
        <v>0</v>
      </c>
      <c r="AK11">
        <v>1</v>
      </c>
      <c r="AL11" s="4">
        <v>0</v>
      </c>
      <c r="AM11">
        <v>0</v>
      </c>
      <c r="AN11">
        <v>1</v>
      </c>
      <c r="AO11">
        <v>1</v>
      </c>
      <c r="AP11" s="4">
        <v>1</v>
      </c>
      <c r="AQ11">
        <v>3</v>
      </c>
      <c r="AR11">
        <v>1</v>
      </c>
      <c r="AS11">
        <v>4</v>
      </c>
      <c r="AT11" s="4">
        <v>0.25</v>
      </c>
      <c r="AU11">
        <v>0</v>
      </c>
      <c r="AV11">
        <v>2</v>
      </c>
      <c r="AW11">
        <v>2</v>
      </c>
      <c r="AX11" s="4">
        <v>1</v>
      </c>
      <c r="AY11" s="33" t="s">
        <v>526</v>
      </c>
      <c r="AZ11" t="s">
        <v>552</v>
      </c>
      <c r="BA11" t="str">
        <f t="shared" si="0"/>
        <v>Proportion of BKA England</v>
      </c>
      <c r="BB11" s="4">
        <v>0.49722494286647079</v>
      </c>
      <c r="BC11" s="4">
        <v>0.51047619047619053</v>
      </c>
      <c r="BD11" s="4">
        <v>0.55058139534883721</v>
      </c>
    </row>
    <row r="12" spans="1:56" x14ac:dyDescent="0.25">
      <c r="A12" t="s">
        <v>89</v>
      </c>
      <c r="B12" t="s">
        <v>88</v>
      </c>
      <c r="C12">
        <v>3</v>
      </c>
      <c r="D12">
        <v>5</v>
      </c>
      <c r="E12">
        <v>8</v>
      </c>
      <c r="F12" s="4">
        <v>0.625</v>
      </c>
      <c r="G12">
        <v>0</v>
      </c>
      <c r="H12">
        <v>5</v>
      </c>
      <c r="I12">
        <v>5</v>
      </c>
      <c r="J12" s="4">
        <v>1</v>
      </c>
      <c r="K12">
        <v>0</v>
      </c>
      <c r="L12">
        <v>3</v>
      </c>
      <c r="M12">
        <v>3</v>
      </c>
      <c r="N12" s="4">
        <v>1</v>
      </c>
      <c r="O12">
        <v>4</v>
      </c>
      <c r="P12">
        <v>3</v>
      </c>
      <c r="Q12">
        <v>7</v>
      </c>
      <c r="R12" s="4">
        <v>0.42857142857142855</v>
      </c>
      <c r="S12">
        <v>0</v>
      </c>
      <c r="T12">
        <v>1</v>
      </c>
      <c r="U12">
        <v>1</v>
      </c>
      <c r="V12" s="4">
        <v>1</v>
      </c>
      <c r="W12">
        <v>3</v>
      </c>
      <c r="X12">
        <v>0</v>
      </c>
      <c r="Y12">
        <v>3</v>
      </c>
      <c r="Z12" s="4">
        <v>0</v>
      </c>
      <c r="AA12">
        <v>0</v>
      </c>
      <c r="AB12">
        <v>4</v>
      </c>
      <c r="AC12">
        <v>4</v>
      </c>
      <c r="AD12" s="4">
        <v>1</v>
      </c>
      <c r="AE12">
        <v>2</v>
      </c>
      <c r="AF12">
        <v>4</v>
      </c>
      <c r="AG12">
        <v>6</v>
      </c>
      <c r="AH12" s="4">
        <v>0.66666666666666663</v>
      </c>
      <c r="AI12">
        <v>2</v>
      </c>
      <c r="AJ12">
        <v>1</v>
      </c>
      <c r="AK12">
        <v>3</v>
      </c>
      <c r="AL12" s="4">
        <v>0.33333333333333331</v>
      </c>
      <c r="AM12">
        <v>3</v>
      </c>
      <c r="AN12">
        <v>3</v>
      </c>
      <c r="AO12">
        <v>6</v>
      </c>
      <c r="AP12" s="4">
        <v>0.5</v>
      </c>
      <c r="AQ12">
        <v>3</v>
      </c>
      <c r="AR12">
        <v>6</v>
      </c>
      <c r="AS12">
        <v>9</v>
      </c>
      <c r="AT12" s="4">
        <v>0.66666666666666663</v>
      </c>
      <c r="AU12">
        <v>3</v>
      </c>
      <c r="AV12">
        <v>7</v>
      </c>
      <c r="AW12">
        <v>10</v>
      </c>
      <c r="AX12" s="4">
        <v>0.7</v>
      </c>
      <c r="AY12" s="33" t="s">
        <v>526</v>
      </c>
      <c r="AZ12" t="s">
        <v>552</v>
      </c>
      <c r="BA12" t="str">
        <f t="shared" si="0"/>
        <v>Proportion of BKA England</v>
      </c>
      <c r="BB12" s="4">
        <v>0.49722494286647079</v>
      </c>
      <c r="BC12" s="4">
        <v>0.51047619047619053</v>
      </c>
      <c r="BD12" s="4">
        <v>0.55058139534883721</v>
      </c>
    </row>
    <row r="13" spans="1:56" x14ac:dyDescent="0.25">
      <c r="A13" t="s">
        <v>81</v>
      </c>
      <c r="B13" t="s">
        <v>80</v>
      </c>
      <c r="C13">
        <v>1</v>
      </c>
      <c r="D13">
        <v>5</v>
      </c>
      <c r="E13">
        <v>6</v>
      </c>
      <c r="F13" s="4">
        <v>0.83333333333333337</v>
      </c>
      <c r="G13">
        <v>2</v>
      </c>
      <c r="H13">
        <v>5</v>
      </c>
      <c r="I13">
        <v>7</v>
      </c>
      <c r="J13" s="4">
        <v>0.7142857142857143</v>
      </c>
      <c r="K13">
        <v>7</v>
      </c>
      <c r="L13">
        <v>8</v>
      </c>
      <c r="M13">
        <v>15</v>
      </c>
      <c r="N13" s="4">
        <v>0.53333333333333333</v>
      </c>
      <c r="O13">
        <v>5</v>
      </c>
      <c r="P13">
        <v>4</v>
      </c>
      <c r="Q13">
        <v>9</v>
      </c>
      <c r="R13" s="4">
        <v>0.44444444444444442</v>
      </c>
      <c r="S13">
        <v>1</v>
      </c>
      <c r="T13">
        <v>6</v>
      </c>
      <c r="U13">
        <v>7</v>
      </c>
      <c r="V13" s="4">
        <v>0.8571428571428571</v>
      </c>
      <c r="W13">
        <v>14</v>
      </c>
      <c r="X13">
        <v>7</v>
      </c>
      <c r="Y13">
        <v>21</v>
      </c>
      <c r="Z13" s="4">
        <v>0.33333333333333331</v>
      </c>
      <c r="AA13">
        <v>9</v>
      </c>
      <c r="AB13">
        <v>1</v>
      </c>
      <c r="AC13">
        <v>10</v>
      </c>
      <c r="AD13" s="4">
        <v>0.1</v>
      </c>
      <c r="AE13">
        <v>7</v>
      </c>
      <c r="AF13">
        <v>5</v>
      </c>
      <c r="AG13">
        <v>12</v>
      </c>
      <c r="AH13" s="4">
        <v>0.41666666666666669</v>
      </c>
      <c r="AI13">
        <v>8</v>
      </c>
      <c r="AJ13">
        <v>7</v>
      </c>
      <c r="AK13">
        <v>15</v>
      </c>
      <c r="AL13" s="4">
        <v>0.46666666666666667</v>
      </c>
      <c r="AM13">
        <v>6</v>
      </c>
      <c r="AN13">
        <v>3</v>
      </c>
      <c r="AO13">
        <v>9</v>
      </c>
      <c r="AP13" s="4">
        <v>0.33333333333333331</v>
      </c>
      <c r="AQ13">
        <v>3</v>
      </c>
      <c r="AR13">
        <v>4</v>
      </c>
      <c r="AS13">
        <v>7</v>
      </c>
      <c r="AT13" s="4">
        <v>0.5714285714285714</v>
      </c>
      <c r="AU13">
        <v>5</v>
      </c>
      <c r="AV13">
        <v>2</v>
      </c>
      <c r="AW13">
        <v>7</v>
      </c>
      <c r="AX13" s="4">
        <v>0.2857142857142857</v>
      </c>
      <c r="AY13" s="33" t="s">
        <v>526</v>
      </c>
      <c r="AZ13" t="s">
        <v>552</v>
      </c>
      <c r="BA13" t="str">
        <f t="shared" si="0"/>
        <v>Proportion of BKA England</v>
      </c>
      <c r="BB13" s="4">
        <v>0.49722494286647079</v>
      </c>
      <c r="BC13" s="4">
        <v>0.51047619047619053</v>
      </c>
      <c r="BD13" s="4">
        <v>0.55058139534883721</v>
      </c>
    </row>
    <row r="14" spans="1:56" x14ac:dyDescent="0.25">
      <c r="A14" t="s">
        <v>97</v>
      </c>
      <c r="B14" t="s">
        <v>96</v>
      </c>
      <c r="C14">
        <v>5</v>
      </c>
      <c r="D14">
        <v>7</v>
      </c>
      <c r="E14">
        <v>12</v>
      </c>
      <c r="F14" s="4">
        <v>0.58333333333333337</v>
      </c>
      <c r="G14">
        <v>3</v>
      </c>
      <c r="H14">
        <v>9</v>
      </c>
      <c r="I14">
        <v>12</v>
      </c>
      <c r="J14" s="4">
        <v>0.75</v>
      </c>
      <c r="K14">
        <v>3</v>
      </c>
      <c r="L14">
        <v>7</v>
      </c>
      <c r="M14">
        <v>10</v>
      </c>
      <c r="N14" s="4">
        <v>0.7</v>
      </c>
      <c r="O14">
        <v>8</v>
      </c>
      <c r="P14">
        <v>3</v>
      </c>
      <c r="Q14">
        <v>11</v>
      </c>
      <c r="R14" s="4">
        <v>0.27272727272727271</v>
      </c>
      <c r="S14">
        <v>9</v>
      </c>
      <c r="T14">
        <v>11</v>
      </c>
      <c r="U14">
        <v>20</v>
      </c>
      <c r="V14" s="4">
        <v>0.55000000000000004</v>
      </c>
      <c r="W14">
        <v>7</v>
      </c>
      <c r="X14">
        <v>6</v>
      </c>
      <c r="Y14">
        <v>13</v>
      </c>
      <c r="Z14" s="4">
        <v>0.46153846153846156</v>
      </c>
      <c r="AA14">
        <v>8</v>
      </c>
      <c r="AB14">
        <v>4</v>
      </c>
      <c r="AC14">
        <v>12</v>
      </c>
      <c r="AD14" s="4">
        <v>0.33333333333333331</v>
      </c>
      <c r="AE14">
        <v>15</v>
      </c>
      <c r="AF14">
        <v>12</v>
      </c>
      <c r="AG14">
        <v>27</v>
      </c>
      <c r="AH14" s="4">
        <v>0.44444444444444442</v>
      </c>
      <c r="AI14">
        <v>7</v>
      </c>
      <c r="AJ14">
        <v>10</v>
      </c>
      <c r="AK14">
        <v>17</v>
      </c>
      <c r="AL14" s="4">
        <v>0.58823529411764708</v>
      </c>
      <c r="AM14">
        <v>5</v>
      </c>
      <c r="AN14">
        <v>9</v>
      </c>
      <c r="AO14">
        <v>14</v>
      </c>
      <c r="AP14" s="4">
        <v>0.6428571428571429</v>
      </c>
      <c r="AQ14">
        <v>4</v>
      </c>
      <c r="AR14">
        <v>6</v>
      </c>
      <c r="AS14">
        <v>10</v>
      </c>
      <c r="AT14" s="4">
        <v>0.6</v>
      </c>
      <c r="AU14">
        <v>8</v>
      </c>
      <c r="AV14">
        <v>11</v>
      </c>
      <c r="AW14">
        <v>19</v>
      </c>
      <c r="AX14" s="4">
        <v>0.57894736842105265</v>
      </c>
      <c r="AY14" s="33" t="s">
        <v>526</v>
      </c>
      <c r="AZ14" t="s">
        <v>552</v>
      </c>
      <c r="BA14" t="str">
        <f t="shared" si="0"/>
        <v>Proportion of BKA England</v>
      </c>
      <c r="BB14" s="4">
        <v>0.49722494286647079</v>
      </c>
      <c r="BC14" s="4">
        <v>0.51047619047619053</v>
      </c>
      <c r="BD14" s="4">
        <v>0.55058139534883721</v>
      </c>
    </row>
    <row r="15" spans="1:56" x14ac:dyDescent="0.25">
      <c r="A15" t="s">
        <v>121</v>
      </c>
      <c r="B15" t="s">
        <v>20</v>
      </c>
      <c r="C15">
        <v>1</v>
      </c>
      <c r="D15">
        <v>6</v>
      </c>
      <c r="E15">
        <v>7</v>
      </c>
      <c r="F15" s="4">
        <v>0.8571428571428571</v>
      </c>
      <c r="G15">
        <v>5</v>
      </c>
      <c r="H15">
        <v>0</v>
      </c>
      <c r="I15">
        <v>5</v>
      </c>
      <c r="J15" s="4">
        <v>0</v>
      </c>
      <c r="K15">
        <v>3</v>
      </c>
      <c r="L15">
        <v>4</v>
      </c>
      <c r="M15">
        <v>7</v>
      </c>
      <c r="N15" s="4">
        <v>0.5714285714285714</v>
      </c>
      <c r="O15">
        <v>10</v>
      </c>
      <c r="P15">
        <v>6</v>
      </c>
      <c r="Q15">
        <v>16</v>
      </c>
      <c r="R15" s="4">
        <v>0.375</v>
      </c>
      <c r="S15">
        <v>9</v>
      </c>
      <c r="T15">
        <v>6</v>
      </c>
      <c r="U15">
        <v>15</v>
      </c>
      <c r="V15" s="4">
        <v>0.4</v>
      </c>
      <c r="W15">
        <v>5</v>
      </c>
      <c r="X15">
        <v>7</v>
      </c>
      <c r="Y15">
        <v>12</v>
      </c>
      <c r="Z15" s="4">
        <v>0.58333333333333337</v>
      </c>
      <c r="AA15">
        <v>7</v>
      </c>
      <c r="AB15">
        <v>6</v>
      </c>
      <c r="AC15">
        <v>13</v>
      </c>
      <c r="AD15" s="4">
        <v>0.46153846153846156</v>
      </c>
      <c r="AE15">
        <v>6</v>
      </c>
      <c r="AF15">
        <v>10</v>
      </c>
      <c r="AG15">
        <v>16</v>
      </c>
      <c r="AH15" s="4">
        <v>0.625</v>
      </c>
      <c r="AI15">
        <v>11</v>
      </c>
      <c r="AJ15">
        <v>9</v>
      </c>
      <c r="AK15">
        <v>20</v>
      </c>
      <c r="AL15" s="4">
        <v>0.45</v>
      </c>
      <c r="AM15">
        <v>8</v>
      </c>
      <c r="AN15">
        <v>5</v>
      </c>
      <c r="AO15">
        <v>13</v>
      </c>
      <c r="AP15" s="4">
        <v>0.38461538461538464</v>
      </c>
      <c r="AQ15">
        <v>10</v>
      </c>
      <c r="AR15">
        <v>10</v>
      </c>
      <c r="AS15">
        <v>20</v>
      </c>
      <c r="AT15" s="4">
        <v>0.5</v>
      </c>
      <c r="AU15">
        <v>9</v>
      </c>
      <c r="AV15">
        <v>4</v>
      </c>
      <c r="AW15">
        <v>13</v>
      </c>
      <c r="AX15" s="4">
        <v>0.30769230769230771</v>
      </c>
      <c r="AY15" s="33" t="s">
        <v>526</v>
      </c>
      <c r="AZ15" t="s">
        <v>552</v>
      </c>
      <c r="BA15" t="str">
        <f t="shared" si="0"/>
        <v>Proportion of BKA England</v>
      </c>
      <c r="BB15" s="4">
        <v>0.49722494286647079</v>
      </c>
      <c r="BC15" s="4">
        <v>0.51047619047619053</v>
      </c>
      <c r="BD15" s="4">
        <v>0.55058139534883721</v>
      </c>
    </row>
    <row r="16" spans="1:56" x14ac:dyDescent="0.25">
      <c r="A16" t="s">
        <v>22</v>
      </c>
      <c r="B16" t="s">
        <v>21</v>
      </c>
      <c r="C16">
        <v>4</v>
      </c>
      <c r="D16">
        <v>12</v>
      </c>
      <c r="E16">
        <v>16</v>
      </c>
      <c r="F16" s="4">
        <v>0.75</v>
      </c>
      <c r="G16">
        <v>5</v>
      </c>
      <c r="H16">
        <v>9</v>
      </c>
      <c r="I16">
        <v>14</v>
      </c>
      <c r="J16" s="4">
        <v>0.6428571428571429</v>
      </c>
      <c r="K16">
        <v>12</v>
      </c>
      <c r="L16">
        <v>6</v>
      </c>
      <c r="M16">
        <v>18</v>
      </c>
      <c r="N16" s="4">
        <v>0.33333333333333331</v>
      </c>
      <c r="O16">
        <v>4</v>
      </c>
      <c r="P16">
        <v>5</v>
      </c>
      <c r="Q16">
        <v>9</v>
      </c>
      <c r="R16" s="4">
        <v>0.55555555555555558</v>
      </c>
      <c r="S16">
        <v>6</v>
      </c>
      <c r="T16">
        <v>9</v>
      </c>
      <c r="U16">
        <v>15</v>
      </c>
      <c r="V16" s="4">
        <v>0.6</v>
      </c>
      <c r="W16">
        <v>7</v>
      </c>
      <c r="X16">
        <v>9</v>
      </c>
      <c r="Y16">
        <v>16</v>
      </c>
      <c r="Z16" s="4">
        <v>0.5625</v>
      </c>
      <c r="AA16">
        <v>7</v>
      </c>
      <c r="AB16">
        <v>5</v>
      </c>
      <c r="AC16">
        <v>12</v>
      </c>
      <c r="AD16" s="4">
        <v>0.41666666666666669</v>
      </c>
      <c r="AE16">
        <v>8</v>
      </c>
      <c r="AF16">
        <v>8</v>
      </c>
      <c r="AG16">
        <v>16</v>
      </c>
      <c r="AH16" s="4">
        <v>0.5</v>
      </c>
      <c r="AI16">
        <v>7</v>
      </c>
      <c r="AJ16">
        <v>3</v>
      </c>
      <c r="AK16">
        <v>10</v>
      </c>
      <c r="AL16" s="4">
        <v>0.3</v>
      </c>
      <c r="AM16">
        <v>7</v>
      </c>
      <c r="AN16">
        <v>11</v>
      </c>
      <c r="AO16">
        <v>18</v>
      </c>
      <c r="AP16" s="4">
        <v>0.61111111111111116</v>
      </c>
      <c r="AQ16">
        <v>10</v>
      </c>
      <c r="AR16">
        <v>13</v>
      </c>
      <c r="AS16">
        <v>23</v>
      </c>
      <c r="AT16" s="4">
        <v>0.56521739130434778</v>
      </c>
      <c r="AU16">
        <v>17</v>
      </c>
      <c r="AV16">
        <v>13</v>
      </c>
      <c r="AW16">
        <v>30</v>
      </c>
      <c r="AX16" s="4">
        <v>0.43333333333333335</v>
      </c>
      <c r="AY16" s="33" t="s">
        <v>526</v>
      </c>
      <c r="AZ16" t="s">
        <v>552</v>
      </c>
      <c r="BA16" t="str">
        <f t="shared" si="0"/>
        <v>Proportion of BKA England</v>
      </c>
      <c r="BB16" s="4">
        <v>0.49722494286647079</v>
      </c>
      <c r="BC16" s="4">
        <v>0.51047619047619053</v>
      </c>
      <c r="BD16" s="4">
        <v>0.55058139534883721</v>
      </c>
    </row>
    <row r="17" spans="1:56" x14ac:dyDescent="0.25">
      <c r="A17" t="s">
        <v>73</v>
      </c>
      <c r="B17" t="s">
        <v>72</v>
      </c>
      <c r="C17">
        <v>1</v>
      </c>
      <c r="D17">
        <v>3</v>
      </c>
      <c r="E17">
        <v>4</v>
      </c>
      <c r="F17" s="4">
        <v>0.75</v>
      </c>
      <c r="G17">
        <v>5</v>
      </c>
      <c r="H17">
        <v>8</v>
      </c>
      <c r="I17">
        <v>13</v>
      </c>
      <c r="J17" s="4">
        <v>0.61538461538461542</v>
      </c>
      <c r="K17">
        <v>6</v>
      </c>
      <c r="L17">
        <v>6</v>
      </c>
      <c r="M17">
        <v>12</v>
      </c>
      <c r="N17" s="4">
        <v>0.5</v>
      </c>
      <c r="O17">
        <v>1</v>
      </c>
      <c r="P17">
        <v>2</v>
      </c>
      <c r="Q17">
        <v>3</v>
      </c>
      <c r="R17" s="4">
        <v>0.66666666666666663</v>
      </c>
      <c r="S17">
        <v>2</v>
      </c>
      <c r="T17">
        <v>3</v>
      </c>
      <c r="U17">
        <v>5</v>
      </c>
      <c r="V17" s="4">
        <v>0.6</v>
      </c>
      <c r="W17">
        <v>0</v>
      </c>
      <c r="X17">
        <v>2</v>
      </c>
      <c r="Y17">
        <v>2</v>
      </c>
      <c r="Z17" s="4">
        <v>1</v>
      </c>
      <c r="AA17">
        <v>6</v>
      </c>
      <c r="AB17">
        <v>5</v>
      </c>
      <c r="AC17">
        <v>11</v>
      </c>
      <c r="AD17" s="4">
        <v>0.45454545454545453</v>
      </c>
      <c r="AE17">
        <v>0</v>
      </c>
      <c r="AF17">
        <v>5</v>
      </c>
      <c r="AG17">
        <v>5</v>
      </c>
      <c r="AH17" s="4">
        <v>1</v>
      </c>
      <c r="AI17">
        <v>0</v>
      </c>
      <c r="AJ17">
        <v>3</v>
      </c>
      <c r="AK17">
        <v>3</v>
      </c>
      <c r="AL17" s="4">
        <v>1</v>
      </c>
      <c r="AM17">
        <v>4</v>
      </c>
      <c r="AN17">
        <v>4</v>
      </c>
      <c r="AO17">
        <v>8</v>
      </c>
      <c r="AP17" s="4">
        <v>0.5</v>
      </c>
      <c r="AQ17">
        <v>5</v>
      </c>
      <c r="AR17">
        <v>7</v>
      </c>
      <c r="AS17">
        <v>12</v>
      </c>
      <c r="AT17" s="4">
        <v>0.58333333333333337</v>
      </c>
      <c r="AU17">
        <v>3</v>
      </c>
      <c r="AV17">
        <v>6</v>
      </c>
      <c r="AW17">
        <v>9</v>
      </c>
      <c r="AX17" s="4">
        <v>0.66666666666666663</v>
      </c>
      <c r="AY17" s="33" t="s">
        <v>526</v>
      </c>
      <c r="AZ17" t="s">
        <v>552</v>
      </c>
      <c r="BA17" t="str">
        <f t="shared" si="0"/>
        <v>Proportion of BKA England</v>
      </c>
      <c r="BB17" s="4">
        <v>0.49722494286647079</v>
      </c>
      <c r="BC17" s="4">
        <v>0.51047619047619053</v>
      </c>
      <c r="BD17" s="4">
        <v>0.55058139534883721</v>
      </c>
    </row>
    <row r="18" spans="1:56" x14ac:dyDescent="0.25">
      <c r="A18" t="s">
        <v>39</v>
      </c>
      <c r="B18" t="s">
        <v>38</v>
      </c>
      <c r="C18">
        <v>2</v>
      </c>
      <c r="D18">
        <v>10</v>
      </c>
      <c r="E18">
        <v>12</v>
      </c>
      <c r="F18" s="4">
        <v>0.83333333333333337</v>
      </c>
      <c r="G18">
        <v>6</v>
      </c>
      <c r="H18">
        <v>8</v>
      </c>
      <c r="I18">
        <v>14</v>
      </c>
      <c r="J18" s="4">
        <v>0.5714285714285714</v>
      </c>
      <c r="K18">
        <v>6</v>
      </c>
      <c r="L18">
        <v>14</v>
      </c>
      <c r="M18">
        <v>20</v>
      </c>
      <c r="N18" s="4">
        <v>0.7</v>
      </c>
      <c r="O18">
        <v>3</v>
      </c>
      <c r="P18">
        <v>6</v>
      </c>
      <c r="Q18">
        <v>9</v>
      </c>
      <c r="R18" s="4">
        <v>0.66666666666666663</v>
      </c>
      <c r="S18">
        <v>2</v>
      </c>
      <c r="T18">
        <v>8</v>
      </c>
      <c r="U18">
        <v>10</v>
      </c>
      <c r="V18" s="4">
        <v>0.8</v>
      </c>
      <c r="W18">
        <v>9</v>
      </c>
      <c r="X18">
        <v>8</v>
      </c>
      <c r="Y18">
        <v>17</v>
      </c>
      <c r="Z18" s="4">
        <v>0.47058823529411764</v>
      </c>
      <c r="AA18">
        <v>20</v>
      </c>
      <c r="AB18">
        <v>9</v>
      </c>
      <c r="AC18">
        <v>29</v>
      </c>
      <c r="AD18" s="4">
        <v>0.31034482758620691</v>
      </c>
      <c r="AE18">
        <v>13</v>
      </c>
      <c r="AF18">
        <v>12</v>
      </c>
      <c r="AG18">
        <v>25</v>
      </c>
      <c r="AH18" s="4">
        <v>0.48</v>
      </c>
      <c r="AI18">
        <v>8</v>
      </c>
      <c r="AJ18">
        <v>13</v>
      </c>
      <c r="AK18">
        <v>21</v>
      </c>
      <c r="AL18" s="4">
        <v>0.61904761904761907</v>
      </c>
      <c r="AM18">
        <v>13</v>
      </c>
      <c r="AN18">
        <v>12</v>
      </c>
      <c r="AO18">
        <v>25</v>
      </c>
      <c r="AP18" s="4">
        <v>0.48</v>
      </c>
      <c r="AQ18">
        <v>13</v>
      </c>
      <c r="AR18">
        <v>19</v>
      </c>
      <c r="AS18">
        <v>32</v>
      </c>
      <c r="AT18" s="4">
        <v>0.59375</v>
      </c>
      <c r="AU18">
        <v>8</v>
      </c>
      <c r="AV18">
        <v>11</v>
      </c>
      <c r="AW18">
        <v>19</v>
      </c>
      <c r="AX18" s="4">
        <v>0.57894736842105265</v>
      </c>
      <c r="AY18" s="33" t="s">
        <v>526</v>
      </c>
      <c r="AZ18" t="s">
        <v>552</v>
      </c>
      <c r="BA18" t="str">
        <f t="shared" si="0"/>
        <v>Proportion of BKA England</v>
      </c>
      <c r="BB18" s="4">
        <v>0.49722494286647079</v>
      </c>
      <c r="BC18" s="4">
        <v>0.51047619047619053</v>
      </c>
      <c r="BD18" s="4">
        <v>0.55058139534883721</v>
      </c>
    </row>
    <row r="19" spans="1:56" x14ac:dyDescent="0.25">
      <c r="A19" t="s">
        <v>129</v>
      </c>
      <c r="B19" t="s">
        <v>82</v>
      </c>
      <c r="C19">
        <v>7</v>
      </c>
      <c r="D19">
        <v>15</v>
      </c>
      <c r="E19">
        <v>22</v>
      </c>
      <c r="F19" s="4">
        <v>0.68181818181818177</v>
      </c>
      <c r="G19">
        <v>5</v>
      </c>
      <c r="H19">
        <v>15</v>
      </c>
      <c r="I19">
        <v>20</v>
      </c>
      <c r="J19" s="4">
        <v>0.75</v>
      </c>
      <c r="K19">
        <v>5</v>
      </c>
      <c r="L19">
        <v>9</v>
      </c>
      <c r="M19">
        <v>14</v>
      </c>
      <c r="N19" s="4">
        <v>0.6428571428571429</v>
      </c>
      <c r="O19">
        <v>8</v>
      </c>
      <c r="P19">
        <v>19</v>
      </c>
      <c r="Q19">
        <v>27</v>
      </c>
      <c r="R19" s="4">
        <v>0.70370370370370372</v>
      </c>
      <c r="S19">
        <v>7</v>
      </c>
      <c r="T19">
        <v>19</v>
      </c>
      <c r="U19">
        <v>26</v>
      </c>
      <c r="V19" s="4">
        <v>0.73076923076923073</v>
      </c>
      <c r="W19">
        <v>5</v>
      </c>
      <c r="X19">
        <v>20</v>
      </c>
      <c r="Y19">
        <v>25</v>
      </c>
      <c r="Z19" s="4">
        <v>0.8</v>
      </c>
      <c r="AA19">
        <v>9</v>
      </c>
      <c r="AB19">
        <v>15</v>
      </c>
      <c r="AC19">
        <v>24</v>
      </c>
      <c r="AD19" s="4">
        <v>0.625</v>
      </c>
      <c r="AE19">
        <v>4</v>
      </c>
      <c r="AF19">
        <v>15</v>
      </c>
      <c r="AG19">
        <v>19</v>
      </c>
      <c r="AH19" s="4">
        <v>0.78947368421052633</v>
      </c>
      <c r="AI19">
        <v>8</v>
      </c>
      <c r="AJ19">
        <v>20</v>
      </c>
      <c r="AK19">
        <v>28</v>
      </c>
      <c r="AL19" s="4">
        <v>0.7142857142857143</v>
      </c>
      <c r="AM19">
        <v>9</v>
      </c>
      <c r="AN19">
        <v>23</v>
      </c>
      <c r="AO19">
        <v>32</v>
      </c>
      <c r="AP19" s="4">
        <v>0.71875</v>
      </c>
      <c r="AQ19">
        <v>0</v>
      </c>
      <c r="AR19">
        <v>0</v>
      </c>
      <c r="AS19">
        <v>0</v>
      </c>
      <c r="AT19" s="4" t="s">
        <v>122</v>
      </c>
      <c r="AU19">
        <v>0</v>
      </c>
      <c r="AV19">
        <v>0</v>
      </c>
      <c r="AW19">
        <v>0</v>
      </c>
      <c r="AX19" s="4" t="s">
        <v>122</v>
      </c>
      <c r="AY19" s="33" t="s">
        <v>526</v>
      </c>
      <c r="AZ19" t="s">
        <v>552</v>
      </c>
      <c r="BA19" t="str">
        <f t="shared" si="0"/>
        <v>Proportion of BKA England</v>
      </c>
      <c r="BB19" s="4">
        <v>0.49722494286647079</v>
      </c>
      <c r="BC19" s="4">
        <v>0.51047619047619053</v>
      </c>
      <c r="BD19" s="4">
        <v>0.55058139534883721</v>
      </c>
    </row>
    <row r="20" spans="1:56" x14ac:dyDescent="0.25">
      <c r="A20" t="s">
        <v>101</v>
      </c>
      <c r="B20" t="s">
        <v>100</v>
      </c>
      <c r="C20">
        <v>4</v>
      </c>
      <c r="D20">
        <v>6</v>
      </c>
      <c r="E20">
        <v>10</v>
      </c>
      <c r="F20" s="4">
        <v>0.6</v>
      </c>
      <c r="G20">
        <v>7</v>
      </c>
      <c r="H20">
        <v>0</v>
      </c>
      <c r="I20">
        <v>7</v>
      </c>
      <c r="J20" s="4">
        <v>0</v>
      </c>
      <c r="K20">
        <v>8</v>
      </c>
      <c r="L20">
        <v>7</v>
      </c>
      <c r="M20">
        <v>15</v>
      </c>
      <c r="N20" s="4">
        <v>0.46666666666666667</v>
      </c>
      <c r="O20">
        <v>11</v>
      </c>
      <c r="P20">
        <v>4</v>
      </c>
      <c r="Q20">
        <v>15</v>
      </c>
      <c r="R20" s="4">
        <v>0.26666666666666666</v>
      </c>
      <c r="S20">
        <v>3</v>
      </c>
      <c r="T20">
        <v>4</v>
      </c>
      <c r="U20">
        <v>7</v>
      </c>
      <c r="V20" s="4">
        <v>0.5714285714285714</v>
      </c>
      <c r="W20">
        <v>6</v>
      </c>
      <c r="X20">
        <v>7</v>
      </c>
      <c r="Y20">
        <v>13</v>
      </c>
      <c r="Z20" s="4">
        <v>0.53846153846153844</v>
      </c>
      <c r="AA20">
        <v>6</v>
      </c>
      <c r="AB20">
        <v>12</v>
      </c>
      <c r="AC20">
        <v>18</v>
      </c>
      <c r="AD20" s="4">
        <v>0.66666666666666663</v>
      </c>
      <c r="AE20">
        <v>12</v>
      </c>
      <c r="AF20">
        <v>11</v>
      </c>
      <c r="AG20">
        <v>23</v>
      </c>
      <c r="AH20" s="4">
        <v>0.47826086956521741</v>
      </c>
      <c r="AI20">
        <v>13</v>
      </c>
      <c r="AJ20">
        <v>3</v>
      </c>
      <c r="AK20">
        <v>16</v>
      </c>
      <c r="AL20" s="4">
        <v>0.1875</v>
      </c>
      <c r="AM20">
        <v>3</v>
      </c>
      <c r="AN20">
        <v>1</v>
      </c>
      <c r="AO20">
        <v>4</v>
      </c>
      <c r="AP20" s="4">
        <v>0.25</v>
      </c>
      <c r="AQ20">
        <v>5</v>
      </c>
      <c r="AR20">
        <v>9</v>
      </c>
      <c r="AS20">
        <v>14</v>
      </c>
      <c r="AT20" s="4">
        <v>0.6428571428571429</v>
      </c>
      <c r="AU20">
        <v>8</v>
      </c>
      <c r="AV20">
        <v>7</v>
      </c>
      <c r="AW20">
        <v>15</v>
      </c>
      <c r="AX20" s="4">
        <v>0.46666666666666667</v>
      </c>
      <c r="AY20" s="33" t="s">
        <v>526</v>
      </c>
      <c r="AZ20" t="s">
        <v>552</v>
      </c>
      <c r="BA20" t="str">
        <f t="shared" si="0"/>
        <v>Proportion of BKA England</v>
      </c>
      <c r="BB20" s="4">
        <v>0.49722494286647079</v>
      </c>
      <c r="BC20" s="4">
        <v>0.51047619047619053</v>
      </c>
      <c r="BD20" s="4">
        <v>0.55058139534883721</v>
      </c>
    </row>
    <row r="21" spans="1:56" x14ac:dyDescent="0.25">
      <c r="A21" t="s">
        <v>47</v>
      </c>
      <c r="B21" t="s">
        <v>46</v>
      </c>
      <c r="C21">
        <v>2</v>
      </c>
      <c r="D21">
        <v>3</v>
      </c>
      <c r="E21">
        <v>5</v>
      </c>
      <c r="F21" s="4">
        <v>0.6</v>
      </c>
      <c r="G21">
        <v>2</v>
      </c>
      <c r="H21">
        <v>2</v>
      </c>
      <c r="I21">
        <v>4</v>
      </c>
      <c r="J21" s="4">
        <v>0.5</v>
      </c>
      <c r="K21">
        <v>2</v>
      </c>
      <c r="L21">
        <v>2</v>
      </c>
      <c r="M21">
        <v>4</v>
      </c>
      <c r="N21" s="4">
        <v>0.5</v>
      </c>
      <c r="O21">
        <v>2</v>
      </c>
      <c r="P21">
        <v>0</v>
      </c>
      <c r="Q21">
        <v>2</v>
      </c>
      <c r="R21" s="4">
        <v>0</v>
      </c>
      <c r="S21">
        <v>4</v>
      </c>
      <c r="T21">
        <v>1</v>
      </c>
      <c r="U21">
        <v>5</v>
      </c>
      <c r="V21" s="4">
        <v>0.2</v>
      </c>
      <c r="W21">
        <v>1</v>
      </c>
      <c r="X21">
        <v>3</v>
      </c>
      <c r="Y21">
        <v>4</v>
      </c>
      <c r="Z21" s="4">
        <v>0.75</v>
      </c>
      <c r="AA21">
        <v>5</v>
      </c>
      <c r="AB21">
        <v>2</v>
      </c>
      <c r="AC21">
        <v>7</v>
      </c>
      <c r="AD21" s="4">
        <v>0.2857142857142857</v>
      </c>
      <c r="AE21">
        <v>0</v>
      </c>
      <c r="AF21">
        <v>1</v>
      </c>
      <c r="AG21">
        <v>1</v>
      </c>
      <c r="AH21" s="4">
        <v>1</v>
      </c>
      <c r="AI21">
        <v>7</v>
      </c>
      <c r="AJ21">
        <v>0</v>
      </c>
      <c r="AK21">
        <v>7</v>
      </c>
      <c r="AL21" s="4">
        <v>0</v>
      </c>
      <c r="AM21">
        <v>1</v>
      </c>
      <c r="AN21">
        <v>0</v>
      </c>
      <c r="AO21">
        <v>1</v>
      </c>
      <c r="AP21" s="4">
        <v>0</v>
      </c>
      <c r="AQ21">
        <v>3</v>
      </c>
      <c r="AR21">
        <v>0</v>
      </c>
      <c r="AS21">
        <v>3</v>
      </c>
      <c r="AT21" s="4">
        <v>0</v>
      </c>
      <c r="AU21">
        <v>3</v>
      </c>
      <c r="AV21">
        <v>3</v>
      </c>
      <c r="AW21">
        <v>6</v>
      </c>
      <c r="AX21" s="4">
        <v>0.5</v>
      </c>
      <c r="AY21" s="33" t="s">
        <v>526</v>
      </c>
      <c r="AZ21" t="s">
        <v>552</v>
      </c>
      <c r="BA21" t="str">
        <f t="shared" si="0"/>
        <v>Proportion of BKA England</v>
      </c>
      <c r="BB21" s="4">
        <v>0.49722494286647079</v>
      </c>
      <c r="BC21" s="4">
        <v>0.51047619047619053</v>
      </c>
      <c r="BD21" s="4">
        <v>0.55058139534883721</v>
      </c>
    </row>
    <row r="22" spans="1:56" x14ac:dyDescent="0.25">
      <c r="A22" t="s">
        <v>95</v>
      </c>
      <c r="B22" t="s">
        <v>94</v>
      </c>
      <c r="C22">
        <v>22</v>
      </c>
      <c r="D22">
        <v>11</v>
      </c>
      <c r="E22">
        <v>33</v>
      </c>
      <c r="F22" s="4">
        <v>0.33333333333333331</v>
      </c>
      <c r="G22">
        <v>20</v>
      </c>
      <c r="H22">
        <v>20</v>
      </c>
      <c r="I22">
        <v>40</v>
      </c>
      <c r="J22" s="4">
        <v>0.5</v>
      </c>
      <c r="K22">
        <v>24</v>
      </c>
      <c r="L22">
        <v>16</v>
      </c>
      <c r="M22">
        <v>40</v>
      </c>
      <c r="N22" s="4">
        <v>0.4</v>
      </c>
      <c r="O22">
        <v>8</v>
      </c>
      <c r="P22">
        <v>3</v>
      </c>
      <c r="Q22">
        <v>11</v>
      </c>
      <c r="R22" s="4">
        <v>0.27272727272727271</v>
      </c>
      <c r="S22">
        <v>4</v>
      </c>
      <c r="T22">
        <v>2</v>
      </c>
      <c r="U22">
        <v>6</v>
      </c>
      <c r="V22" s="4">
        <v>0.33333333333333331</v>
      </c>
      <c r="W22">
        <v>0</v>
      </c>
      <c r="X22">
        <v>0</v>
      </c>
      <c r="Y22">
        <v>0</v>
      </c>
      <c r="Z22" s="4" t="s">
        <v>122</v>
      </c>
      <c r="AA22">
        <v>14</v>
      </c>
      <c r="AB22">
        <v>17</v>
      </c>
      <c r="AC22">
        <v>31</v>
      </c>
      <c r="AD22" s="4">
        <v>0.54838709677419351</v>
      </c>
      <c r="AE22">
        <v>22</v>
      </c>
      <c r="AF22">
        <v>15</v>
      </c>
      <c r="AG22">
        <v>37</v>
      </c>
      <c r="AH22" s="4">
        <v>0.40540540540540543</v>
      </c>
      <c r="AI22">
        <v>19</v>
      </c>
      <c r="AJ22">
        <v>24</v>
      </c>
      <c r="AK22">
        <v>43</v>
      </c>
      <c r="AL22" s="4">
        <v>0.55813953488372092</v>
      </c>
      <c r="AM22">
        <v>19</v>
      </c>
      <c r="AN22">
        <v>24</v>
      </c>
      <c r="AO22">
        <v>43</v>
      </c>
      <c r="AP22" s="4">
        <v>0.55813953488372092</v>
      </c>
      <c r="AQ22">
        <v>14</v>
      </c>
      <c r="AR22">
        <v>28</v>
      </c>
      <c r="AS22">
        <v>42</v>
      </c>
      <c r="AT22" s="4">
        <v>0.66666666666666663</v>
      </c>
      <c r="AU22">
        <v>26</v>
      </c>
      <c r="AV22">
        <v>31</v>
      </c>
      <c r="AW22">
        <v>57</v>
      </c>
      <c r="AX22" s="4">
        <v>0.54385964912280704</v>
      </c>
      <c r="AY22" s="33" t="s">
        <v>526</v>
      </c>
      <c r="AZ22" t="s">
        <v>552</v>
      </c>
      <c r="BA22" t="str">
        <f t="shared" si="0"/>
        <v>Proportion of BKA England</v>
      </c>
      <c r="BB22" s="4">
        <v>0.49722494286647079</v>
      </c>
      <c r="BC22" s="4">
        <v>0.51047619047619053</v>
      </c>
      <c r="BD22" s="4">
        <v>0.55058139534883721</v>
      </c>
    </row>
    <row r="23" spans="1:56" x14ac:dyDescent="0.25">
      <c r="A23" t="s">
        <v>63</v>
      </c>
      <c r="B23" t="s">
        <v>62</v>
      </c>
      <c r="C23">
        <v>5</v>
      </c>
      <c r="D23">
        <v>9</v>
      </c>
      <c r="E23">
        <v>14</v>
      </c>
      <c r="F23" s="4">
        <v>0.6428571428571429</v>
      </c>
      <c r="G23">
        <v>13</v>
      </c>
      <c r="H23">
        <v>13</v>
      </c>
      <c r="I23">
        <v>26</v>
      </c>
      <c r="J23" s="4">
        <v>0.5</v>
      </c>
      <c r="K23">
        <v>10</v>
      </c>
      <c r="L23">
        <v>10</v>
      </c>
      <c r="M23">
        <v>20</v>
      </c>
      <c r="N23" s="4">
        <v>0.5</v>
      </c>
      <c r="O23">
        <v>16</v>
      </c>
      <c r="P23">
        <v>20</v>
      </c>
      <c r="Q23">
        <v>36</v>
      </c>
      <c r="R23" s="4">
        <v>0.55555555555555558</v>
      </c>
      <c r="S23">
        <v>12</v>
      </c>
      <c r="T23">
        <v>12</v>
      </c>
      <c r="U23">
        <v>24</v>
      </c>
      <c r="V23" s="4">
        <v>0.5</v>
      </c>
      <c r="W23">
        <v>6</v>
      </c>
      <c r="X23">
        <v>12</v>
      </c>
      <c r="Y23">
        <v>18</v>
      </c>
      <c r="Z23" s="4">
        <v>0.66666666666666663</v>
      </c>
      <c r="AA23">
        <v>16</v>
      </c>
      <c r="AB23">
        <v>20</v>
      </c>
      <c r="AC23">
        <v>36</v>
      </c>
      <c r="AD23" s="4">
        <v>0.55555555555555558</v>
      </c>
      <c r="AE23">
        <v>10</v>
      </c>
      <c r="AF23">
        <v>9</v>
      </c>
      <c r="AG23">
        <v>19</v>
      </c>
      <c r="AH23" s="4">
        <v>0.47368421052631576</v>
      </c>
      <c r="AI23">
        <v>4</v>
      </c>
      <c r="AJ23">
        <v>9</v>
      </c>
      <c r="AK23">
        <v>13</v>
      </c>
      <c r="AL23" s="4">
        <v>0.69230769230769229</v>
      </c>
      <c r="AM23">
        <v>7</v>
      </c>
      <c r="AN23">
        <v>3</v>
      </c>
      <c r="AO23">
        <v>10</v>
      </c>
      <c r="AP23" s="4">
        <v>0.3</v>
      </c>
      <c r="AQ23">
        <v>4</v>
      </c>
      <c r="AR23">
        <v>12</v>
      </c>
      <c r="AS23">
        <v>16</v>
      </c>
      <c r="AT23" s="4">
        <v>0.75</v>
      </c>
      <c r="AU23">
        <v>17</v>
      </c>
      <c r="AV23">
        <v>14</v>
      </c>
      <c r="AW23">
        <v>31</v>
      </c>
      <c r="AX23" s="4">
        <v>0.45161290322580644</v>
      </c>
      <c r="AY23" s="33" t="s">
        <v>526</v>
      </c>
      <c r="AZ23" t="s">
        <v>552</v>
      </c>
      <c r="BA23" t="str">
        <f t="shared" si="0"/>
        <v>Proportion of BKA England</v>
      </c>
      <c r="BB23" s="4">
        <v>0.49722494286647079</v>
      </c>
      <c r="BC23" s="4">
        <v>0.51047619047619053</v>
      </c>
      <c r="BD23" s="4">
        <v>0.55058139534883721</v>
      </c>
    </row>
    <row r="24" spans="1:56" x14ac:dyDescent="0.25">
      <c r="A24" t="s">
        <v>130</v>
      </c>
      <c r="B24" t="s">
        <v>25</v>
      </c>
      <c r="C24">
        <v>8</v>
      </c>
      <c r="D24">
        <v>11</v>
      </c>
      <c r="E24">
        <v>19</v>
      </c>
      <c r="F24" s="4">
        <v>0.57894736842105265</v>
      </c>
      <c r="G24">
        <v>11</v>
      </c>
      <c r="H24">
        <v>11</v>
      </c>
      <c r="I24">
        <v>22</v>
      </c>
      <c r="J24" s="4">
        <v>0.5</v>
      </c>
      <c r="K24">
        <v>13</v>
      </c>
      <c r="L24">
        <v>8</v>
      </c>
      <c r="M24">
        <v>21</v>
      </c>
      <c r="N24" s="4">
        <v>0.38095238095238093</v>
      </c>
      <c r="O24">
        <v>8</v>
      </c>
      <c r="P24">
        <v>11</v>
      </c>
      <c r="Q24">
        <v>19</v>
      </c>
      <c r="R24" s="4">
        <v>0.57894736842105265</v>
      </c>
      <c r="S24">
        <v>10</v>
      </c>
      <c r="T24">
        <v>9</v>
      </c>
      <c r="U24">
        <v>19</v>
      </c>
      <c r="V24" s="4">
        <v>0.47368421052631576</v>
      </c>
      <c r="W24">
        <v>8</v>
      </c>
      <c r="X24">
        <v>10</v>
      </c>
      <c r="Y24">
        <v>18</v>
      </c>
      <c r="Z24" s="4">
        <v>0.55555555555555558</v>
      </c>
      <c r="AA24">
        <v>8</v>
      </c>
      <c r="AB24">
        <v>16</v>
      </c>
      <c r="AC24">
        <v>24</v>
      </c>
      <c r="AD24" s="4">
        <v>0.66666666666666663</v>
      </c>
      <c r="AE24">
        <v>12</v>
      </c>
      <c r="AF24">
        <v>11</v>
      </c>
      <c r="AG24">
        <v>23</v>
      </c>
      <c r="AH24" s="4">
        <v>0.47826086956521741</v>
      </c>
      <c r="AI24">
        <v>9</v>
      </c>
      <c r="AJ24">
        <v>4</v>
      </c>
      <c r="AK24">
        <v>13</v>
      </c>
      <c r="AL24" s="4">
        <v>0.30769230769230771</v>
      </c>
      <c r="AM24">
        <v>6</v>
      </c>
      <c r="AN24">
        <v>16</v>
      </c>
      <c r="AO24">
        <v>22</v>
      </c>
      <c r="AP24" s="4">
        <v>0.72727272727272729</v>
      </c>
      <c r="AQ24">
        <v>8</v>
      </c>
      <c r="AR24">
        <v>11</v>
      </c>
      <c r="AS24">
        <v>19</v>
      </c>
      <c r="AT24" s="4">
        <v>0.57894736842105265</v>
      </c>
      <c r="AU24">
        <v>11</v>
      </c>
      <c r="AV24">
        <v>12</v>
      </c>
      <c r="AW24">
        <v>23</v>
      </c>
      <c r="AX24" s="4">
        <v>0.52173913043478259</v>
      </c>
      <c r="AY24" s="33" t="s">
        <v>526</v>
      </c>
      <c r="AZ24" t="s">
        <v>552</v>
      </c>
      <c r="BA24" t="str">
        <f t="shared" si="0"/>
        <v>Proportion of BKA England</v>
      </c>
      <c r="BB24" s="4">
        <v>0.49722494286647079</v>
      </c>
      <c r="BC24" s="4">
        <v>0.51047619047619053</v>
      </c>
      <c r="BD24" s="4">
        <v>0.55058139534883721</v>
      </c>
    </row>
    <row r="25" spans="1:56" x14ac:dyDescent="0.25">
      <c r="A25" t="s">
        <v>131</v>
      </c>
      <c r="B25" t="s">
        <v>9</v>
      </c>
      <c r="C25">
        <v>1</v>
      </c>
      <c r="D25">
        <v>6</v>
      </c>
      <c r="E25">
        <v>7</v>
      </c>
      <c r="F25" s="4">
        <v>0.8571428571428571</v>
      </c>
      <c r="G25">
        <v>4</v>
      </c>
      <c r="H25">
        <v>7</v>
      </c>
      <c r="I25">
        <v>11</v>
      </c>
      <c r="J25" s="4">
        <v>0.63636363636363635</v>
      </c>
      <c r="K25">
        <v>4</v>
      </c>
      <c r="L25">
        <v>7</v>
      </c>
      <c r="M25">
        <v>11</v>
      </c>
      <c r="N25" s="4">
        <v>0.63636363636363635</v>
      </c>
      <c r="O25">
        <v>9</v>
      </c>
      <c r="P25">
        <v>2</v>
      </c>
      <c r="Q25">
        <v>11</v>
      </c>
      <c r="R25" s="4">
        <v>0.18181818181818182</v>
      </c>
      <c r="S25">
        <v>3</v>
      </c>
      <c r="T25">
        <v>5</v>
      </c>
      <c r="U25">
        <v>8</v>
      </c>
      <c r="V25" s="4">
        <v>0.625</v>
      </c>
      <c r="W25">
        <v>3</v>
      </c>
      <c r="X25">
        <v>5</v>
      </c>
      <c r="Y25">
        <v>8</v>
      </c>
      <c r="Z25" s="4">
        <v>0.625</v>
      </c>
      <c r="AA25">
        <v>2</v>
      </c>
      <c r="AB25">
        <v>3</v>
      </c>
      <c r="AC25">
        <v>5</v>
      </c>
      <c r="AD25" s="4">
        <v>0.6</v>
      </c>
      <c r="AE25">
        <v>0</v>
      </c>
      <c r="AF25">
        <v>2</v>
      </c>
      <c r="AG25">
        <v>2</v>
      </c>
      <c r="AH25" s="4">
        <v>1</v>
      </c>
      <c r="AI25">
        <v>1</v>
      </c>
      <c r="AJ25">
        <v>11</v>
      </c>
      <c r="AK25">
        <v>12</v>
      </c>
      <c r="AL25" s="4">
        <v>0.91666666666666663</v>
      </c>
      <c r="AM25">
        <v>4</v>
      </c>
      <c r="AN25">
        <v>6</v>
      </c>
      <c r="AO25">
        <v>10</v>
      </c>
      <c r="AP25" s="4">
        <v>0.6</v>
      </c>
      <c r="AQ25">
        <v>1</v>
      </c>
      <c r="AR25">
        <v>6</v>
      </c>
      <c r="AS25">
        <v>7</v>
      </c>
      <c r="AT25" s="4">
        <v>0.8571428571428571</v>
      </c>
      <c r="AU25">
        <v>0</v>
      </c>
      <c r="AV25">
        <v>5</v>
      </c>
      <c r="AW25">
        <v>5</v>
      </c>
      <c r="AX25" s="4">
        <v>1</v>
      </c>
      <c r="AY25" s="33" t="s">
        <v>526</v>
      </c>
      <c r="AZ25" t="s">
        <v>552</v>
      </c>
      <c r="BA25" t="str">
        <f t="shared" si="0"/>
        <v>Proportion of BKA England</v>
      </c>
      <c r="BB25" s="4">
        <v>0.49722494286647079</v>
      </c>
      <c r="BC25" s="4">
        <v>0.51047619047619053</v>
      </c>
      <c r="BD25" s="4">
        <v>0.55058139534883721</v>
      </c>
    </row>
    <row r="26" spans="1:56" x14ac:dyDescent="0.25">
      <c r="A26" t="s">
        <v>6</v>
      </c>
      <c r="B26" t="s">
        <v>5</v>
      </c>
      <c r="C26">
        <v>9</v>
      </c>
      <c r="D26">
        <v>6</v>
      </c>
      <c r="E26">
        <v>15</v>
      </c>
      <c r="F26" s="4">
        <v>0.4</v>
      </c>
      <c r="G26">
        <v>4</v>
      </c>
      <c r="H26">
        <v>7</v>
      </c>
      <c r="I26">
        <v>11</v>
      </c>
      <c r="J26" s="4">
        <v>0.63636363636363635</v>
      </c>
      <c r="K26">
        <v>9</v>
      </c>
      <c r="L26">
        <v>2</v>
      </c>
      <c r="M26">
        <v>11</v>
      </c>
      <c r="N26" s="4">
        <v>0.18181818181818182</v>
      </c>
      <c r="O26">
        <v>11</v>
      </c>
      <c r="P26">
        <v>4</v>
      </c>
      <c r="Q26">
        <v>15</v>
      </c>
      <c r="R26" s="4">
        <v>0.26666666666666666</v>
      </c>
      <c r="S26">
        <v>5</v>
      </c>
      <c r="T26">
        <v>4</v>
      </c>
      <c r="U26">
        <v>9</v>
      </c>
      <c r="V26" s="4">
        <v>0.44444444444444442</v>
      </c>
      <c r="W26">
        <v>8</v>
      </c>
      <c r="X26">
        <v>0</v>
      </c>
      <c r="Y26">
        <v>8</v>
      </c>
      <c r="Z26" s="4">
        <v>0</v>
      </c>
      <c r="AA26">
        <v>8</v>
      </c>
      <c r="AB26">
        <v>3</v>
      </c>
      <c r="AC26">
        <v>11</v>
      </c>
      <c r="AD26" s="4">
        <v>0.27272727272727271</v>
      </c>
      <c r="AE26">
        <v>8</v>
      </c>
      <c r="AF26">
        <v>1</v>
      </c>
      <c r="AG26">
        <v>9</v>
      </c>
      <c r="AH26" s="4">
        <v>0.1111111111111111</v>
      </c>
      <c r="AI26">
        <v>8</v>
      </c>
      <c r="AJ26">
        <v>2</v>
      </c>
      <c r="AK26">
        <v>10</v>
      </c>
      <c r="AL26" s="4">
        <v>0.2</v>
      </c>
      <c r="AM26">
        <v>6</v>
      </c>
      <c r="AN26">
        <v>3</v>
      </c>
      <c r="AO26">
        <v>9</v>
      </c>
      <c r="AP26" s="4">
        <v>0.33333333333333331</v>
      </c>
      <c r="AQ26">
        <v>4</v>
      </c>
      <c r="AR26">
        <v>5</v>
      </c>
      <c r="AS26">
        <v>9</v>
      </c>
      <c r="AT26" s="4">
        <v>0.55555555555555558</v>
      </c>
      <c r="AU26">
        <v>7</v>
      </c>
      <c r="AV26">
        <v>2</v>
      </c>
      <c r="AW26">
        <v>9</v>
      </c>
      <c r="AX26" s="4">
        <v>0.22222222222222221</v>
      </c>
      <c r="AY26" s="33" t="s">
        <v>526</v>
      </c>
      <c r="AZ26" t="s">
        <v>552</v>
      </c>
      <c r="BA26" t="str">
        <f t="shared" si="0"/>
        <v>Proportion of BKA England</v>
      </c>
      <c r="BB26" s="4">
        <v>0.49722494286647079</v>
      </c>
      <c r="BC26" s="4">
        <v>0.51047619047619053</v>
      </c>
      <c r="BD26" s="4">
        <v>0.55058139534883721</v>
      </c>
    </row>
    <row r="27" spans="1:56" x14ac:dyDescent="0.25">
      <c r="A27" t="s">
        <v>59</v>
      </c>
      <c r="B27" t="s">
        <v>58</v>
      </c>
      <c r="C27">
        <v>3</v>
      </c>
      <c r="D27">
        <v>0</v>
      </c>
      <c r="E27">
        <v>3</v>
      </c>
      <c r="F27" s="4">
        <v>0</v>
      </c>
      <c r="G27">
        <v>0</v>
      </c>
      <c r="H27">
        <v>2</v>
      </c>
      <c r="I27">
        <v>2</v>
      </c>
      <c r="J27" s="4">
        <v>1</v>
      </c>
      <c r="K27">
        <v>2</v>
      </c>
      <c r="L27">
        <v>1</v>
      </c>
      <c r="M27">
        <v>3</v>
      </c>
      <c r="N27" s="4">
        <v>0.33333333333333331</v>
      </c>
      <c r="O27">
        <v>2</v>
      </c>
      <c r="P27">
        <v>2</v>
      </c>
      <c r="Q27">
        <v>4</v>
      </c>
      <c r="R27" s="4">
        <v>0.5</v>
      </c>
      <c r="S27">
        <v>0</v>
      </c>
      <c r="T27">
        <v>0</v>
      </c>
      <c r="U27">
        <v>0</v>
      </c>
      <c r="V27" s="4" t="s">
        <v>122</v>
      </c>
      <c r="W27">
        <v>1</v>
      </c>
      <c r="X27">
        <v>0</v>
      </c>
      <c r="Y27">
        <v>1</v>
      </c>
      <c r="Z27" s="4">
        <v>0</v>
      </c>
      <c r="AA27">
        <v>0</v>
      </c>
      <c r="AB27">
        <v>0</v>
      </c>
      <c r="AC27">
        <v>0</v>
      </c>
      <c r="AD27" s="4" t="s">
        <v>122</v>
      </c>
      <c r="AE27">
        <v>0</v>
      </c>
      <c r="AF27">
        <v>0</v>
      </c>
      <c r="AG27">
        <v>0</v>
      </c>
      <c r="AH27" s="4" t="s">
        <v>122</v>
      </c>
      <c r="AI27">
        <v>0</v>
      </c>
      <c r="AJ27">
        <v>1</v>
      </c>
      <c r="AK27">
        <v>1</v>
      </c>
      <c r="AL27" s="4">
        <v>1</v>
      </c>
      <c r="AM27">
        <v>1</v>
      </c>
      <c r="AN27">
        <v>0</v>
      </c>
      <c r="AO27">
        <v>1</v>
      </c>
      <c r="AP27" s="4">
        <v>0</v>
      </c>
      <c r="AQ27">
        <v>5</v>
      </c>
      <c r="AR27">
        <v>2</v>
      </c>
      <c r="AS27">
        <v>7</v>
      </c>
      <c r="AT27" s="4">
        <v>0.2857142857142857</v>
      </c>
      <c r="AU27">
        <v>0</v>
      </c>
      <c r="AV27">
        <v>0</v>
      </c>
      <c r="AW27">
        <v>0</v>
      </c>
      <c r="AX27" s="4" t="s">
        <v>122</v>
      </c>
      <c r="AY27" s="33" t="s">
        <v>526</v>
      </c>
      <c r="AZ27" t="s">
        <v>552</v>
      </c>
      <c r="BA27" t="str">
        <f t="shared" si="0"/>
        <v>Proportion of BKA England</v>
      </c>
      <c r="BB27" s="4">
        <v>0.49722494286647079</v>
      </c>
      <c r="BC27" s="4">
        <v>0.51047619047619053</v>
      </c>
      <c r="BD27" s="4">
        <v>0.55058139534883721</v>
      </c>
    </row>
    <row r="28" spans="1:56" x14ac:dyDescent="0.25">
      <c r="A28" t="s">
        <v>141</v>
      </c>
      <c r="B28" t="s">
        <v>14</v>
      </c>
      <c r="C28">
        <v>10</v>
      </c>
      <c r="D28">
        <v>8</v>
      </c>
      <c r="E28">
        <v>18</v>
      </c>
      <c r="F28" s="4">
        <v>0.44444444444444442</v>
      </c>
      <c r="G28">
        <v>8</v>
      </c>
      <c r="H28">
        <v>6</v>
      </c>
      <c r="I28">
        <v>14</v>
      </c>
      <c r="J28" s="4">
        <v>0.42857142857142855</v>
      </c>
      <c r="K28">
        <v>13</v>
      </c>
      <c r="L28">
        <v>9</v>
      </c>
      <c r="M28">
        <v>22</v>
      </c>
      <c r="N28" s="4">
        <v>0.40909090909090912</v>
      </c>
      <c r="O28">
        <v>6</v>
      </c>
      <c r="P28">
        <v>6</v>
      </c>
      <c r="Q28">
        <v>12</v>
      </c>
      <c r="R28" s="4">
        <v>0.5</v>
      </c>
      <c r="S28">
        <v>11</v>
      </c>
      <c r="T28">
        <v>13</v>
      </c>
      <c r="U28">
        <v>24</v>
      </c>
      <c r="V28" s="4">
        <v>0.54166666666666663</v>
      </c>
      <c r="W28">
        <v>13</v>
      </c>
      <c r="X28">
        <v>9</v>
      </c>
      <c r="Y28">
        <v>22</v>
      </c>
      <c r="Z28" s="4">
        <v>0.40909090909090912</v>
      </c>
      <c r="AA28">
        <v>11</v>
      </c>
      <c r="AB28">
        <v>12</v>
      </c>
      <c r="AC28">
        <v>23</v>
      </c>
      <c r="AD28" s="4">
        <v>0.52173913043478259</v>
      </c>
      <c r="AE28">
        <v>16</v>
      </c>
      <c r="AF28">
        <v>10</v>
      </c>
      <c r="AG28">
        <v>26</v>
      </c>
      <c r="AH28" s="4">
        <v>0.38461538461538464</v>
      </c>
      <c r="AI28">
        <v>8</v>
      </c>
      <c r="AJ28">
        <v>23</v>
      </c>
      <c r="AK28">
        <v>31</v>
      </c>
      <c r="AL28" s="4">
        <v>0.74193548387096775</v>
      </c>
      <c r="AM28">
        <v>17</v>
      </c>
      <c r="AN28">
        <v>9</v>
      </c>
      <c r="AO28">
        <v>26</v>
      </c>
      <c r="AP28" s="4">
        <v>0.34615384615384615</v>
      </c>
      <c r="AQ28">
        <v>23</v>
      </c>
      <c r="AR28">
        <v>17</v>
      </c>
      <c r="AS28">
        <v>40</v>
      </c>
      <c r="AT28" s="4">
        <v>0.42499999999999999</v>
      </c>
      <c r="AU28">
        <v>11</v>
      </c>
      <c r="AV28">
        <v>10</v>
      </c>
      <c r="AW28">
        <v>21</v>
      </c>
      <c r="AX28" s="4">
        <v>0.47619047619047616</v>
      </c>
      <c r="AY28" s="33" t="s">
        <v>526</v>
      </c>
      <c r="AZ28" t="s">
        <v>552</v>
      </c>
      <c r="BA28" t="str">
        <f t="shared" si="0"/>
        <v>Proportion of BKA England</v>
      </c>
      <c r="BB28" s="4">
        <v>0.49722494286647079</v>
      </c>
      <c r="BC28" s="4">
        <v>0.51047619047619053</v>
      </c>
      <c r="BD28" s="4">
        <v>0.55058139534883721</v>
      </c>
    </row>
    <row r="29" spans="1:56" x14ac:dyDescent="0.25">
      <c r="A29" t="s">
        <v>71</v>
      </c>
      <c r="B29" t="s">
        <v>70</v>
      </c>
      <c r="C29">
        <v>18</v>
      </c>
      <c r="D29">
        <v>5</v>
      </c>
      <c r="E29">
        <v>23</v>
      </c>
      <c r="F29" s="4">
        <v>0.21739130434782608</v>
      </c>
      <c r="G29">
        <v>13</v>
      </c>
      <c r="H29">
        <v>9</v>
      </c>
      <c r="I29">
        <v>22</v>
      </c>
      <c r="J29" s="4">
        <v>0.40909090909090912</v>
      </c>
      <c r="K29">
        <v>22</v>
      </c>
      <c r="L29">
        <v>15</v>
      </c>
      <c r="M29">
        <v>37</v>
      </c>
      <c r="N29" s="4">
        <v>0.40540540540540543</v>
      </c>
      <c r="O29">
        <v>20</v>
      </c>
      <c r="P29">
        <v>10</v>
      </c>
      <c r="Q29">
        <v>30</v>
      </c>
      <c r="R29" s="4">
        <v>0.33333333333333331</v>
      </c>
      <c r="S29">
        <v>15</v>
      </c>
      <c r="T29">
        <v>13</v>
      </c>
      <c r="U29">
        <v>28</v>
      </c>
      <c r="V29" s="4">
        <v>0.4642857142857143</v>
      </c>
      <c r="W29">
        <v>23</v>
      </c>
      <c r="X29">
        <v>9</v>
      </c>
      <c r="Y29">
        <v>32</v>
      </c>
      <c r="Z29" s="4">
        <v>0.28125</v>
      </c>
      <c r="AA29">
        <v>20</v>
      </c>
      <c r="AB29">
        <v>12</v>
      </c>
      <c r="AC29">
        <v>32</v>
      </c>
      <c r="AD29" s="4">
        <v>0.375</v>
      </c>
      <c r="AE29">
        <v>12</v>
      </c>
      <c r="AF29">
        <v>12</v>
      </c>
      <c r="AG29">
        <v>24</v>
      </c>
      <c r="AH29" s="4">
        <v>0.5</v>
      </c>
      <c r="AI29">
        <v>19</v>
      </c>
      <c r="AJ29">
        <v>19</v>
      </c>
      <c r="AK29">
        <v>38</v>
      </c>
      <c r="AL29" s="4">
        <v>0.5</v>
      </c>
      <c r="AM29">
        <v>17</v>
      </c>
      <c r="AN29">
        <v>12</v>
      </c>
      <c r="AO29">
        <v>29</v>
      </c>
      <c r="AP29" s="4">
        <v>0.41379310344827586</v>
      </c>
      <c r="AQ29">
        <v>28</v>
      </c>
      <c r="AR29">
        <v>19</v>
      </c>
      <c r="AS29">
        <v>47</v>
      </c>
      <c r="AT29" s="4">
        <v>0.40425531914893614</v>
      </c>
      <c r="AU29">
        <v>20</v>
      </c>
      <c r="AV29">
        <v>14</v>
      </c>
      <c r="AW29">
        <v>34</v>
      </c>
      <c r="AX29" s="4">
        <v>0.41176470588235292</v>
      </c>
      <c r="AY29" s="33" t="s">
        <v>526</v>
      </c>
      <c r="AZ29" t="s">
        <v>552</v>
      </c>
      <c r="BA29" t="str">
        <f t="shared" si="0"/>
        <v>Proportion of BKA England</v>
      </c>
      <c r="BB29" s="4">
        <v>0.49722494286647079</v>
      </c>
      <c r="BC29" s="4">
        <v>0.51047619047619053</v>
      </c>
      <c r="BD29" s="4">
        <v>0.55058139534883721</v>
      </c>
    </row>
    <row r="30" spans="1:56" x14ac:dyDescent="0.25">
      <c r="A30" t="s">
        <v>109</v>
      </c>
      <c r="B30" t="s">
        <v>108</v>
      </c>
      <c r="C30">
        <v>0</v>
      </c>
      <c r="D30">
        <v>1</v>
      </c>
      <c r="E30">
        <v>1</v>
      </c>
      <c r="F30" s="4">
        <v>1</v>
      </c>
      <c r="G30">
        <v>1</v>
      </c>
      <c r="H30">
        <v>0</v>
      </c>
      <c r="I30">
        <v>1</v>
      </c>
      <c r="J30" s="4">
        <v>0</v>
      </c>
      <c r="K30">
        <v>0</v>
      </c>
      <c r="L30">
        <v>2</v>
      </c>
      <c r="M30">
        <v>2</v>
      </c>
      <c r="N30" s="4">
        <v>1</v>
      </c>
      <c r="O30">
        <v>2</v>
      </c>
      <c r="P30">
        <v>3</v>
      </c>
      <c r="Q30">
        <v>5</v>
      </c>
      <c r="R30" s="4">
        <v>0.6</v>
      </c>
      <c r="S30">
        <v>1</v>
      </c>
      <c r="T30">
        <v>2</v>
      </c>
      <c r="U30">
        <v>3</v>
      </c>
      <c r="V30" s="4">
        <v>0.66666666666666663</v>
      </c>
      <c r="W30">
        <v>1</v>
      </c>
      <c r="X30">
        <v>0</v>
      </c>
      <c r="Y30">
        <v>1</v>
      </c>
      <c r="Z30" s="4">
        <v>0</v>
      </c>
      <c r="AA30">
        <v>0</v>
      </c>
      <c r="AB30">
        <v>0</v>
      </c>
      <c r="AC30">
        <v>0</v>
      </c>
      <c r="AD30" s="4" t="s">
        <v>122</v>
      </c>
      <c r="AE30">
        <v>0</v>
      </c>
      <c r="AF30">
        <v>0</v>
      </c>
      <c r="AG30">
        <v>0</v>
      </c>
      <c r="AH30" s="4" t="s">
        <v>122</v>
      </c>
      <c r="AI30">
        <v>0</v>
      </c>
      <c r="AJ30">
        <v>0</v>
      </c>
      <c r="AK30">
        <v>0</v>
      </c>
      <c r="AL30" s="4" t="s">
        <v>122</v>
      </c>
      <c r="AM30">
        <v>0</v>
      </c>
      <c r="AN30">
        <v>0</v>
      </c>
      <c r="AO30">
        <v>0</v>
      </c>
      <c r="AP30" s="4" t="s">
        <v>122</v>
      </c>
      <c r="AQ30">
        <v>0</v>
      </c>
      <c r="AR30">
        <v>0</v>
      </c>
      <c r="AS30">
        <v>0</v>
      </c>
      <c r="AT30" s="4" t="s">
        <v>122</v>
      </c>
      <c r="AU30">
        <v>1</v>
      </c>
      <c r="AV30">
        <v>0</v>
      </c>
      <c r="AW30">
        <v>1</v>
      </c>
      <c r="AX30" s="4">
        <v>0</v>
      </c>
      <c r="AY30" s="33" t="s">
        <v>528</v>
      </c>
      <c r="AZ30" t="s">
        <v>552</v>
      </c>
      <c r="BA30" t="str">
        <f t="shared" si="0"/>
        <v>Proportion of BKA Scotland</v>
      </c>
      <c r="BB30" s="4">
        <v>0.46560846560846558</v>
      </c>
      <c r="BC30" s="4">
        <v>0.68018018018018012</v>
      </c>
      <c r="BD30" s="4">
        <v>0.57516339869281041</v>
      </c>
    </row>
    <row r="31" spans="1:56" x14ac:dyDescent="0.25">
      <c r="A31" t="s">
        <v>103</v>
      </c>
      <c r="B31" t="s">
        <v>102</v>
      </c>
      <c r="C31">
        <v>2</v>
      </c>
      <c r="D31">
        <v>3</v>
      </c>
      <c r="E31">
        <v>5</v>
      </c>
      <c r="F31" s="4">
        <v>0.6</v>
      </c>
      <c r="G31">
        <v>1</v>
      </c>
      <c r="H31">
        <v>0</v>
      </c>
      <c r="I31">
        <v>1</v>
      </c>
      <c r="J31" s="4">
        <v>0</v>
      </c>
      <c r="K31">
        <v>0</v>
      </c>
      <c r="L31">
        <v>0</v>
      </c>
      <c r="M31">
        <v>0</v>
      </c>
      <c r="N31" s="4" t="s">
        <v>122</v>
      </c>
      <c r="O31">
        <v>0</v>
      </c>
      <c r="P31">
        <v>1</v>
      </c>
      <c r="Q31">
        <v>1</v>
      </c>
      <c r="R31" s="4">
        <v>1</v>
      </c>
      <c r="S31">
        <v>0</v>
      </c>
      <c r="T31">
        <v>0</v>
      </c>
      <c r="U31">
        <v>0</v>
      </c>
      <c r="V31" s="4" t="s">
        <v>122</v>
      </c>
      <c r="W31">
        <v>0</v>
      </c>
      <c r="X31">
        <v>0</v>
      </c>
      <c r="Y31">
        <v>0</v>
      </c>
      <c r="Z31" s="4" t="s">
        <v>122</v>
      </c>
      <c r="AA31">
        <v>0</v>
      </c>
      <c r="AB31">
        <v>0</v>
      </c>
      <c r="AC31">
        <v>0</v>
      </c>
      <c r="AD31" s="4" t="s">
        <v>122</v>
      </c>
      <c r="AE31">
        <v>0</v>
      </c>
      <c r="AF31">
        <v>0</v>
      </c>
      <c r="AG31">
        <v>0</v>
      </c>
      <c r="AH31" s="4" t="s">
        <v>122</v>
      </c>
      <c r="AI31">
        <v>0</v>
      </c>
      <c r="AJ31">
        <v>1</v>
      </c>
      <c r="AK31">
        <v>1</v>
      </c>
      <c r="AL31" s="4">
        <v>1</v>
      </c>
      <c r="AM31">
        <v>0</v>
      </c>
      <c r="AN31">
        <v>0</v>
      </c>
      <c r="AO31">
        <v>0</v>
      </c>
      <c r="AP31" s="4" t="s">
        <v>122</v>
      </c>
      <c r="AQ31">
        <v>2</v>
      </c>
      <c r="AR31">
        <v>0</v>
      </c>
      <c r="AS31">
        <v>2</v>
      </c>
      <c r="AT31" s="4">
        <v>0</v>
      </c>
      <c r="AU31">
        <v>1</v>
      </c>
      <c r="AV31">
        <v>0</v>
      </c>
      <c r="AW31">
        <v>1</v>
      </c>
      <c r="AX31" s="4">
        <v>0</v>
      </c>
      <c r="AY31" s="33" t="s">
        <v>528</v>
      </c>
      <c r="AZ31" t="s">
        <v>552</v>
      </c>
      <c r="BA31" t="str">
        <f t="shared" si="0"/>
        <v>Proportion of BKA Scotland</v>
      </c>
      <c r="BB31" s="4">
        <v>0.46560846560846558</v>
      </c>
      <c r="BC31" s="4">
        <v>0.68018018018018012</v>
      </c>
      <c r="BD31" s="4">
        <v>0.57516339869281041</v>
      </c>
    </row>
    <row r="32" spans="1:56" x14ac:dyDescent="0.25">
      <c r="A32" t="s">
        <v>105</v>
      </c>
      <c r="B32" t="s">
        <v>104</v>
      </c>
      <c r="C32">
        <v>0</v>
      </c>
      <c r="D32">
        <v>7</v>
      </c>
      <c r="E32">
        <v>7</v>
      </c>
      <c r="F32" s="4">
        <v>1</v>
      </c>
      <c r="G32">
        <v>0</v>
      </c>
      <c r="H32">
        <v>2</v>
      </c>
      <c r="I32">
        <v>2</v>
      </c>
      <c r="J32" s="4">
        <v>1</v>
      </c>
      <c r="K32">
        <v>5</v>
      </c>
      <c r="L32">
        <v>8</v>
      </c>
      <c r="M32">
        <v>13</v>
      </c>
      <c r="N32" s="4">
        <v>0.61538461538461542</v>
      </c>
      <c r="O32">
        <v>4</v>
      </c>
      <c r="P32">
        <v>7</v>
      </c>
      <c r="Q32">
        <v>11</v>
      </c>
      <c r="R32" s="4">
        <v>0.63636363636363635</v>
      </c>
      <c r="S32">
        <v>2</v>
      </c>
      <c r="T32">
        <v>11</v>
      </c>
      <c r="U32">
        <v>13</v>
      </c>
      <c r="V32" s="4">
        <v>0.84615384615384615</v>
      </c>
      <c r="W32">
        <v>1</v>
      </c>
      <c r="X32">
        <v>3</v>
      </c>
      <c r="Y32">
        <v>4</v>
      </c>
      <c r="Z32" s="4">
        <v>0.75</v>
      </c>
      <c r="AA32">
        <v>1</v>
      </c>
      <c r="AB32">
        <v>7</v>
      </c>
      <c r="AC32">
        <v>8</v>
      </c>
      <c r="AD32" s="4">
        <v>0.875</v>
      </c>
      <c r="AE32">
        <v>0</v>
      </c>
      <c r="AF32">
        <v>10</v>
      </c>
      <c r="AG32">
        <v>10</v>
      </c>
      <c r="AH32" s="4">
        <v>1</v>
      </c>
      <c r="AI32">
        <v>0</v>
      </c>
      <c r="AJ32">
        <v>8</v>
      </c>
      <c r="AK32">
        <v>8</v>
      </c>
      <c r="AL32" s="4">
        <v>1</v>
      </c>
      <c r="AM32">
        <v>3</v>
      </c>
      <c r="AN32">
        <v>8</v>
      </c>
      <c r="AO32">
        <v>11</v>
      </c>
      <c r="AP32" s="4">
        <v>0.72727272727272729</v>
      </c>
      <c r="AQ32">
        <v>1</v>
      </c>
      <c r="AR32">
        <v>1</v>
      </c>
      <c r="AS32">
        <v>2</v>
      </c>
      <c r="AT32" s="4">
        <v>0.5</v>
      </c>
      <c r="AU32">
        <v>0</v>
      </c>
      <c r="AV32">
        <v>5</v>
      </c>
      <c r="AW32">
        <v>5</v>
      </c>
      <c r="AX32" s="4">
        <v>1</v>
      </c>
      <c r="AY32" s="33" t="s">
        <v>528</v>
      </c>
      <c r="AZ32" t="s">
        <v>552</v>
      </c>
      <c r="BA32" t="str">
        <f t="shared" si="0"/>
        <v>Proportion of BKA Scotland</v>
      </c>
      <c r="BB32" s="4">
        <v>0.46560846560846558</v>
      </c>
      <c r="BC32" s="4">
        <v>0.68018018018018012</v>
      </c>
      <c r="BD32" s="4">
        <v>0.57516339869281041</v>
      </c>
    </row>
    <row r="33" spans="1:56" x14ac:dyDescent="0.25">
      <c r="A33" t="s">
        <v>107</v>
      </c>
      <c r="B33" t="s">
        <v>106</v>
      </c>
      <c r="C33">
        <v>15</v>
      </c>
      <c r="D33">
        <v>9</v>
      </c>
      <c r="E33">
        <v>24</v>
      </c>
      <c r="F33" s="4">
        <v>0.375</v>
      </c>
      <c r="G33">
        <v>16</v>
      </c>
      <c r="H33">
        <v>8</v>
      </c>
      <c r="I33">
        <v>24</v>
      </c>
      <c r="J33" s="4">
        <v>0.33333333333333331</v>
      </c>
      <c r="K33">
        <v>14</v>
      </c>
      <c r="L33">
        <v>9</v>
      </c>
      <c r="M33">
        <v>23</v>
      </c>
      <c r="N33" s="4">
        <v>0.39130434782608697</v>
      </c>
      <c r="O33">
        <v>16</v>
      </c>
      <c r="P33">
        <v>10</v>
      </c>
      <c r="Q33">
        <v>26</v>
      </c>
      <c r="R33" s="4">
        <v>0.38461538461538464</v>
      </c>
      <c r="S33">
        <v>8</v>
      </c>
      <c r="T33">
        <v>12</v>
      </c>
      <c r="U33">
        <v>20</v>
      </c>
      <c r="V33" s="4">
        <v>0.6</v>
      </c>
      <c r="W33">
        <v>8</v>
      </c>
      <c r="X33">
        <v>10</v>
      </c>
      <c r="Y33">
        <v>18</v>
      </c>
      <c r="Z33" s="4">
        <v>0.55555555555555558</v>
      </c>
      <c r="AA33">
        <v>9</v>
      </c>
      <c r="AB33">
        <v>11</v>
      </c>
      <c r="AC33">
        <v>20</v>
      </c>
      <c r="AD33" s="4">
        <v>0.55000000000000004</v>
      </c>
      <c r="AE33">
        <v>16</v>
      </c>
      <c r="AF33">
        <v>27</v>
      </c>
      <c r="AG33">
        <v>43</v>
      </c>
      <c r="AH33" s="4">
        <v>0.62790697674418605</v>
      </c>
      <c r="AI33">
        <v>21</v>
      </c>
      <c r="AJ33">
        <v>22</v>
      </c>
      <c r="AK33">
        <v>43</v>
      </c>
      <c r="AL33" s="4">
        <v>0.51162790697674421</v>
      </c>
      <c r="AM33">
        <v>17</v>
      </c>
      <c r="AN33">
        <v>25</v>
      </c>
      <c r="AO33">
        <v>42</v>
      </c>
      <c r="AP33" s="4">
        <v>0.59523809523809523</v>
      </c>
      <c r="AQ33">
        <v>22</v>
      </c>
      <c r="AR33">
        <v>20</v>
      </c>
      <c r="AS33">
        <v>42</v>
      </c>
      <c r="AT33" s="4">
        <v>0.47619047619047616</v>
      </c>
      <c r="AU33">
        <v>22</v>
      </c>
      <c r="AV33">
        <v>39</v>
      </c>
      <c r="AW33">
        <v>61</v>
      </c>
      <c r="AX33" s="4">
        <v>0.63934426229508201</v>
      </c>
      <c r="AY33" s="33" t="s">
        <v>528</v>
      </c>
      <c r="AZ33" t="s">
        <v>552</v>
      </c>
      <c r="BA33" t="str">
        <f t="shared" si="0"/>
        <v>Proportion of BKA Scotland</v>
      </c>
      <c r="BB33" s="4">
        <v>0.46560846560846558</v>
      </c>
      <c r="BC33" s="4">
        <v>0.68018018018018012</v>
      </c>
      <c r="BD33" s="4">
        <v>0.57516339869281041</v>
      </c>
    </row>
    <row r="34" spans="1:56" x14ac:dyDescent="0.25">
      <c r="A34" t="s">
        <v>111</v>
      </c>
      <c r="B34" t="s">
        <v>110</v>
      </c>
      <c r="C34">
        <v>1</v>
      </c>
      <c r="D34">
        <v>1</v>
      </c>
      <c r="E34">
        <v>2</v>
      </c>
      <c r="F34" s="4">
        <v>0.5</v>
      </c>
      <c r="G34">
        <v>0</v>
      </c>
      <c r="H34">
        <v>0</v>
      </c>
      <c r="I34">
        <v>0</v>
      </c>
      <c r="J34" s="4" t="s">
        <v>122</v>
      </c>
      <c r="K34">
        <v>0</v>
      </c>
      <c r="L34">
        <v>0</v>
      </c>
      <c r="M34">
        <v>0</v>
      </c>
      <c r="N34" s="4" t="s">
        <v>122</v>
      </c>
      <c r="O34">
        <v>0</v>
      </c>
      <c r="P34">
        <v>1</v>
      </c>
      <c r="Q34">
        <v>1</v>
      </c>
      <c r="R34" s="4">
        <v>1</v>
      </c>
      <c r="S34">
        <v>1</v>
      </c>
      <c r="T34">
        <v>0</v>
      </c>
      <c r="U34">
        <v>1</v>
      </c>
      <c r="V34" s="4">
        <v>0</v>
      </c>
      <c r="W34">
        <v>1</v>
      </c>
      <c r="X34">
        <v>4</v>
      </c>
      <c r="Y34">
        <v>5</v>
      </c>
      <c r="Z34" s="4">
        <v>0.8</v>
      </c>
      <c r="AA34">
        <v>4</v>
      </c>
      <c r="AB34">
        <v>5</v>
      </c>
      <c r="AC34">
        <v>9</v>
      </c>
      <c r="AD34" s="4">
        <v>0.55555555555555558</v>
      </c>
      <c r="AE34">
        <v>6</v>
      </c>
      <c r="AF34">
        <v>5</v>
      </c>
      <c r="AG34">
        <v>11</v>
      </c>
      <c r="AH34" s="4">
        <v>0.45454545454545453</v>
      </c>
      <c r="AI34">
        <v>1</v>
      </c>
      <c r="AJ34">
        <v>5</v>
      </c>
      <c r="AK34">
        <v>6</v>
      </c>
      <c r="AL34" s="4">
        <v>0.83333333333333337</v>
      </c>
      <c r="AM34">
        <v>1</v>
      </c>
      <c r="AN34">
        <v>0</v>
      </c>
      <c r="AO34">
        <v>1</v>
      </c>
      <c r="AP34" s="4">
        <v>0</v>
      </c>
      <c r="AQ34">
        <v>4</v>
      </c>
      <c r="AR34">
        <v>2</v>
      </c>
      <c r="AS34">
        <v>6</v>
      </c>
      <c r="AT34" s="4">
        <v>0.33333333333333331</v>
      </c>
      <c r="AU34">
        <v>0</v>
      </c>
      <c r="AV34">
        <v>0</v>
      </c>
      <c r="AW34">
        <v>0</v>
      </c>
      <c r="AX34" s="4" t="s">
        <v>122</v>
      </c>
      <c r="AY34" s="33" t="s">
        <v>528</v>
      </c>
      <c r="AZ34" t="s">
        <v>552</v>
      </c>
      <c r="BA34" t="str">
        <f t="shared" si="0"/>
        <v>Proportion of BKA Scotland</v>
      </c>
      <c r="BB34" s="4">
        <v>0.46560846560846558</v>
      </c>
      <c r="BC34" s="4">
        <v>0.68018018018018012</v>
      </c>
      <c r="BD34" s="4">
        <v>0.57516339869281041</v>
      </c>
    </row>
    <row r="35" spans="1:56" x14ac:dyDescent="0.25">
      <c r="A35" t="s">
        <v>113</v>
      </c>
      <c r="B35" t="s">
        <v>112</v>
      </c>
      <c r="C35">
        <v>0</v>
      </c>
      <c r="D35">
        <v>0</v>
      </c>
      <c r="E35">
        <v>0</v>
      </c>
      <c r="F35" s="4" t="s">
        <v>122</v>
      </c>
      <c r="G35">
        <v>0</v>
      </c>
      <c r="H35">
        <v>0</v>
      </c>
      <c r="I35">
        <v>0</v>
      </c>
      <c r="J35" s="4" t="s">
        <v>122</v>
      </c>
      <c r="K35">
        <v>2</v>
      </c>
      <c r="L35">
        <v>3</v>
      </c>
      <c r="M35">
        <v>5</v>
      </c>
      <c r="N35" s="4">
        <v>0.6</v>
      </c>
      <c r="O35">
        <v>12</v>
      </c>
      <c r="P35">
        <v>6</v>
      </c>
      <c r="Q35">
        <v>18</v>
      </c>
      <c r="R35" s="4">
        <v>0.33333333333333331</v>
      </c>
      <c r="S35">
        <v>2</v>
      </c>
      <c r="T35">
        <v>12</v>
      </c>
      <c r="U35">
        <v>14</v>
      </c>
      <c r="V35" s="4">
        <v>0.8571428571428571</v>
      </c>
      <c r="W35">
        <v>0</v>
      </c>
      <c r="X35">
        <v>5</v>
      </c>
      <c r="Y35">
        <v>5</v>
      </c>
      <c r="Z35" s="4">
        <v>1</v>
      </c>
      <c r="AA35">
        <v>4</v>
      </c>
      <c r="AB35">
        <v>9</v>
      </c>
      <c r="AC35">
        <v>13</v>
      </c>
      <c r="AD35" s="4">
        <v>0.69230769230769229</v>
      </c>
      <c r="AE35">
        <v>2</v>
      </c>
      <c r="AF35">
        <v>7</v>
      </c>
      <c r="AG35">
        <v>9</v>
      </c>
      <c r="AH35" s="4">
        <v>0.77777777777777779</v>
      </c>
      <c r="AI35">
        <v>2</v>
      </c>
      <c r="AJ35">
        <v>6</v>
      </c>
      <c r="AK35">
        <v>8</v>
      </c>
      <c r="AL35" s="4">
        <v>0.75</v>
      </c>
      <c r="AM35">
        <v>7</v>
      </c>
      <c r="AN35">
        <v>7</v>
      </c>
      <c r="AO35">
        <v>14</v>
      </c>
      <c r="AP35" s="4">
        <v>0.5</v>
      </c>
      <c r="AQ35">
        <v>18</v>
      </c>
      <c r="AR35">
        <v>18</v>
      </c>
      <c r="AS35">
        <v>36</v>
      </c>
      <c r="AT35" s="4">
        <v>0.5</v>
      </c>
      <c r="AU35">
        <v>7</v>
      </c>
      <c r="AV35">
        <v>9</v>
      </c>
      <c r="AW35">
        <v>16</v>
      </c>
      <c r="AX35" s="4">
        <v>0.5625</v>
      </c>
      <c r="AY35" s="33" t="s">
        <v>528</v>
      </c>
      <c r="AZ35" t="s">
        <v>552</v>
      </c>
      <c r="BA35" t="str">
        <f t="shared" si="0"/>
        <v>Proportion of BKA Scotland</v>
      </c>
      <c r="BB35" s="4">
        <v>0.46560846560846558</v>
      </c>
      <c r="BC35" s="4">
        <v>0.68018018018018012</v>
      </c>
      <c r="BD35" s="4">
        <v>0.57516339869281041</v>
      </c>
    </row>
    <row r="36" spans="1:56" x14ac:dyDescent="0.25">
      <c r="A36" t="s">
        <v>52</v>
      </c>
      <c r="B36" t="s">
        <v>51</v>
      </c>
      <c r="C36">
        <v>13</v>
      </c>
      <c r="D36">
        <v>8</v>
      </c>
      <c r="E36">
        <v>21</v>
      </c>
      <c r="F36" s="4">
        <v>0.38095238095238093</v>
      </c>
      <c r="G36">
        <v>5</v>
      </c>
      <c r="H36">
        <v>9</v>
      </c>
      <c r="I36">
        <v>14</v>
      </c>
      <c r="J36" s="4">
        <v>0.6428571428571429</v>
      </c>
      <c r="K36">
        <v>13</v>
      </c>
      <c r="L36">
        <v>14</v>
      </c>
      <c r="M36">
        <v>27</v>
      </c>
      <c r="N36" s="4">
        <v>0.51851851851851849</v>
      </c>
      <c r="O36">
        <v>8</v>
      </c>
      <c r="P36">
        <v>11</v>
      </c>
      <c r="Q36">
        <v>19</v>
      </c>
      <c r="R36" s="4">
        <v>0.57894736842105265</v>
      </c>
      <c r="S36">
        <v>14</v>
      </c>
      <c r="T36">
        <v>10</v>
      </c>
      <c r="U36">
        <v>24</v>
      </c>
      <c r="V36" s="4">
        <v>0.41666666666666669</v>
      </c>
      <c r="W36">
        <v>12</v>
      </c>
      <c r="X36">
        <v>14</v>
      </c>
      <c r="Y36">
        <v>26</v>
      </c>
      <c r="Z36" s="4">
        <v>0.53846153846153844</v>
      </c>
      <c r="AA36">
        <v>8</v>
      </c>
      <c r="AB36">
        <v>17</v>
      </c>
      <c r="AC36">
        <v>25</v>
      </c>
      <c r="AD36" s="4">
        <v>0.68</v>
      </c>
      <c r="AE36">
        <v>3</v>
      </c>
      <c r="AF36">
        <v>17</v>
      </c>
      <c r="AG36">
        <v>20</v>
      </c>
      <c r="AH36" s="4">
        <v>0.85</v>
      </c>
      <c r="AI36">
        <v>9</v>
      </c>
      <c r="AJ36">
        <v>12</v>
      </c>
      <c r="AK36">
        <v>21</v>
      </c>
      <c r="AL36" s="4">
        <v>0.5714285714285714</v>
      </c>
      <c r="AM36">
        <v>8</v>
      </c>
      <c r="AN36">
        <v>15</v>
      </c>
      <c r="AO36">
        <v>23</v>
      </c>
      <c r="AP36" s="4">
        <v>0.65217391304347827</v>
      </c>
      <c r="AQ36">
        <v>6</v>
      </c>
      <c r="AR36">
        <v>23</v>
      </c>
      <c r="AS36">
        <v>29</v>
      </c>
      <c r="AT36" s="4">
        <v>0.7931034482758621</v>
      </c>
      <c r="AU36">
        <v>12</v>
      </c>
      <c r="AV36">
        <v>18</v>
      </c>
      <c r="AW36">
        <v>30</v>
      </c>
      <c r="AX36" s="4">
        <v>0.6</v>
      </c>
      <c r="AY36" s="33" t="s">
        <v>526</v>
      </c>
      <c r="AZ36" t="s">
        <v>552</v>
      </c>
      <c r="BA36" t="str">
        <f t="shared" si="0"/>
        <v>Proportion of BKA England</v>
      </c>
      <c r="BB36" s="4">
        <v>0.49722494286647079</v>
      </c>
      <c r="BC36" s="4">
        <v>0.51047619047619053</v>
      </c>
      <c r="BD36" s="4">
        <v>0.55058139534883721</v>
      </c>
    </row>
    <row r="37" spans="1:56" x14ac:dyDescent="0.25">
      <c r="A37" t="s">
        <v>79</v>
      </c>
      <c r="B37" t="s">
        <v>78</v>
      </c>
      <c r="C37">
        <v>8</v>
      </c>
      <c r="D37">
        <v>13</v>
      </c>
      <c r="E37">
        <v>21</v>
      </c>
      <c r="F37" s="4">
        <v>0.61904761904761907</v>
      </c>
      <c r="G37">
        <v>2</v>
      </c>
      <c r="H37">
        <v>2</v>
      </c>
      <c r="I37">
        <v>4</v>
      </c>
      <c r="J37" s="4">
        <v>0.5</v>
      </c>
      <c r="K37">
        <v>6</v>
      </c>
      <c r="L37">
        <v>7</v>
      </c>
      <c r="M37">
        <v>13</v>
      </c>
      <c r="N37" s="4">
        <v>0.53846153846153844</v>
      </c>
      <c r="O37">
        <v>9</v>
      </c>
      <c r="P37">
        <v>13</v>
      </c>
      <c r="Q37">
        <v>22</v>
      </c>
      <c r="R37" s="4">
        <v>0.59090909090909094</v>
      </c>
      <c r="S37">
        <v>7</v>
      </c>
      <c r="T37">
        <v>8</v>
      </c>
      <c r="U37">
        <v>15</v>
      </c>
      <c r="V37" s="4">
        <v>0.53333333333333333</v>
      </c>
      <c r="W37">
        <v>7</v>
      </c>
      <c r="X37">
        <v>13</v>
      </c>
      <c r="Y37">
        <v>20</v>
      </c>
      <c r="Z37" s="4">
        <v>0.65</v>
      </c>
      <c r="AA37">
        <v>7</v>
      </c>
      <c r="AB37">
        <v>14</v>
      </c>
      <c r="AC37">
        <v>21</v>
      </c>
      <c r="AD37" s="4">
        <v>0.66666666666666663</v>
      </c>
      <c r="AE37">
        <v>11</v>
      </c>
      <c r="AF37">
        <v>13</v>
      </c>
      <c r="AG37">
        <v>24</v>
      </c>
      <c r="AH37" s="4">
        <v>0.54166666666666663</v>
      </c>
      <c r="AI37">
        <v>5</v>
      </c>
      <c r="AJ37">
        <v>15</v>
      </c>
      <c r="AK37">
        <v>20</v>
      </c>
      <c r="AL37" s="4">
        <v>0.75</v>
      </c>
      <c r="AM37">
        <v>4</v>
      </c>
      <c r="AN37">
        <v>12</v>
      </c>
      <c r="AO37">
        <v>16</v>
      </c>
      <c r="AP37" s="4">
        <v>0.75</v>
      </c>
      <c r="AQ37">
        <v>6</v>
      </c>
      <c r="AR37">
        <v>13</v>
      </c>
      <c r="AS37">
        <v>19</v>
      </c>
      <c r="AT37" s="4">
        <v>0.68421052631578949</v>
      </c>
      <c r="AU37">
        <v>9</v>
      </c>
      <c r="AV37">
        <v>12</v>
      </c>
      <c r="AW37">
        <v>21</v>
      </c>
      <c r="AX37" s="4">
        <v>0.5714285714285714</v>
      </c>
      <c r="AY37" s="33" t="s">
        <v>526</v>
      </c>
      <c r="AZ37" t="s">
        <v>552</v>
      </c>
      <c r="BA37" t="str">
        <f t="shared" si="0"/>
        <v>Proportion of BKA England</v>
      </c>
      <c r="BB37" s="4">
        <v>0.49722494286647079</v>
      </c>
      <c r="BC37" s="4">
        <v>0.51047619047619053</v>
      </c>
      <c r="BD37" s="4">
        <v>0.55058139534883721</v>
      </c>
    </row>
    <row r="38" spans="1:56" x14ac:dyDescent="0.25">
      <c r="A38" t="s">
        <v>146</v>
      </c>
      <c r="B38" t="s">
        <v>155</v>
      </c>
      <c r="C38">
        <v>4</v>
      </c>
      <c r="D38">
        <v>3</v>
      </c>
      <c r="E38">
        <v>7</v>
      </c>
      <c r="F38" s="4">
        <v>0.42857142857142855</v>
      </c>
      <c r="G38">
        <v>10</v>
      </c>
      <c r="H38">
        <v>3</v>
      </c>
      <c r="I38">
        <v>13</v>
      </c>
      <c r="J38" s="4">
        <v>0.23076923076923078</v>
      </c>
      <c r="K38">
        <v>6</v>
      </c>
      <c r="L38">
        <v>5</v>
      </c>
      <c r="M38">
        <v>11</v>
      </c>
      <c r="N38" s="4">
        <v>0.45454545454545453</v>
      </c>
      <c r="O38">
        <v>6</v>
      </c>
      <c r="P38">
        <v>6</v>
      </c>
      <c r="Q38">
        <v>12</v>
      </c>
      <c r="R38" s="4">
        <v>0.5</v>
      </c>
      <c r="S38">
        <v>2</v>
      </c>
      <c r="T38">
        <v>5</v>
      </c>
      <c r="U38">
        <v>7</v>
      </c>
      <c r="V38" s="4">
        <v>0.7142857142857143</v>
      </c>
      <c r="W38">
        <v>4</v>
      </c>
      <c r="X38">
        <v>3</v>
      </c>
      <c r="Y38">
        <v>7</v>
      </c>
      <c r="Z38" s="4">
        <v>0.42857142857142855</v>
      </c>
      <c r="AA38">
        <v>6</v>
      </c>
      <c r="AB38">
        <v>6</v>
      </c>
      <c r="AC38">
        <v>12</v>
      </c>
      <c r="AD38" s="4">
        <v>0.5</v>
      </c>
      <c r="AE38">
        <v>8</v>
      </c>
      <c r="AF38">
        <v>5</v>
      </c>
      <c r="AG38">
        <v>13</v>
      </c>
      <c r="AH38" s="4">
        <v>0.38461538461538464</v>
      </c>
      <c r="AI38">
        <v>2</v>
      </c>
      <c r="AJ38">
        <v>3</v>
      </c>
      <c r="AK38">
        <v>5</v>
      </c>
      <c r="AL38" s="4">
        <v>0.6</v>
      </c>
      <c r="AM38">
        <v>5</v>
      </c>
      <c r="AN38">
        <v>3</v>
      </c>
      <c r="AO38">
        <v>8</v>
      </c>
      <c r="AP38" s="4">
        <v>0.375</v>
      </c>
      <c r="AQ38">
        <v>6</v>
      </c>
      <c r="AR38">
        <v>4</v>
      </c>
      <c r="AS38">
        <v>10</v>
      </c>
      <c r="AT38" s="4">
        <v>0.4</v>
      </c>
      <c r="AU38">
        <v>3</v>
      </c>
      <c r="AV38">
        <v>5</v>
      </c>
      <c r="AW38">
        <v>8</v>
      </c>
      <c r="AX38" s="4">
        <v>0.625</v>
      </c>
      <c r="AY38" s="33" t="s">
        <v>526</v>
      </c>
      <c r="AZ38" t="s">
        <v>552</v>
      </c>
      <c r="BA38" t="str">
        <f t="shared" si="0"/>
        <v>Proportion of BKA England</v>
      </c>
      <c r="BB38" s="4">
        <v>0.49722494286647079</v>
      </c>
      <c r="BC38" s="4">
        <v>0.51047619047619053</v>
      </c>
      <c r="BD38" s="4">
        <v>0.55058139534883721</v>
      </c>
    </row>
    <row r="39" spans="1:56" x14ac:dyDescent="0.25">
      <c r="A39" t="s">
        <v>56</v>
      </c>
      <c r="B39" t="s">
        <v>55</v>
      </c>
      <c r="C39">
        <v>5</v>
      </c>
      <c r="D39">
        <v>8</v>
      </c>
      <c r="E39">
        <v>13</v>
      </c>
      <c r="F39" s="4">
        <v>0.61538461538461542</v>
      </c>
      <c r="G39">
        <v>6</v>
      </c>
      <c r="H39">
        <v>3</v>
      </c>
      <c r="I39">
        <v>9</v>
      </c>
      <c r="J39" s="4">
        <v>0.33333333333333331</v>
      </c>
      <c r="K39">
        <v>5</v>
      </c>
      <c r="L39">
        <v>7</v>
      </c>
      <c r="M39">
        <v>12</v>
      </c>
      <c r="N39" s="4">
        <v>0.58333333333333337</v>
      </c>
      <c r="O39">
        <v>4</v>
      </c>
      <c r="P39">
        <v>2</v>
      </c>
      <c r="Q39">
        <v>6</v>
      </c>
      <c r="R39" s="4">
        <v>0.33333333333333331</v>
      </c>
      <c r="S39">
        <v>5</v>
      </c>
      <c r="T39">
        <v>5</v>
      </c>
      <c r="U39">
        <v>10</v>
      </c>
      <c r="V39" s="4">
        <v>0.5</v>
      </c>
      <c r="W39">
        <v>7</v>
      </c>
      <c r="X39">
        <v>3</v>
      </c>
      <c r="Y39">
        <v>10</v>
      </c>
      <c r="Z39" s="4">
        <v>0.3</v>
      </c>
      <c r="AA39">
        <v>1</v>
      </c>
      <c r="AB39">
        <v>3</v>
      </c>
      <c r="AC39">
        <v>4</v>
      </c>
      <c r="AD39" s="4">
        <v>0.75</v>
      </c>
      <c r="AE39">
        <v>6</v>
      </c>
      <c r="AF39">
        <v>3</v>
      </c>
      <c r="AG39">
        <v>9</v>
      </c>
      <c r="AH39" s="4">
        <v>0.33333333333333331</v>
      </c>
      <c r="AI39">
        <v>2</v>
      </c>
      <c r="AJ39">
        <v>6</v>
      </c>
      <c r="AK39">
        <v>8</v>
      </c>
      <c r="AL39" s="4">
        <v>0.75</v>
      </c>
      <c r="AM39">
        <v>5</v>
      </c>
      <c r="AN39">
        <v>3</v>
      </c>
      <c r="AO39">
        <v>8</v>
      </c>
      <c r="AP39" s="4">
        <v>0.375</v>
      </c>
      <c r="AQ39">
        <v>3</v>
      </c>
      <c r="AR39">
        <v>10</v>
      </c>
      <c r="AS39">
        <v>13</v>
      </c>
      <c r="AT39" s="4">
        <v>0.76923076923076927</v>
      </c>
      <c r="AU39">
        <v>4</v>
      </c>
      <c r="AV39">
        <v>5</v>
      </c>
      <c r="AW39">
        <v>9</v>
      </c>
      <c r="AX39" s="4">
        <v>0.55555555555555558</v>
      </c>
      <c r="AY39" s="33" t="s">
        <v>526</v>
      </c>
      <c r="AZ39" t="s">
        <v>552</v>
      </c>
      <c r="BA39" t="str">
        <f t="shared" si="0"/>
        <v>Proportion of BKA England</v>
      </c>
      <c r="BB39" s="4">
        <v>0.49722494286647079</v>
      </c>
      <c r="BC39" s="4">
        <v>0.51047619047619053</v>
      </c>
      <c r="BD39" s="4">
        <v>0.55058139534883721</v>
      </c>
    </row>
    <row r="40" spans="1:56" x14ac:dyDescent="0.25">
      <c r="A40" t="s">
        <v>154</v>
      </c>
      <c r="B40" t="s">
        <v>153</v>
      </c>
      <c r="C40">
        <v>17</v>
      </c>
      <c r="D40">
        <v>6</v>
      </c>
      <c r="E40">
        <v>23</v>
      </c>
      <c r="F40" s="4">
        <v>0.2608695652173913</v>
      </c>
      <c r="G40">
        <v>8</v>
      </c>
      <c r="H40">
        <v>11</v>
      </c>
      <c r="I40">
        <v>19</v>
      </c>
      <c r="J40" s="4">
        <v>0.57894736842105265</v>
      </c>
      <c r="K40">
        <v>9</v>
      </c>
      <c r="L40">
        <v>8</v>
      </c>
      <c r="M40">
        <v>17</v>
      </c>
      <c r="N40" s="4">
        <v>0.47058823529411764</v>
      </c>
      <c r="O40">
        <v>13</v>
      </c>
      <c r="P40">
        <v>5</v>
      </c>
      <c r="Q40">
        <v>18</v>
      </c>
      <c r="R40" s="4">
        <v>0.27777777777777779</v>
      </c>
      <c r="S40">
        <v>11</v>
      </c>
      <c r="T40">
        <v>12</v>
      </c>
      <c r="U40">
        <v>23</v>
      </c>
      <c r="V40" s="4">
        <v>0.52173913043478259</v>
      </c>
      <c r="W40">
        <v>7</v>
      </c>
      <c r="X40">
        <v>10</v>
      </c>
      <c r="Y40">
        <v>17</v>
      </c>
      <c r="Z40" s="4">
        <v>0.58823529411764708</v>
      </c>
      <c r="AA40">
        <v>12</v>
      </c>
      <c r="AB40">
        <v>9</v>
      </c>
      <c r="AC40">
        <v>21</v>
      </c>
      <c r="AD40" s="4">
        <v>0.42857142857142855</v>
      </c>
      <c r="AE40">
        <v>5</v>
      </c>
      <c r="AF40">
        <v>9</v>
      </c>
      <c r="AG40">
        <v>14</v>
      </c>
      <c r="AH40" s="4">
        <v>0.6428571428571429</v>
      </c>
      <c r="AI40">
        <v>12</v>
      </c>
      <c r="AJ40">
        <v>7</v>
      </c>
      <c r="AK40">
        <v>19</v>
      </c>
      <c r="AL40" s="4">
        <v>0.36842105263157893</v>
      </c>
      <c r="AM40">
        <v>7</v>
      </c>
      <c r="AN40">
        <v>11</v>
      </c>
      <c r="AO40">
        <v>18</v>
      </c>
      <c r="AP40" s="4">
        <v>0.61111111111111116</v>
      </c>
      <c r="AQ40">
        <v>16</v>
      </c>
      <c r="AR40">
        <v>8</v>
      </c>
      <c r="AS40">
        <v>24</v>
      </c>
      <c r="AT40" s="4">
        <v>0.33333333333333331</v>
      </c>
      <c r="AU40">
        <v>9</v>
      </c>
      <c r="AV40">
        <v>7</v>
      </c>
      <c r="AW40">
        <v>16</v>
      </c>
      <c r="AX40" s="4">
        <v>0.4375</v>
      </c>
      <c r="AY40" s="33" t="s">
        <v>526</v>
      </c>
      <c r="AZ40" t="s">
        <v>552</v>
      </c>
      <c r="BA40" t="str">
        <f t="shared" si="0"/>
        <v>Proportion of BKA England</v>
      </c>
      <c r="BB40" s="4">
        <v>0.49722494286647079</v>
      </c>
      <c r="BC40" s="4">
        <v>0.51047619047619053</v>
      </c>
      <c r="BD40" s="4">
        <v>0.55058139534883721</v>
      </c>
    </row>
    <row r="41" spans="1:56" x14ac:dyDescent="0.25">
      <c r="A41" t="s">
        <v>93</v>
      </c>
      <c r="B41" t="s">
        <v>92</v>
      </c>
      <c r="C41">
        <v>7</v>
      </c>
      <c r="D41">
        <v>6</v>
      </c>
      <c r="E41">
        <v>13</v>
      </c>
      <c r="F41" s="4">
        <v>0.46153846153846156</v>
      </c>
      <c r="G41">
        <v>17</v>
      </c>
      <c r="H41">
        <v>22</v>
      </c>
      <c r="I41">
        <v>39</v>
      </c>
      <c r="J41" s="4">
        <v>0.5641025641025641</v>
      </c>
      <c r="K41">
        <v>7</v>
      </c>
      <c r="L41">
        <v>20</v>
      </c>
      <c r="M41">
        <v>27</v>
      </c>
      <c r="N41" s="4">
        <v>0.7407407407407407</v>
      </c>
      <c r="O41">
        <v>4</v>
      </c>
      <c r="P41">
        <v>20</v>
      </c>
      <c r="Q41">
        <v>24</v>
      </c>
      <c r="R41" s="4">
        <v>0.83333333333333337</v>
      </c>
      <c r="S41">
        <v>3</v>
      </c>
      <c r="T41">
        <v>11</v>
      </c>
      <c r="U41">
        <v>14</v>
      </c>
      <c r="V41" s="4">
        <v>0.7857142857142857</v>
      </c>
      <c r="W41">
        <v>12</v>
      </c>
      <c r="X41">
        <v>14</v>
      </c>
      <c r="Y41">
        <v>26</v>
      </c>
      <c r="Z41" s="4">
        <v>0.53846153846153844</v>
      </c>
      <c r="AA41">
        <v>9</v>
      </c>
      <c r="AB41">
        <v>15</v>
      </c>
      <c r="AC41">
        <v>24</v>
      </c>
      <c r="AD41" s="4">
        <v>0.625</v>
      </c>
      <c r="AE41">
        <v>8</v>
      </c>
      <c r="AF41">
        <v>9</v>
      </c>
      <c r="AG41">
        <v>17</v>
      </c>
      <c r="AH41" s="4">
        <v>0.52941176470588236</v>
      </c>
      <c r="AI41">
        <v>18</v>
      </c>
      <c r="AJ41">
        <v>19</v>
      </c>
      <c r="AK41">
        <v>37</v>
      </c>
      <c r="AL41" s="4">
        <v>0.51351351351351349</v>
      </c>
      <c r="AM41">
        <v>9</v>
      </c>
      <c r="AN41">
        <v>10</v>
      </c>
      <c r="AO41">
        <v>19</v>
      </c>
      <c r="AP41" s="4">
        <v>0.52631578947368418</v>
      </c>
      <c r="AQ41">
        <v>11</v>
      </c>
      <c r="AR41">
        <v>20</v>
      </c>
      <c r="AS41">
        <v>31</v>
      </c>
      <c r="AT41" s="4">
        <v>0.64516129032258063</v>
      </c>
      <c r="AU41">
        <v>15</v>
      </c>
      <c r="AV41">
        <v>13</v>
      </c>
      <c r="AW41">
        <v>28</v>
      </c>
      <c r="AX41" s="4">
        <v>0.4642857142857143</v>
      </c>
      <c r="AY41" s="33" t="s">
        <v>526</v>
      </c>
      <c r="AZ41" t="s">
        <v>552</v>
      </c>
      <c r="BA41" t="str">
        <f t="shared" si="0"/>
        <v>Proportion of BKA England</v>
      </c>
      <c r="BB41" s="4">
        <v>0.49722494286647079</v>
      </c>
      <c r="BC41" s="4">
        <v>0.51047619047619053</v>
      </c>
      <c r="BD41" s="4">
        <v>0.55058139534883721</v>
      </c>
    </row>
    <row r="42" spans="1:56" x14ac:dyDescent="0.25">
      <c r="A42" t="s">
        <v>132</v>
      </c>
      <c r="B42" t="s">
        <v>75</v>
      </c>
      <c r="C42">
        <v>5</v>
      </c>
      <c r="D42">
        <v>3</v>
      </c>
      <c r="E42">
        <v>8</v>
      </c>
      <c r="F42" s="4">
        <v>0.375</v>
      </c>
      <c r="G42">
        <v>4</v>
      </c>
      <c r="H42">
        <v>2</v>
      </c>
      <c r="I42">
        <v>6</v>
      </c>
      <c r="J42" s="4">
        <v>0.33333333333333331</v>
      </c>
      <c r="K42">
        <v>10</v>
      </c>
      <c r="L42">
        <v>7</v>
      </c>
      <c r="M42">
        <v>17</v>
      </c>
      <c r="N42" s="4">
        <v>0.41176470588235292</v>
      </c>
      <c r="O42">
        <v>8</v>
      </c>
      <c r="P42">
        <v>3</v>
      </c>
      <c r="Q42">
        <v>11</v>
      </c>
      <c r="R42" s="4">
        <v>0.27272727272727271</v>
      </c>
      <c r="S42">
        <v>3</v>
      </c>
      <c r="T42">
        <v>4</v>
      </c>
      <c r="U42">
        <v>7</v>
      </c>
      <c r="V42" s="4">
        <v>0.5714285714285714</v>
      </c>
      <c r="W42">
        <v>10</v>
      </c>
      <c r="X42">
        <v>6</v>
      </c>
      <c r="Y42">
        <v>16</v>
      </c>
      <c r="Z42" s="4">
        <v>0.375</v>
      </c>
      <c r="AA42">
        <v>3</v>
      </c>
      <c r="AB42">
        <v>11</v>
      </c>
      <c r="AC42">
        <v>14</v>
      </c>
      <c r="AD42" s="4">
        <v>0.7857142857142857</v>
      </c>
      <c r="AE42">
        <v>9</v>
      </c>
      <c r="AF42">
        <v>9</v>
      </c>
      <c r="AG42">
        <v>18</v>
      </c>
      <c r="AH42" s="4">
        <v>0.5</v>
      </c>
      <c r="AI42">
        <v>5</v>
      </c>
      <c r="AJ42">
        <v>13</v>
      </c>
      <c r="AK42">
        <v>18</v>
      </c>
      <c r="AL42" s="4">
        <v>0.72222222222222221</v>
      </c>
      <c r="AM42">
        <v>8</v>
      </c>
      <c r="AN42">
        <v>5</v>
      </c>
      <c r="AO42">
        <v>13</v>
      </c>
      <c r="AP42" s="4">
        <v>0.38461538461538464</v>
      </c>
      <c r="AQ42">
        <v>8</v>
      </c>
      <c r="AR42">
        <v>11</v>
      </c>
      <c r="AS42">
        <v>19</v>
      </c>
      <c r="AT42" s="4">
        <v>0.57894736842105265</v>
      </c>
      <c r="AU42">
        <v>8</v>
      </c>
      <c r="AV42">
        <v>6</v>
      </c>
      <c r="AW42">
        <v>14</v>
      </c>
      <c r="AX42" s="4">
        <v>0.42857142857142855</v>
      </c>
      <c r="AY42" s="33" t="s">
        <v>526</v>
      </c>
      <c r="AZ42" t="s">
        <v>552</v>
      </c>
      <c r="BA42" t="str">
        <f t="shared" si="0"/>
        <v>Proportion of BKA England</v>
      </c>
      <c r="BB42" s="4">
        <v>0.49722494286647079</v>
      </c>
      <c r="BC42" s="4">
        <v>0.51047619047619053</v>
      </c>
      <c r="BD42" s="4">
        <v>0.55058139534883721</v>
      </c>
    </row>
    <row r="43" spans="1:56" x14ac:dyDescent="0.25">
      <c r="A43" t="s">
        <v>61</v>
      </c>
      <c r="B43" t="s">
        <v>60</v>
      </c>
      <c r="C43">
        <v>3</v>
      </c>
      <c r="D43">
        <v>1</v>
      </c>
      <c r="E43">
        <v>4</v>
      </c>
      <c r="F43" s="4">
        <v>0.25</v>
      </c>
      <c r="G43">
        <v>3</v>
      </c>
      <c r="H43">
        <v>1</v>
      </c>
      <c r="I43">
        <v>4</v>
      </c>
      <c r="J43" s="4">
        <v>0.25</v>
      </c>
      <c r="K43">
        <v>0</v>
      </c>
      <c r="L43">
        <v>1</v>
      </c>
      <c r="M43">
        <v>1</v>
      </c>
      <c r="N43" s="4">
        <v>1</v>
      </c>
      <c r="O43">
        <v>0</v>
      </c>
      <c r="P43">
        <v>0</v>
      </c>
      <c r="Q43">
        <v>0</v>
      </c>
      <c r="R43" s="4" t="s">
        <v>122</v>
      </c>
      <c r="S43">
        <v>0</v>
      </c>
      <c r="T43">
        <v>0</v>
      </c>
      <c r="U43">
        <v>0</v>
      </c>
      <c r="V43" s="4" t="s">
        <v>122</v>
      </c>
      <c r="W43">
        <v>0</v>
      </c>
      <c r="X43">
        <v>0</v>
      </c>
      <c r="Y43">
        <v>0</v>
      </c>
      <c r="Z43" s="4" t="s">
        <v>122</v>
      </c>
      <c r="AA43">
        <v>1</v>
      </c>
      <c r="AB43">
        <v>0</v>
      </c>
      <c r="AC43">
        <v>1</v>
      </c>
      <c r="AD43" s="4">
        <v>0</v>
      </c>
      <c r="AE43">
        <v>0</v>
      </c>
      <c r="AF43">
        <v>2</v>
      </c>
      <c r="AG43">
        <v>2</v>
      </c>
      <c r="AH43" s="4">
        <v>1</v>
      </c>
      <c r="AI43">
        <v>0</v>
      </c>
      <c r="AJ43">
        <v>1</v>
      </c>
      <c r="AK43">
        <v>1</v>
      </c>
      <c r="AL43" s="4">
        <v>1</v>
      </c>
      <c r="AM43">
        <v>0</v>
      </c>
      <c r="AN43">
        <v>0</v>
      </c>
      <c r="AO43">
        <v>0</v>
      </c>
      <c r="AP43" s="4" t="s">
        <v>122</v>
      </c>
      <c r="AQ43">
        <v>2</v>
      </c>
      <c r="AR43">
        <v>2</v>
      </c>
      <c r="AS43">
        <v>4</v>
      </c>
      <c r="AT43" s="4">
        <v>0.5</v>
      </c>
      <c r="AU43">
        <v>1</v>
      </c>
      <c r="AV43">
        <v>0</v>
      </c>
      <c r="AW43">
        <v>1</v>
      </c>
      <c r="AX43" s="4">
        <v>0</v>
      </c>
      <c r="AY43" s="33" t="s">
        <v>526</v>
      </c>
      <c r="AZ43" t="s">
        <v>552</v>
      </c>
      <c r="BA43" t="str">
        <f t="shared" si="0"/>
        <v>Proportion of BKA England</v>
      </c>
      <c r="BB43" s="4">
        <v>0.49722494286647079</v>
      </c>
      <c r="BC43" s="4">
        <v>0.51047619047619053</v>
      </c>
      <c r="BD43" s="4">
        <v>0.55058139534883721</v>
      </c>
    </row>
    <row r="44" spans="1:56" x14ac:dyDescent="0.25">
      <c r="A44" t="s">
        <v>24</v>
      </c>
      <c r="B44" t="s">
        <v>23</v>
      </c>
      <c r="C44">
        <v>4</v>
      </c>
      <c r="D44">
        <v>5</v>
      </c>
      <c r="E44">
        <v>9</v>
      </c>
      <c r="F44" s="4">
        <v>0.55555555555555558</v>
      </c>
      <c r="G44">
        <v>2</v>
      </c>
      <c r="H44">
        <v>7</v>
      </c>
      <c r="I44">
        <v>9</v>
      </c>
      <c r="J44" s="4">
        <v>0.77777777777777779</v>
      </c>
      <c r="K44">
        <v>4</v>
      </c>
      <c r="L44">
        <v>8</v>
      </c>
      <c r="M44">
        <v>12</v>
      </c>
      <c r="N44" s="4">
        <v>0.66666666666666663</v>
      </c>
      <c r="O44">
        <v>1</v>
      </c>
      <c r="P44">
        <v>3</v>
      </c>
      <c r="Q44">
        <v>4</v>
      </c>
      <c r="R44" s="4">
        <v>0.75</v>
      </c>
      <c r="S44">
        <v>3</v>
      </c>
      <c r="T44">
        <v>11</v>
      </c>
      <c r="U44">
        <v>14</v>
      </c>
      <c r="V44" s="4">
        <v>0.7857142857142857</v>
      </c>
      <c r="W44">
        <v>4</v>
      </c>
      <c r="X44">
        <v>5</v>
      </c>
      <c r="Y44">
        <v>9</v>
      </c>
      <c r="Z44" s="4">
        <v>0.55555555555555558</v>
      </c>
      <c r="AA44">
        <v>4</v>
      </c>
      <c r="AB44">
        <v>8</v>
      </c>
      <c r="AC44">
        <v>12</v>
      </c>
      <c r="AD44" s="4">
        <v>0.66666666666666663</v>
      </c>
      <c r="AE44">
        <v>5</v>
      </c>
      <c r="AF44">
        <v>4</v>
      </c>
      <c r="AG44">
        <v>9</v>
      </c>
      <c r="AH44" s="4">
        <v>0.44444444444444442</v>
      </c>
      <c r="AI44">
        <v>5</v>
      </c>
      <c r="AJ44">
        <v>5</v>
      </c>
      <c r="AK44">
        <v>10</v>
      </c>
      <c r="AL44" s="4">
        <v>0.5</v>
      </c>
      <c r="AM44">
        <v>6</v>
      </c>
      <c r="AN44">
        <v>3</v>
      </c>
      <c r="AO44">
        <v>9</v>
      </c>
      <c r="AP44" s="4">
        <v>0.33333333333333331</v>
      </c>
      <c r="AQ44">
        <v>11</v>
      </c>
      <c r="AR44">
        <v>13</v>
      </c>
      <c r="AS44">
        <v>24</v>
      </c>
      <c r="AT44" s="4">
        <v>0.54166666666666663</v>
      </c>
      <c r="AU44">
        <v>8</v>
      </c>
      <c r="AV44">
        <v>3</v>
      </c>
      <c r="AW44">
        <v>11</v>
      </c>
      <c r="AX44" s="4">
        <v>0.27272727272727271</v>
      </c>
      <c r="AY44" s="33" t="s">
        <v>526</v>
      </c>
      <c r="AZ44" t="s">
        <v>552</v>
      </c>
      <c r="BA44" t="str">
        <f t="shared" si="0"/>
        <v>Proportion of BKA England</v>
      </c>
      <c r="BB44" s="4">
        <v>0.49722494286647079</v>
      </c>
      <c r="BC44" s="4">
        <v>0.51047619047619053</v>
      </c>
      <c r="BD44" s="4">
        <v>0.55058139534883721</v>
      </c>
    </row>
    <row r="45" spans="1:56" x14ac:dyDescent="0.25">
      <c r="A45" t="s">
        <v>159</v>
      </c>
      <c r="B45" t="s">
        <v>31</v>
      </c>
      <c r="C45">
        <v>6</v>
      </c>
      <c r="D45">
        <v>4</v>
      </c>
      <c r="E45">
        <v>10</v>
      </c>
      <c r="F45" s="4">
        <v>0.4</v>
      </c>
      <c r="G45">
        <v>4</v>
      </c>
      <c r="H45">
        <v>10</v>
      </c>
      <c r="I45">
        <v>14</v>
      </c>
      <c r="J45" s="4">
        <v>0.7142857142857143</v>
      </c>
      <c r="K45">
        <v>1</v>
      </c>
      <c r="L45">
        <v>7</v>
      </c>
      <c r="M45">
        <v>8</v>
      </c>
      <c r="N45" s="4">
        <v>0.875</v>
      </c>
      <c r="O45">
        <v>3</v>
      </c>
      <c r="P45">
        <v>4</v>
      </c>
      <c r="Q45">
        <v>7</v>
      </c>
      <c r="R45" s="4">
        <v>0.5714285714285714</v>
      </c>
      <c r="S45">
        <v>5</v>
      </c>
      <c r="T45">
        <v>6</v>
      </c>
      <c r="U45">
        <v>11</v>
      </c>
      <c r="V45" s="4">
        <v>0.54545454545454541</v>
      </c>
      <c r="W45">
        <v>7</v>
      </c>
      <c r="X45">
        <v>5</v>
      </c>
      <c r="Y45">
        <v>12</v>
      </c>
      <c r="Z45" s="4">
        <v>0.41666666666666669</v>
      </c>
      <c r="AA45">
        <v>12</v>
      </c>
      <c r="AB45">
        <v>9</v>
      </c>
      <c r="AC45">
        <v>21</v>
      </c>
      <c r="AD45" s="4">
        <v>0.42857142857142855</v>
      </c>
      <c r="AE45">
        <v>8</v>
      </c>
      <c r="AF45">
        <v>7</v>
      </c>
      <c r="AG45">
        <v>15</v>
      </c>
      <c r="AH45" s="4">
        <v>0.46666666666666667</v>
      </c>
      <c r="AI45">
        <v>2</v>
      </c>
      <c r="AJ45">
        <v>6</v>
      </c>
      <c r="AK45">
        <v>8</v>
      </c>
      <c r="AL45" s="4">
        <v>0.75</v>
      </c>
      <c r="AM45">
        <v>8</v>
      </c>
      <c r="AN45">
        <v>7</v>
      </c>
      <c r="AO45">
        <v>15</v>
      </c>
      <c r="AP45" s="4">
        <v>0.46666666666666667</v>
      </c>
      <c r="AQ45">
        <v>2</v>
      </c>
      <c r="AR45">
        <v>10</v>
      </c>
      <c r="AS45">
        <v>12</v>
      </c>
      <c r="AT45" s="4">
        <v>0.83333333333333337</v>
      </c>
      <c r="AU45">
        <v>7</v>
      </c>
      <c r="AV45">
        <v>9</v>
      </c>
      <c r="AW45">
        <v>16</v>
      </c>
      <c r="AX45" s="4">
        <v>0.5625</v>
      </c>
      <c r="AY45" s="33" t="s">
        <v>526</v>
      </c>
      <c r="AZ45" t="s">
        <v>552</v>
      </c>
      <c r="BA45" t="str">
        <f t="shared" si="0"/>
        <v>Proportion of BKA England</v>
      </c>
      <c r="BB45" s="4">
        <v>0.49722494286647079</v>
      </c>
      <c r="BC45" s="4">
        <v>0.51047619047619053</v>
      </c>
      <c r="BD45" s="4">
        <v>0.55058139534883721</v>
      </c>
    </row>
    <row r="46" spans="1:56" x14ac:dyDescent="0.25">
      <c r="A46" t="s">
        <v>16</v>
      </c>
      <c r="B46" t="s">
        <v>15</v>
      </c>
      <c r="C46">
        <v>8</v>
      </c>
      <c r="D46">
        <v>4</v>
      </c>
      <c r="E46">
        <v>12</v>
      </c>
      <c r="F46" s="4">
        <v>0.33333333333333331</v>
      </c>
      <c r="G46">
        <v>9</v>
      </c>
      <c r="H46">
        <v>2</v>
      </c>
      <c r="I46">
        <v>11</v>
      </c>
      <c r="J46" s="4">
        <v>0.18181818181818182</v>
      </c>
      <c r="K46">
        <v>3</v>
      </c>
      <c r="L46">
        <v>0</v>
      </c>
      <c r="M46">
        <v>3</v>
      </c>
      <c r="N46" s="4">
        <v>0</v>
      </c>
      <c r="O46">
        <v>1</v>
      </c>
      <c r="P46">
        <v>0</v>
      </c>
      <c r="Q46">
        <v>1</v>
      </c>
      <c r="R46" s="4">
        <v>0</v>
      </c>
      <c r="S46">
        <v>2</v>
      </c>
      <c r="T46">
        <v>3</v>
      </c>
      <c r="U46">
        <v>5</v>
      </c>
      <c r="V46" s="4">
        <v>0.6</v>
      </c>
      <c r="W46">
        <v>1</v>
      </c>
      <c r="X46">
        <v>0</v>
      </c>
      <c r="Y46">
        <v>1</v>
      </c>
      <c r="Z46" s="4">
        <v>0</v>
      </c>
      <c r="AA46">
        <v>0</v>
      </c>
      <c r="AB46">
        <v>2</v>
      </c>
      <c r="AC46">
        <v>2</v>
      </c>
      <c r="AD46" s="4">
        <v>1</v>
      </c>
      <c r="AE46">
        <v>0</v>
      </c>
      <c r="AF46">
        <v>3</v>
      </c>
      <c r="AG46">
        <v>3</v>
      </c>
      <c r="AH46" s="4">
        <v>1</v>
      </c>
      <c r="AI46">
        <v>0</v>
      </c>
      <c r="AJ46">
        <v>1</v>
      </c>
      <c r="AK46">
        <v>1</v>
      </c>
      <c r="AL46" s="4">
        <v>1</v>
      </c>
      <c r="AM46">
        <v>2</v>
      </c>
      <c r="AN46">
        <v>0</v>
      </c>
      <c r="AO46">
        <v>2</v>
      </c>
      <c r="AP46" s="4">
        <v>0</v>
      </c>
      <c r="AQ46">
        <v>2</v>
      </c>
      <c r="AR46">
        <v>7</v>
      </c>
      <c r="AS46">
        <v>9</v>
      </c>
      <c r="AT46" s="4">
        <v>0.77777777777777779</v>
      </c>
      <c r="AU46">
        <v>2</v>
      </c>
      <c r="AV46">
        <v>1</v>
      </c>
      <c r="AW46">
        <v>3</v>
      </c>
      <c r="AX46" s="4">
        <v>0.33333333333333331</v>
      </c>
      <c r="AY46" s="33" t="s">
        <v>526</v>
      </c>
      <c r="AZ46" t="s">
        <v>552</v>
      </c>
      <c r="BA46" t="str">
        <f t="shared" si="0"/>
        <v>Proportion of BKA England</v>
      </c>
      <c r="BB46" s="4">
        <v>0.49722494286647079</v>
      </c>
      <c r="BC46" s="4">
        <v>0.51047619047619053</v>
      </c>
      <c r="BD46" s="4">
        <v>0.55058139534883721</v>
      </c>
    </row>
    <row r="47" spans="1:56" x14ac:dyDescent="0.25">
      <c r="A47" t="s">
        <v>35</v>
      </c>
      <c r="B47" t="s">
        <v>34</v>
      </c>
      <c r="C47">
        <v>2</v>
      </c>
      <c r="D47">
        <v>0</v>
      </c>
      <c r="E47">
        <v>2</v>
      </c>
      <c r="F47" s="4">
        <v>0</v>
      </c>
      <c r="G47">
        <v>1</v>
      </c>
      <c r="H47">
        <v>1</v>
      </c>
      <c r="I47">
        <v>2</v>
      </c>
      <c r="J47" s="4">
        <v>0.5</v>
      </c>
      <c r="K47">
        <v>2</v>
      </c>
      <c r="L47">
        <v>2</v>
      </c>
      <c r="M47">
        <v>4</v>
      </c>
      <c r="N47" s="4">
        <v>0.5</v>
      </c>
      <c r="O47">
        <v>2</v>
      </c>
      <c r="P47">
        <v>0</v>
      </c>
      <c r="Q47">
        <v>2</v>
      </c>
      <c r="R47" s="4">
        <v>0</v>
      </c>
      <c r="S47">
        <v>4</v>
      </c>
      <c r="T47">
        <v>2</v>
      </c>
      <c r="U47">
        <v>6</v>
      </c>
      <c r="V47" s="4">
        <v>0.33333333333333331</v>
      </c>
      <c r="W47">
        <v>5</v>
      </c>
      <c r="X47">
        <v>6</v>
      </c>
      <c r="Y47">
        <v>11</v>
      </c>
      <c r="Z47" s="4">
        <v>0.54545454545454541</v>
      </c>
      <c r="AA47">
        <v>3</v>
      </c>
      <c r="AB47">
        <v>1</v>
      </c>
      <c r="AC47">
        <v>4</v>
      </c>
      <c r="AD47" s="4">
        <v>0.25</v>
      </c>
      <c r="AE47">
        <v>8</v>
      </c>
      <c r="AF47">
        <v>3</v>
      </c>
      <c r="AG47">
        <v>11</v>
      </c>
      <c r="AH47" s="4">
        <v>0.27272727272727271</v>
      </c>
      <c r="AI47">
        <v>4</v>
      </c>
      <c r="AJ47">
        <v>5</v>
      </c>
      <c r="AK47">
        <v>9</v>
      </c>
      <c r="AL47" s="4">
        <v>0.55555555555555558</v>
      </c>
      <c r="AM47">
        <v>5</v>
      </c>
      <c r="AN47">
        <v>6</v>
      </c>
      <c r="AO47">
        <v>11</v>
      </c>
      <c r="AP47" s="4">
        <v>0.54545454545454541</v>
      </c>
      <c r="AQ47">
        <v>4</v>
      </c>
      <c r="AR47">
        <v>7</v>
      </c>
      <c r="AS47">
        <v>11</v>
      </c>
      <c r="AT47" s="4">
        <v>0.63636363636363635</v>
      </c>
      <c r="AU47">
        <v>7</v>
      </c>
      <c r="AV47">
        <v>11</v>
      </c>
      <c r="AW47">
        <v>18</v>
      </c>
      <c r="AX47" s="4">
        <v>0.61111111111111116</v>
      </c>
      <c r="AY47" s="33" t="s">
        <v>526</v>
      </c>
      <c r="AZ47" t="s">
        <v>552</v>
      </c>
      <c r="BA47" t="str">
        <f t="shared" si="0"/>
        <v>Proportion of BKA England</v>
      </c>
      <c r="BB47" s="4">
        <v>0.49722494286647079</v>
      </c>
      <c r="BC47" s="4">
        <v>0.51047619047619053</v>
      </c>
      <c r="BD47" s="4">
        <v>0.55058139534883721</v>
      </c>
    </row>
    <row r="48" spans="1:56" x14ac:dyDescent="0.25">
      <c r="A48" t="s">
        <v>99</v>
      </c>
      <c r="B48" t="s">
        <v>98</v>
      </c>
      <c r="C48">
        <v>7</v>
      </c>
      <c r="D48">
        <v>3</v>
      </c>
      <c r="E48">
        <v>10</v>
      </c>
      <c r="F48" s="4">
        <v>0.3</v>
      </c>
      <c r="G48">
        <v>4</v>
      </c>
      <c r="H48">
        <v>5</v>
      </c>
      <c r="I48">
        <v>9</v>
      </c>
      <c r="J48" s="4">
        <v>0.55555555555555558</v>
      </c>
      <c r="K48">
        <v>4</v>
      </c>
      <c r="L48">
        <v>6</v>
      </c>
      <c r="M48">
        <v>10</v>
      </c>
      <c r="N48" s="4">
        <v>0.6</v>
      </c>
      <c r="O48">
        <v>9</v>
      </c>
      <c r="P48">
        <v>6</v>
      </c>
      <c r="Q48">
        <v>15</v>
      </c>
      <c r="R48" s="4">
        <v>0.4</v>
      </c>
      <c r="S48">
        <v>9</v>
      </c>
      <c r="T48">
        <v>5</v>
      </c>
      <c r="U48">
        <v>14</v>
      </c>
      <c r="V48" s="4">
        <v>0.35714285714285715</v>
      </c>
      <c r="W48">
        <v>8</v>
      </c>
      <c r="X48">
        <v>2</v>
      </c>
      <c r="Y48">
        <v>10</v>
      </c>
      <c r="Z48" s="4">
        <v>0.2</v>
      </c>
      <c r="AA48">
        <v>9</v>
      </c>
      <c r="AB48">
        <v>5</v>
      </c>
      <c r="AC48">
        <v>14</v>
      </c>
      <c r="AD48" s="4">
        <v>0.35714285714285715</v>
      </c>
      <c r="AE48">
        <v>11</v>
      </c>
      <c r="AF48">
        <v>4</v>
      </c>
      <c r="AG48">
        <v>15</v>
      </c>
      <c r="AH48" s="4">
        <v>0.26666666666666666</v>
      </c>
      <c r="AI48">
        <v>10</v>
      </c>
      <c r="AJ48">
        <v>10</v>
      </c>
      <c r="AK48">
        <v>20</v>
      </c>
      <c r="AL48" s="4">
        <v>0.5</v>
      </c>
      <c r="AM48">
        <v>7</v>
      </c>
      <c r="AN48">
        <v>3</v>
      </c>
      <c r="AO48">
        <v>10</v>
      </c>
      <c r="AP48" s="4">
        <v>0.3</v>
      </c>
      <c r="AQ48">
        <v>2</v>
      </c>
      <c r="AR48">
        <v>5</v>
      </c>
      <c r="AS48">
        <v>7</v>
      </c>
      <c r="AT48" s="4">
        <v>0.7142857142857143</v>
      </c>
      <c r="AU48">
        <v>7</v>
      </c>
      <c r="AV48">
        <v>12</v>
      </c>
      <c r="AW48">
        <v>19</v>
      </c>
      <c r="AX48" s="4">
        <v>0.63157894736842102</v>
      </c>
      <c r="AY48" s="33" t="s">
        <v>526</v>
      </c>
      <c r="AZ48" t="s">
        <v>552</v>
      </c>
      <c r="BA48" t="str">
        <f t="shared" si="0"/>
        <v>Proportion of BKA England</v>
      </c>
      <c r="BB48" s="4">
        <v>0.49722494286647079</v>
      </c>
      <c r="BC48" s="4">
        <v>0.51047619047619053</v>
      </c>
      <c r="BD48" s="4">
        <v>0.55058139534883721</v>
      </c>
    </row>
    <row r="49" spans="1:56" x14ac:dyDescent="0.25">
      <c r="A49" t="s">
        <v>145</v>
      </c>
      <c r="B49" t="s">
        <v>144</v>
      </c>
      <c r="C49">
        <v>4</v>
      </c>
      <c r="D49">
        <v>4</v>
      </c>
      <c r="E49">
        <v>8</v>
      </c>
      <c r="F49" s="4">
        <v>0.5</v>
      </c>
      <c r="G49">
        <v>2</v>
      </c>
      <c r="H49">
        <v>4</v>
      </c>
      <c r="I49">
        <v>6</v>
      </c>
      <c r="J49" s="4">
        <v>0.66666666666666663</v>
      </c>
      <c r="K49">
        <v>4</v>
      </c>
      <c r="L49">
        <v>5</v>
      </c>
      <c r="M49">
        <v>9</v>
      </c>
      <c r="N49" s="4">
        <v>0.55555555555555558</v>
      </c>
      <c r="O49">
        <v>2</v>
      </c>
      <c r="P49">
        <v>5</v>
      </c>
      <c r="Q49">
        <v>7</v>
      </c>
      <c r="R49" s="4">
        <v>0.7142857142857143</v>
      </c>
      <c r="S49">
        <v>4</v>
      </c>
      <c r="T49">
        <v>2</v>
      </c>
      <c r="U49">
        <v>6</v>
      </c>
      <c r="V49" s="4">
        <v>0.33333333333333331</v>
      </c>
      <c r="W49">
        <v>2</v>
      </c>
      <c r="X49">
        <v>5</v>
      </c>
      <c r="Y49">
        <v>7</v>
      </c>
      <c r="Z49" s="4">
        <v>0.7142857142857143</v>
      </c>
      <c r="AA49">
        <v>3</v>
      </c>
      <c r="AB49">
        <v>3</v>
      </c>
      <c r="AC49">
        <v>6</v>
      </c>
      <c r="AD49" s="4">
        <v>0.5</v>
      </c>
      <c r="AE49">
        <v>2</v>
      </c>
      <c r="AF49">
        <v>4</v>
      </c>
      <c r="AG49">
        <v>6</v>
      </c>
      <c r="AH49" s="4">
        <v>0.66666666666666663</v>
      </c>
      <c r="AI49">
        <v>4</v>
      </c>
      <c r="AJ49">
        <v>7</v>
      </c>
      <c r="AK49">
        <v>11</v>
      </c>
      <c r="AL49" s="4">
        <v>0.63636363636363635</v>
      </c>
      <c r="AM49">
        <v>1</v>
      </c>
      <c r="AN49">
        <v>4</v>
      </c>
      <c r="AO49">
        <v>5</v>
      </c>
      <c r="AP49" s="4">
        <v>0.8</v>
      </c>
      <c r="AQ49">
        <v>0</v>
      </c>
      <c r="AR49">
        <v>5</v>
      </c>
      <c r="AS49">
        <v>5</v>
      </c>
      <c r="AT49" s="4">
        <v>1</v>
      </c>
      <c r="AU49">
        <v>1</v>
      </c>
      <c r="AV49">
        <v>3</v>
      </c>
      <c r="AW49">
        <v>4</v>
      </c>
      <c r="AX49" s="4">
        <v>0.75</v>
      </c>
      <c r="AY49" s="33" t="s">
        <v>526</v>
      </c>
      <c r="AZ49" t="s">
        <v>552</v>
      </c>
      <c r="BA49" t="str">
        <f t="shared" si="0"/>
        <v>Proportion of BKA England</v>
      </c>
      <c r="BB49" s="4">
        <v>0.49722494286647079</v>
      </c>
      <c r="BC49" s="4">
        <v>0.51047619047619053</v>
      </c>
      <c r="BD49" s="4">
        <v>0.55058139534883721</v>
      </c>
    </row>
    <row r="50" spans="1:56" x14ac:dyDescent="0.25">
      <c r="A50" t="s">
        <v>77</v>
      </c>
      <c r="B50" t="s">
        <v>76</v>
      </c>
      <c r="C50">
        <v>19</v>
      </c>
      <c r="D50">
        <v>5</v>
      </c>
      <c r="E50">
        <v>24</v>
      </c>
      <c r="F50" s="4">
        <v>0.20833333333333334</v>
      </c>
      <c r="G50">
        <v>10</v>
      </c>
      <c r="H50">
        <v>5</v>
      </c>
      <c r="I50">
        <v>15</v>
      </c>
      <c r="J50" s="4">
        <v>0.33333333333333331</v>
      </c>
      <c r="K50">
        <v>7</v>
      </c>
      <c r="L50">
        <v>6</v>
      </c>
      <c r="M50">
        <v>13</v>
      </c>
      <c r="N50" s="4">
        <v>0.46153846153846156</v>
      </c>
      <c r="O50">
        <v>8</v>
      </c>
      <c r="P50">
        <v>9</v>
      </c>
      <c r="Q50">
        <v>17</v>
      </c>
      <c r="R50" s="4">
        <v>0.52941176470588236</v>
      </c>
      <c r="S50">
        <v>8</v>
      </c>
      <c r="T50">
        <v>5</v>
      </c>
      <c r="U50">
        <v>13</v>
      </c>
      <c r="V50" s="4">
        <v>0.38461538461538464</v>
      </c>
      <c r="W50">
        <v>7</v>
      </c>
      <c r="X50">
        <v>6</v>
      </c>
      <c r="Y50">
        <v>13</v>
      </c>
      <c r="Z50" s="4">
        <v>0.46153846153846156</v>
      </c>
      <c r="AA50">
        <v>8</v>
      </c>
      <c r="AB50">
        <v>2</v>
      </c>
      <c r="AC50">
        <v>10</v>
      </c>
      <c r="AD50" s="4">
        <v>0.2</v>
      </c>
      <c r="AE50">
        <v>12</v>
      </c>
      <c r="AF50">
        <v>12</v>
      </c>
      <c r="AG50">
        <v>24</v>
      </c>
      <c r="AH50" s="4">
        <v>0.5</v>
      </c>
      <c r="AI50">
        <v>6</v>
      </c>
      <c r="AJ50">
        <v>13</v>
      </c>
      <c r="AK50">
        <v>19</v>
      </c>
      <c r="AL50" s="4">
        <v>0.68421052631578949</v>
      </c>
      <c r="AM50">
        <v>3</v>
      </c>
      <c r="AN50">
        <v>11</v>
      </c>
      <c r="AO50">
        <v>14</v>
      </c>
      <c r="AP50" s="4">
        <v>0.7857142857142857</v>
      </c>
      <c r="AQ50">
        <v>22</v>
      </c>
      <c r="AR50">
        <v>6</v>
      </c>
      <c r="AS50">
        <v>28</v>
      </c>
      <c r="AT50" s="4">
        <v>0.21428571428571427</v>
      </c>
      <c r="AU50">
        <v>21</v>
      </c>
      <c r="AV50">
        <v>11</v>
      </c>
      <c r="AW50">
        <v>32</v>
      </c>
      <c r="AX50" s="4">
        <v>0.34375</v>
      </c>
      <c r="AY50" s="33" t="s">
        <v>526</v>
      </c>
      <c r="AZ50" t="s">
        <v>552</v>
      </c>
      <c r="BA50" t="str">
        <f t="shared" si="0"/>
        <v>Proportion of BKA England</v>
      </c>
      <c r="BB50" s="4">
        <v>0.49722494286647079</v>
      </c>
      <c r="BC50" s="4">
        <v>0.51047619047619053</v>
      </c>
      <c r="BD50" s="4">
        <v>0.55058139534883721</v>
      </c>
    </row>
    <row r="51" spans="1:56" x14ac:dyDescent="0.25">
      <c r="A51" t="s">
        <v>138</v>
      </c>
      <c r="B51" t="s">
        <v>137</v>
      </c>
      <c r="C51">
        <v>14</v>
      </c>
      <c r="D51">
        <v>11</v>
      </c>
      <c r="E51">
        <v>25</v>
      </c>
      <c r="F51" s="4">
        <v>0.44</v>
      </c>
      <c r="G51">
        <v>11</v>
      </c>
      <c r="H51">
        <v>10</v>
      </c>
      <c r="I51">
        <v>21</v>
      </c>
      <c r="J51" s="4">
        <v>0.47619047619047616</v>
      </c>
      <c r="K51">
        <v>7</v>
      </c>
      <c r="L51">
        <v>13</v>
      </c>
      <c r="M51">
        <v>20</v>
      </c>
      <c r="N51" s="4">
        <v>0.65</v>
      </c>
      <c r="O51">
        <v>10</v>
      </c>
      <c r="P51">
        <v>9</v>
      </c>
      <c r="Q51">
        <v>19</v>
      </c>
      <c r="R51" s="4">
        <v>0.47368421052631576</v>
      </c>
      <c r="S51">
        <v>13</v>
      </c>
      <c r="T51">
        <v>16</v>
      </c>
      <c r="U51">
        <v>29</v>
      </c>
      <c r="V51" s="4">
        <v>0.55172413793103448</v>
      </c>
      <c r="W51">
        <v>7</v>
      </c>
      <c r="X51">
        <v>5</v>
      </c>
      <c r="Y51">
        <v>12</v>
      </c>
      <c r="Z51" s="4">
        <v>0.41666666666666669</v>
      </c>
      <c r="AA51">
        <v>18</v>
      </c>
      <c r="AB51">
        <v>15</v>
      </c>
      <c r="AC51">
        <v>33</v>
      </c>
      <c r="AD51" s="4">
        <v>0.45454545454545453</v>
      </c>
      <c r="AE51">
        <v>16</v>
      </c>
      <c r="AF51">
        <v>20</v>
      </c>
      <c r="AG51">
        <v>36</v>
      </c>
      <c r="AH51" s="4">
        <v>0.55555555555555558</v>
      </c>
      <c r="AI51">
        <v>15</v>
      </c>
      <c r="AJ51">
        <v>20</v>
      </c>
      <c r="AK51">
        <v>35</v>
      </c>
      <c r="AL51" s="4">
        <v>0.5714285714285714</v>
      </c>
      <c r="AM51">
        <v>13</v>
      </c>
      <c r="AN51">
        <v>18</v>
      </c>
      <c r="AO51">
        <v>31</v>
      </c>
      <c r="AP51" s="4">
        <v>0.58064516129032262</v>
      </c>
      <c r="AQ51">
        <v>14</v>
      </c>
      <c r="AR51">
        <v>10</v>
      </c>
      <c r="AS51">
        <v>24</v>
      </c>
      <c r="AT51" s="4">
        <v>0.41666666666666669</v>
      </c>
      <c r="AU51">
        <v>14</v>
      </c>
      <c r="AV51">
        <v>14</v>
      </c>
      <c r="AW51">
        <v>28</v>
      </c>
      <c r="AX51" s="4">
        <v>0.5</v>
      </c>
      <c r="AY51" s="33" t="s">
        <v>526</v>
      </c>
      <c r="AZ51" t="s">
        <v>552</v>
      </c>
      <c r="BA51" t="str">
        <f t="shared" si="0"/>
        <v>Proportion of BKA England</v>
      </c>
      <c r="BB51" s="4">
        <v>0.49722494286647079</v>
      </c>
      <c r="BC51" s="4">
        <v>0.51047619047619053</v>
      </c>
      <c r="BD51" s="4">
        <v>0.55058139534883721</v>
      </c>
    </row>
    <row r="52" spans="1:56" x14ac:dyDescent="0.25">
      <c r="A52" t="s">
        <v>41</v>
      </c>
      <c r="B52" t="s">
        <v>40</v>
      </c>
      <c r="C52">
        <v>9</v>
      </c>
      <c r="D52">
        <v>4</v>
      </c>
      <c r="E52">
        <v>13</v>
      </c>
      <c r="F52" s="4">
        <v>0.30769230769230771</v>
      </c>
      <c r="G52">
        <v>10</v>
      </c>
      <c r="H52">
        <v>7</v>
      </c>
      <c r="I52">
        <v>17</v>
      </c>
      <c r="J52" s="4">
        <v>0.41176470588235292</v>
      </c>
      <c r="K52">
        <v>7</v>
      </c>
      <c r="L52">
        <v>9</v>
      </c>
      <c r="M52">
        <v>16</v>
      </c>
      <c r="N52" s="4">
        <v>0.5625</v>
      </c>
      <c r="O52">
        <v>3</v>
      </c>
      <c r="P52">
        <v>5</v>
      </c>
      <c r="Q52">
        <v>8</v>
      </c>
      <c r="R52" s="4">
        <v>0.625</v>
      </c>
      <c r="S52">
        <v>0</v>
      </c>
      <c r="T52">
        <v>1</v>
      </c>
      <c r="U52">
        <v>1</v>
      </c>
      <c r="V52" s="4">
        <v>1</v>
      </c>
      <c r="W52">
        <v>2</v>
      </c>
      <c r="X52">
        <v>1</v>
      </c>
      <c r="Y52">
        <v>3</v>
      </c>
      <c r="Z52" s="4">
        <v>0.33333333333333331</v>
      </c>
      <c r="AA52">
        <v>2</v>
      </c>
      <c r="AB52">
        <v>1</v>
      </c>
      <c r="AC52">
        <v>3</v>
      </c>
      <c r="AD52" s="4">
        <v>0.33333333333333331</v>
      </c>
      <c r="AE52">
        <v>2</v>
      </c>
      <c r="AF52">
        <v>3</v>
      </c>
      <c r="AG52">
        <v>5</v>
      </c>
      <c r="AH52" s="4">
        <v>0.6</v>
      </c>
      <c r="AI52">
        <v>3</v>
      </c>
      <c r="AJ52">
        <v>4</v>
      </c>
      <c r="AK52">
        <v>7</v>
      </c>
      <c r="AL52" s="4">
        <v>0.5714285714285714</v>
      </c>
      <c r="AM52">
        <v>1</v>
      </c>
      <c r="AN52">
        <v>1</v>
      </c>
      <c r="AO52">
        <v>2</v>
      </c>
      <c r="AP52" s="4">
        <v>0.5</v>
      </c>
      <c r="AQ52">
        <v>9</v>
      </c>
      <c r="AR52">
        <v>7</v>
      </c>
      <c r="AS52">
        <v>16</v>
      </c>
      <c r="AT52" s="4">
        <v>0.4375</v>
      </c>
      <c r="AU52">
        <v>2</v>
      </c>
      <c r="AV52">
        <v>9</v>
      </c>
      <c r="AW52">
        <v>11</v>
      </c>
      <c r="AX52" s="4">
        <v>0.81818181818181823</v>
      </c>
      <c r="AY52" s="33" t="s">
        <v>526</v>
      </c>
      <c r="AZ52" t="s">
        <v>552</v>
      </c>
      <c r="BA52" t="str">
        <f t="shared" si="0"/>
        <v>Proportion of BKA England</v>
      </c>
      <c r="BB52" s="4">
        <v>0.49722494286647079</v>
      </c>
      <c r="BC52" s="4">
        <v>0.51047619047619053</v>
      </c>
      <c r="BD52" s="4">
        <v>0.55058139534883721</v>
      </c>
    </row>
    <row r="53" spans="1:56" x14ac:dyDescent="0.25">
      <c r="A53" t="s">
        <v>119</v>
      </c>
      <c r="B53" t="s">
        <v>2</v>
      </c>
      <c r="C53">
        <v>11</v>
      </c>
      <c r="D53">
        <v>11</v>
      </c>
      <c r="E53">
        <v>22</v>
      </c>
      <c r="F53" s="4">
        <v>0.5</v>
      </c>
      <c r="G53">
        <v>15</v>
      </c>
      <c r="H53">
        <v>8</v>
      </c>
      <c r="I53">
        <v>23</v>
      </c>
      <c r="J53" s="4">
        <v>0.34782608695652173</v>
      </c>
      <c r="K53">
        <v>17</v>
      </c>
      <c r="L53">
        <v>19</v>
      </c>
      <c r="M53">
        <v>36</v>
      </c>
      <c r="N53" s="4">
        <v>0.52777777777777779</v>
      </c>
      <c r="O53">
        <v>14</v>
      </c>
      <c r="P53">
        <v>14</v>
      </c>
      <c r="Q53">
        <v>28</v>
      </c>
      <c r="R53" s="4">
        <v>0.5</v>
      </c>
      <c r="S53">
        <v>14</v>
      </c>
      <c r="T53">
        <v>9</v>
      </c>
      <c r="U53">
        <v>23</v>
      </c>
      <c r="V53" s="4">
        <v>0.39130434782608697</v>
      </c>
      <c r="W53">
        <v>18</v>
      </c>
      <c r="X53">
        <v>9</v>
      </c>
      <c r="Y53">
        <v>27</v>
      </c>
      <c r="Z53" s="4">
        <v>0.33333333333333331</v>
      </c>
      <c r="AA53">
        <v>15</v>
      </c>
      <c r="AB53">
        <v>14</v>
      </c>
      <c r="AC53">
        <v>29</v>
      </c>
      <c r="AD53" s="4">
        <v>0.48275862068965519</v>
      </c>
      <c r="AE53">
        <v>22</v>
      </c>
      <c r="AF53">
        <v>8</v>
      </c>
      <c r="AG53">
        <v>30</v>
      </c>
      <c r="AH53" s="4">
        <v>0.26666666666666666</v>
      </c>
      <c r="AI53">
        <v>12</v>
      </c>
      <c r="AJ53">
        <v>8</v>
      </c>
      <c r="AK53">
        <v>20</v>
      </c>
      <c r="AL53" s="4">
        <v>0.4</v>
      </c>
      <c r="AM53">
        <v>21</v>
      </c>
      <c r="AN53">
        <v>14</v>
      </c>
      <c r="AO53">
        <v>35</v>
      </c>
      <c r="AP53" s="4">
        <v>0.4</v>
      </c>
      <c r="AQ53">
        <v>14</v>
      </c>
      <c r="AR53">
        <v>16</v>
      </c>
      <c r="AS53">
        <v>30</v>
      </c>
      <c r="AT53" s="4">
        <v>0.53333333333333333</v>
      </c>
      <c r="AU53">
        <v>10</v>
      </c>
      <c r="AV53">
        <v>17</v>
      </c>
      <c r="AW53">
        <v>27</v>
      </c>
      <c r="AX53" s="4">
        <v>0.62962962962962965</v>
      </c>
      <c r="AY53" s="33" t="s">
        <v>527</v>
      </c>
      <c r="AZ53" t="s">
        <v>552</v>
      </c>
      <c r="BA53" t="str">
        <f t="shared" si="0"/>
        <v>Proportion of BKA Wales</v>
      </c>
      <c r="BB53" s="4">
        <v>0.50312500000000004</v>
      </c>
      <c r="BC53" s="4">
        <v>0.49386503067484666</v>
      </c>
      <c r="BD53" s="4">
        <v>0.50913838120104438</v>
      </c>
    </row>
    <row r="54" spans="1:56" x14ac:dyDescent="0.25">
      <c r="A54" t="s">
        <v>54</v>
      </c>
      <c r="B54" t="s">
        <v>53</v>
      </c>
      <c r="C54">
        <v>12</v>
      </c>
      <c r="D54">
        <v>22</v>
      </c>
      <c r="E54">
        <v>34</v>
      </c>
      <c r="F54" s="4">
        <v>0.6470588235294118</v>
      </c>
      <c r="G54">
        <v>7</v>
      </c>
      <c r="H54">
        <v>9</v>
      </c>
      <c r="I54">
        <v>16</v>
      </c>
      <c r="J54" s="4">
        <v>0.5625</v>
      </c>
      <c r="K54">
        <v>2</v>
      </c>
      <c r="L54">
        <v>6</v>
      </c>
      <c r="M54">
        <v>8</v>
      </c>
      <c r="N54" s="4">
        <v>0.75</v>
      </c>
      <c r="O54">
        <v>2</v>
      </c>
      <c r="P54">
        <v>6</v>
      </c>
      <c r="Q54">
        <v>8</v>
      </c>
      <c r="R54" s="4">
        <v>0.75</v>
      </c>
      <c r="S54">
        <v>5</v>
      </c>
      <c r="T54">
        <v>12</v>
      </c>
      <c r="U54">
        <v>17</v>
      </c>
      <c r="V54" s="4">
        <v>0.70588235294117652</v>
      </c>
      <c r="W54">
        <v>13</v>
      </c>
      <c r="X54">
        <v>11</v>
      </c>
      <c r="Y54">
        <v>24</v>
      </c>
      <c r="Z54" s="4">
        <v>0.45833333333333331</v>
      </c>
      <c r="AA54">
        <v>9</v>
      </c>
      <c r="AB54">
        <v>6</v>
      </c>
      <c r="AC54">
        <v>15</v>
      </c>
      <c r="AD54" s="4">
        <v>0.4</v>
      </c>
      <c r="AE54">
        <v>5</v>
      </c>
      <c r="AF54">
        <v>2</v>
      </c>
      <c r="AG54">
        <v>7</v>
      </c>
      <c r="AH54" s="4">
        <v>0.2857142857142857</v>
      </c>
      <c r="AI54">
        <v>4</v>
      </c>
      <c r="AJ54">
        <v>5</v>
      </c>
      <c r="AK54">
        <v>9</v>
      </c>
      <c r="AL54" s="4">
        <v>0.55555555555555558</v>
      </c>
      <c r="AM54">
        <v>6</v>
      </c>
      <c r="AN54">
        <v>11</v>
      </c>
      <c r="AO54">
        <v>17</v>
      </c>
      <c r="AP54" s="4">
        <v>0.6470588235294118</v>
      </c>
      <c r="AQ54">
        <v>11</v>
      </c>
      <c r="AR54">
        <v>19</v>
      </c>
      <c r="AS54">
        <v>30</v>
      </c>
      <c r="AT54" s="4">
        <v>0.6333333333333333</v>
      </c>
      <c r="AU54">
        <v>6</v>
      </c>
      <c r="AV54">
        <v>8</v>
      </c>
      <c r="AW54">
        <v>14</v>
      </c>
      <c r="AX54" s="4">
        <v>0.5714285714285714</v>
      </c>
      <c r="AY54" s="33" t="s">
        <v>526</v>
      </c>
      <c r="AZ54" t="s">
        <v>552</v>
      </c>
      <c r="BA54" t="str">
        <f t="shared" si="0"/>
        <v>Proportion of BKA England</v>
      </c>
      <c r="BB54" s="4">
        <v>0.49722494286647079</v>
      </c>
      <c r="BC54" s="4">
        <v>0.51047619047619053</v>
      </c>
      <c r="BD54" s="4">
        <v>0.55058139534883721</v>
      </c>
    </row>
    <row r="55" spans="1:56" x14ac:dyDescent="0.25">
      <c r="A55" t="s">
        <v>84</v>
      </c>
      <c r="B55" t="s">
        <v>83</v>
      </c>
      <c r="C55">
        <v>8</v>
      </c>
      <c r="D55">
        <v>3</v>
      </c>
      <c r="E55">
        <v>11</v>
      </c>
      <c r="F55" s="4">
        <v>0.27272727272727271</v>
      </c>
      <c r="G55">
        <v>8</v>
      </c>
      <c r="H55">
        <v>5</v>
      </c>
      <c r="I55">
        <v>13</v>
      </c>
      <c r="J55" s="4">
        <v>0.38461538461538464</v>
      </c>
      <c r="K55">
        <v>16</v>
      </c>
      <c r="L55">
        <v>2</v>
      </c>
      <c r="M55">
        <v>18</v>
      </c>
      <c r="N55" s="4">
        <v>0.1111111111111111</v>
      </c>
      <c r="O55">
        <v>7</v>
      </c>
      <c r="P55">
        <v>2</v>
      </c>
      <c r="Q55">
        <v>9</v>
      </c>
      <c r="R55" s="4">
        <v>0.22222222222222221</v>
      </c>
      <c r="S55">
        <v>4</v>
      </c>
      <c r="T55">
        <v>0</v>
      </c>
      <c r="U55">
        <v>4</v>
      </c>
      <c r="V55" s="4">
        <v>0</v>
      </c>
      <c r="W55">
        <v>3</v>
      </c>
      <c r="X55">
        <v>3</v>
      </c>
      <c r="Y55">
        <v>6</v>
      </c>
      <c r="Z55" s="4">
        <v>0.5</v>
      </c>
      <c r="AA55">
        <v>7</v>
      </c>
      <c r="AB55">
        <v>4</v>
      </c>
      <c r="AC55">
        <v>11</v>
      </c>
      <c r="AD55" s="4">
        <v>0.36363636363636365</v>
      </c>
      <c r="AE55">
        <v>5</v>
      </c>
      <c r="AF55">
        <v>1</v>
      </c>
      <c r="AG55">
        <v>6</v>
      </c>
      <c r="AH55" s="4">
        <v>0.16666666666666666</v>
      </c>
      <c r="AI55">
        <v>4</v>
      </c>
      <c r="AJ55">
        <v>1</v>
      </c>
      <c r="AK55">
        <v>5</v>
      </c>
      <c r="AL55" s="4">
        <v>0.2</v>
      </c>
      <c r="AM55">
        <v>0</v>
      </c>
      <c r="AN55">
        <v>0</v>
      </c>
      <c r="AO55">
        <v>0</v>
      </c>
      <c r="AP55" s="4" t="s">
        <v>122</v>
      </c>
      <c r="AQ55">
        <v>5</v>
      </c>
      <c r="AR55">
        <v>8</v>
      </c>
      <c r="AS55">
        <v>13</v>
      </c>
      <c r="AT55" s="4">
        <v>0.61538461538461542</v>
      </c>
      <c r="AU55">
        <v>3</v>
      </c>
      <c r="AV55">
        <v>6</v>
      </c>
      <c r="AW55">
        <v>9</v>
      </c>
      <c r="AX55" s="4">
        <v>0.66666666666666663</v>
      </c>
      <c r="AY55" s="33" t="s">
        <v>526</v>
      </c>
      <c r="AZ55" t="s">
        <v>552</v>
      </c>
      <c r="BA55" t="str">
        <f t="shared" si="0"/>
        <v>Proportion of BKA England</v>
      </c>
      <c r="BB55" s="4">
        <v>0.49722494286647079</v>
      </c>
      <c r="BC55" s="4">
        <v>0.51047619047619053</v>
      </c>
      <c r="BD55" s="4">
        <v>0.55058139534883721</v>
      </c>
    </row>
    <row r="56" spans="1:56" x14ac:dyDescent="0.25">
      <c r="A56" t="s">
        <v>43</v>
      </c>
      <c r="B56" t="s">
        <v>42</v>
      </c>
      <c r="C56">
        <v>10</v>
      </c>
      <c r="D56">
        <v>17</v>
      </c>
      <c r="E56">
        <v>27</v>
      </c>
      <c r="F56" s="4">
        <v>0.62962962962962965</v>
      </c>
      <c r="G56">
        <v>10</v>
      </c>
      <c r="H56">
        <v>6</v>
      </c>
      <c r="I56">
        <v>16</v>
      </c>
      <c r="J56" s="4">
        <v>0.375</v>
      </c>
      <c r="K56">
        <v>10</v>
      </c>
      <c r="L56">
        <v>12</v>
      </c>
      <c r="M56">
        <v>22</v>
      </c>
      <c r="N56" s="4">
        <v>0.54545454545454541</v>
      </c>
      <c r="O56">
        <v>15</v>
      </c>
      <c r="P56">
        <v>15</v>
      </c>
      <c r="Q56">
        <v>30</v>
      </c>
      <c r="R56" s="4">
        <v>0.5</v>
      </c>
      <c r="S56">
        <v>12</v>
      </c>
      <c r="T56">
        <v>10</v>
      </c>
      <c r="U56">
        <v>22</v>
      </c>
      <c r="V56" s="4">
        <v>0.45454545454545453</v>
      </c>
      <c r="W56">
        <v>12</v>
      </c>
      <c r="X56">
        <v>18</v>
      </c>
      <c r="Y56">
        <v>30</v>
      </c>
      <c r="Z56" s="4">
        <v>0.6</v>
      </c>
      <c r="AA56">
        <v>13</v>
      </c>
      <c r="AB56">
        <v>18</v>
      </c>
      <c r="AC56">
        <v>31</v>
      </c>
      <c r="AD56" s="4">
        <v>0.58064516129032262</v>
      </c>
      <c r="AE56">
        <v>17</v>
      </c>
      <c r="AF56">
        <v>20</v>
      </c>
      <c r="AG56">
        <v>37</v>
      </c>
      <c r="AH56" s="4">
        <v>0.54054054054054057</v>
      </c>
      <c r="AI56">
        <v>12</v>
      </c>
      <c r="AJ56">
        <v>12</v>
      </c>
      <c r="AK56">
        <v>24</v>
      </c>
      <c r="AL56" s="4">
        <v>0.5</v>
      </c>
      <c r="AM56">
        <v>13</v>
      </c>
      <c r="AN56">
        <v>24</v>
      </c>
      <c r="AO56">
        <v>37</v>
      </c>
      <c r="AP56" s="4">
        <v>0.64864864864864868</v>
      </c>
      <c r="AQ56">
        <v>14</v>
      </c>
      <c r="AR56">
        <v>13</v>
      </c>
      <c r="AS56">
        <v>27</v>
      </c>
      <c r="AT56" s="4">
        <v>0.48148148148148145</v>
      </c>
      <c r="AU56">
        <v>4</v>
      </c>
      <c r="AV56">
        <v>3</v>
      </c>
      <c r="AW56">
        <v>7</v>
      </c>
      <c r="AX56" s="4">
        <v>0.42857142857142855</v>
      </c>
      <c r="AY56" s="33" t="s">
        <v>526</v>
      </c>
      <c r="AZ56" t="s">
        <v>552</v>
      </c>
      <c r="BA56" t="str">
        <f t="shared" si="0"/>
        <v>Proportion of BKA England</v>
      </c>
      <c r="BB56" s="4">
        <v>0.49722494286647079</v>
      </c>
      <c r="BC56" s="4">
        <v>0.51047619047619053</v>
      </c>
      <c r="BD56" s="4">
        <v>0.55058139534883721</v>
      </c>
    </row>
    <row r="57" spans="1:56" x14ac:dyDescent="0.25">
      <c r="A57" t="s">
        <v>33</v>
      </c>
      <c r="B57" t="s">
        <v>32</v>
      </c>
      <c r="C57">
        <v>5</v>
      </c>
      <c r="D57">
        <v>18</v>
      </c>
      <c r="E57">
        <v>23</v>
      </c>
      <c r="F57" s="4">
        <v>0.78260869565217395</v>
      </c>
      <c r="G57">
        <v>7</v>
      </c>
      <c r="H57">
        <v>7</v>
      </c>
      <c r="I57">
        <v>14</v>
      </c>
      <c r="J57" s="4">
        <v>0.5</v>
      </c>
      <c r="K57">
        <v>13</v>
      </c>
      <c r="L57">
        <v>8</v>
      </c>
      <c r="M57">
        <v>21</v>
      </c>
      <c r="N57" s="4">
        <v>0.38095238095238093</v>
      </c>
      <c r="O57">
        <v>15</v>
      </c>
      <c r="P57">
        <v>11</v>
      </c>
      <c r="Q57">
        <v>26</v>
      </c>
      <c r="R57" s="4">
        <v>0.42307692307692307</v>
      </c>
      <c r="S57">
        <v>6</v>
      </c>
      <c r="T57">
        <v>17</v>
      </c>
      <c r="U57">
        <v>23</v>
      </c>
      <c r="V57" s="4">
        <v>0.73913043478260865</v>
      </c>
      <c r="W57">
        <v>7</v>
      </c>
      <c r="X57">
        <v>12</v>
      </c>
      <c r="Y57">
        <v>19</v>
      </c>
      <c r="Z57" s="4">
        <v>0.63157894736842102</v>
      </c>
      <c r="AA57">
        <v>4</v>
      </c>
      <c r="AB57">
        <v>14</v>
      </c>
      <c r="AC57">
        <v>18</v>
      </c>
      <c r="AD57" s="4">
        <v>0.77777777777777779</v>
      </c>
      <c r="AE57">
        <v>12</v>
      </c>
      <c r="AF57">
        <v>16</v>
      </c>
      <c r="AG57">
        <v>28</v>
      </c>
      <c r="AH57" s="4">
        <v>0.5714285714285714</v>
      </c>
      <c r="AI57">
        <v>5</v>
      </c>
      <c r="AJ57">
        <v>19</v>
      </c>
      <c r="AK57">
        <v>24</v>
      </c>
      <c r="AL57" s="4">
        <v>0.79166666666666663</v>
      </c>
      <c r="AM57">
        <v>6</v>
      </c>
      <c r="AN57">
        <v>15</v>
      </c>
      <c r="AO57">
        <v>21</v>
      </c>
      <c r="AP57" s="4">
        <v>0.7142857142857143</v>
      </c>
      <c r="AQ57">
        <v>7</v>
      </c>
      <c r="AR57">
        <v>21</v>
      </c>
      <c r="AS57">
        <v>28</v>
      </c>
      <c r="AT57" s="4">
        <v>0.75</v>
      </c>
      <c r="AU57">
        <v>6</v>
      </c>
      <c r="AV57">
        <v>22</v>
      </c>
      <c r="AW57">
        <v>28</v>
      </c>
      <c r="AX57" s="4">
        <v>0.7857142857142857</v>
      </c>
      <c r="AY57" s="33" t="s">
        <v>526</v>
      </c>
      <c r="AZ57" t="s">
        <v>552</v>
      </c>
      <c r="BA57" t="str">
        <f t="shared" si="0"/>
        <v>Proportion of BKA England</v>
      </c>
      <c r="BB57" s="4">
        <v>0.49722494286647079</v>
      </c>
      <c r="BC57" s="4">
        <v>0.51047619047619053</v>
      </c>
      <c r="BD57" s="4">
        <v>0.55058139534883721</v>
      </c>
    </row>
    <row r="58" spans="1:56" x14ac:dyDescent="0.25">
      <c r="A58" t="s">
        <v>148</v>
      </c>
      <c r="B58" t="s">
        <v>147</v>
      </c>
      <c r="C58">
        <v>17</v>
      </c>
      <c r="D58">
        <v>12</v>
      </c>
      <c r="E58">
        <v>29</v>
      </c>
      <c r="F58" s="4">
        <v>0.41379310344827586</v>
      </c>
      <c r="G58">
        <v>21</v>
      </c>
      <c r="H58">
        <v>7</v>
      </c>
      <c r="I58">
        <v>28</v>
      </c>
      <c r="J58" s="4">
        <v>0.25</v>
      </c>
      <c r="K58">
        <v>23</v>
      </c>
      <c r="L58">
        <v>5</v>
      </c>
      <c r="M58">
        <v>28</v>
      </c>
      <c r="N58" s="4">
        <v>0.17857142857142858</v>
      </c>
      <c r="O58">
        <v>19</v>
      </c>
      <c r="P58">
        <v>13</v>
      </c>
      <c r="Q58">
        <v>32</v>
      </c>
      <c r="R58" s="4">
        <v>0.40625</v>
      </c>
      <c r="S58">
        <v>22</v>
      </c>
      <c r="T58">
        <v>11</v>
      </c>
      <c r="U58">
        <v>33</v>
      </c>
      <c r="V58" s="4">
        <v>0.33333333333333331</v>
      </c>
      <c r="W58">
        <v>20</v>
      </c>
      <c r="X58">
        <v>5</v>
      </c>
      <c r="Y58">
        <v>25</v>
      </c>
      <c r="Z58" s="4">
        <v>0.2</v>
      </c>
      <c r="AA58">
        <v>14</v>
      </c>
      <c r="AB58">
        <v>15</v>
      </c>
      <c r="AC58">
        <v>29</v>
      </c>
      <c r="AD58" s="4">
        <v>0.51724137931034486</v>
      </c>
      <c r="AE58">
        <v>22</v>
      </c>
      <c r="AF58">
        <v>7</v>
      </c>
      <c r="AG58">
        <v>29</v>
      </c>
      <c r="AH58" s="4">
        <v>0.2413793103448276</v>
      </c>
      <c r="AI58">
        <v>11</v>
      </c>
      <c r="AJ58">
        <v>16</v>
      </c>
      <c r="AK58">
        <v>27</v>
      </c>
      <c r="AL58" s="4">
        <v>0.59259259259259256</v>
      </c>
      <c r="AM58">
        <v>7</v>
      </c>
      <c r="AN58">
        <v>19</v>
      </c>
      <c r="AO58">
        <v>26</v>
      </c>
      <c r="AP58" s="4">
        <v>0.73076923076923073</v>
      </c>
      <c r="AQ58">
        <v>9</v>
      </c>
      <c r="AR58">
        <v>7</v>
      </c>
      <c r="AS58">
        <v>16</v>
      </c>
      <c r="AT58" s="4">
        <v>0.4375</v>
      </c>
      <c r="AU58">
        <v>7</v>
      </c>
      <c r="AV58">
        <v>14</v>
      </c>
      <c r="AW58">
        <v>21</v>
      </c>
      <c r="AX58" s="4">
        <v>0.66666666666666663</v>
      </c>
      <c r="AY58" s="33" t="s">
        <v>526</v>
      </c>
      <c r="AZ58" t="s">
        <v>552</v>
      </c>
      <c r="BA58" t="str">
        <f t="shared" si="0"/>
        <v>Proportion of BKA England</v>
      </c>
      <c r="BB58" s="4">
        <v>0.49722494286647079</v>
      </c>
      <c r="BC58" s="4">
        <v>0.51047619047619053</v>
      </c>
      <c r="BD58" s="4">
        <v>0.55058139534883721</v>
      </c>
    </row>
    <row r="59" spans="1:56" x14ac:dyDescent="0.25">
      <c r="A59" t="s">
        <v>65</v>
      </c>
      <c r="B59" t="s">
        <v>64</v>
      </c>
      <c r="C59">
        <v>9</v>
      </c>
      <c r="D59">
        <v>17</v>
      </c>
      <c r="E59">
        <v>26</v>
      </c>
      <c r="F59" s="4">
        <v>0.65384615384615385</v>
      </c>
      <c r="G59">
        <v>12</v>
      </c>
      <c r="H59">
        <v>14</v>
      </c>
      <c r="I59">
        <v>26</v>
      </c>
      <c r="J59" s="4">
        <v>0.53846153846153844</v>
      </c>
      <c r="K59">
        <v>15</v>
      </c>
      <c r="L59">
        <v>18</v>
      </c>
      <c r="M59">
        <v>33</v>
      </c>
      <c r="N59" s="4">
        <v>0.54545454545454541</v>
      </c>
      <c r="O59">
        <v>12</v>
      </c>
      <c r="P59">
        <v>15</v>
      </c>
      <c r="Q59">
        <v>27</v>
      </c>
      <c r="R59" s="4">
        <v>0.55555555555555558</v>
      </c>
      <c r="S59">
        <v>8</v>
      </c>
      <c r="T59">
        <v>27</v>
      </c>
      <c r="U59">
        <v>35</v>
      </c>
      <c r="V59" s="4">
        <v>0.77142857142857146</v>
      </c>
      <c r="W59">
        <v>16</v>
      </c>
      <c r="X59">
        <v>16</v>
      </c>
      <c r="Y59">
        <v>32</v>
      </c>
      <c r="Z59" s="4">
        <v>0.5</v>
      </c>
      <c r="AA59">
        <v>13</v>
      </c>
      <c r="AB59">
        <v>22</v>
      </c>
      <c r="AC59">
        <v>35</v>
      </c>
      <c r="AD59" s="4">
        <v>0.62857142857142856</v>
      </c>
      <c r="AE59">
        <v>16</v>
      </c>
      <c r="AF59">
        <v>31</v>
      </c>
      <c r="AG59">
        <v>47</v>
      </c>
      <c r="AH59" s="4">
        <v>0.65957446808510634</v>
      </c>
      <c r="AI59">
        <v>23</v>
      </c>
      <c r="AJ59">
        <v>29</v>
      </c>
      <c r="AK59">
        <v>52</v>
      </c>
      <c r="AL59" s="4">
        <v>0.55769230769230771</v>
      </c>
      <c r="AM59">
        <v>24</v>
      </c>
      <c r="AN59">
        <v>25</v>
      </c>
      <c r="AO59">
        <v>49</v>
      </c>
      <c r="AP59" s="4">
        <v>0.51020408163265307</v>
      </c>
      <c r="AQ59">
        <v>25</v>
      </c>
      <c r="AR59">
        <v>16</v>
      </c>
      <c r="AS59">
        <v>41</v>
      </c>
      <c r="AT59" s="4">
        <v>0.3902439024390244</v>
      </c>
      <c r="AU59">
        <v>12</v>
      </c>
      <c r="AV59">
        <v>17</v>
      </c>
      <c r="AW59">
        <v>29</v>
      </c>
      <c r="AX59" s="4">
        <v>0.58620689655172409</v>
      </c>
      <c r="AY59" s="33" t="s">
        <v>526</v>
      </c>
      <c r="AZ59" t="s">
        <v>552</v>
      </c>
      <c r="BA59" t="str">
        <f t="shared" si="0"/>
        <v>Proportion of BKA England</v>
      </c>
      <c r="BB59" s="4">
        <v>0.49722494286647079</v>
      </c>
      <c r="BC59" s="4">
        <v>0.51047619047619053</v>
      </c>
      <c r="BD59" s="4">
        <v>0.55058139534883721</v>
      </c>
    </row>
    <row r="60" spans="1:56" x14ac:dyDescent="0.25">
      <c r="A60" t="s">
        <v>50</v>
      </c>
      <c r="B60" t="s">
        <v>49</v>
      </c>
      <c r="C60">
        <v>5</v>
      </c>
      <c r="D60">
        <v>7</v>
      </c>
      <c r="E60">
        <v>12</v>
      </c>
      <c r="F60" s="4">
        <v>0.58333333333333337</v>
      </c>
      <c r="G60">
        <v>2</v>
      </c>
      <c r="H60">
        <v>8</v>
      </c>
      <c r="I60">
        <v>10</v>
      </c>
      <c r="J60" s="4">
        <v>0.8</v>
      </c>
      <c r="K60">
        <v>3</v>
      </c>
      <c r="L60">
        <v>8</v>
      </c>
      <c r="M60">
        <v>11</v>
      </c>
      <c r="N60" s="4">
        <v>0.72727272727272729</v>
      </c>
      <c r="O60">
        <v>5</v>
      </c>
      <c r="P60">
        <v>6</v>
      </c>
      <c r="Q60">
        <v>11</v>
      </c>
      <c r="R60" s="4">
        <v>0.54545454545454541</v>
      </c>
      <c r="S60">
        <v>5</v>
      </c>
      <c r="T60">
        <v>4</v>
      </c>
      <c r="U60">
        <v>9</v>
      </c>
      <c r="V60" s="4">
        <v>0.44444444444444442</v>
      </c>
      <c r="W60">
        <v>4</v>
      </c>
      <c r="X60">
        <v>7</v>
      </c>
      <c r="Y60">
        <v>11</v>
      </c>
      <c r="Z60" s="4">
        <v>0.63636363636363635</v>
      </c>
      <c r="AA60">
        <v>4</v>
      </c>
      <c r="AB60">
        <v>4</v>
      </c>
      <c r="AC60">
        <v>8</v>
      </c>
      <c r="AD60" s="4">
        <v>0.5</v>
      </c>
      <c r="AE60">
        <v>1</v>
      </c>
      <c r="AF60">
        <v>1</v>
      </c>
      <c r="AG60">
        <v>2</v>
      </c>
      <c r="AH60" s="4">
        <v>0.5</v>
      </c>
      <c r="AI60">
        <v>4</v>
      </c>
      <c r="AJ60">
        <v>5</v>
      </c>
      <c r="AK60">
        <v>9</v>
      </c>
      <c r="AL60" s="4">
        <v>0.55555555555555558</v>
      </c>
      <c r="AM60">
        <v>0</v>
      </c>
      <c r="AN60">
        <v>2</v>
      </c>
      <c r="AO60">
        <v>2</v>
      </c>
      <c r="AP60" s="4">
        <v>1</v>
      </c>
      <c r="AQ60">
        <v>2</v>
      </c>
      <c r="AR60">
        <v>5</v>
      </c>
      <c r="AS60">
        <v>7</v>
      </c>
      <c r="AT60" s="4">
        <v>0.7142857142857143</v>
      </c>
      <c r="AU60">
        <v>1</v>
      </c>
      <c r="AV60">
        <v>5</v>
      </c>
      <c r="AW60">
        <v>6</v>
      </c>
      <c r="AX60" s="4">
        <v>0.83333333333333337</v>
      </c>
      <c r="AY60" s="33" t="s">
        <v>526</v>
      </c>
      <c r="AZ60" t="s">
        <v>552</v>
      </c>
      <c r="BA60" t="str">
        <f t="shared" si="0"/>
        <v>Proportion of BKA England</v>
      </c>
      <c r="BB60" s="4">
        <v>0.49722494286647079</v>
      </c>
      <c r="BC60" s="4">
        <v>0.51047619047619053</v>
      </c>
      <c r="BD60" s="4">
        <v>0.55058139534883721</v>
      </c>
    </row>
    <row r="61" spans="1:56" x14ac:dyDescent="0.25">
      <c r="A61" t="s">
        <v>140</v>
      </c>
      <c r="B61" t="s">
        <v>139</v>
      </c>
      <c r="C61">
        <v>5</v>
      </c>
      <c r="D61">
        <v>4</v>
      </c>
      <c r="E61">
        <v>9</v>
      </c>
      <c r="F61" s="4">
        <v>0.44444444444444442</v>
      </c>
      <c r="G61">
        <v>3</v>
      </c>
      <c r="H61">
        <v>2</v>
      </c>
      <c r="I61">
        <v>5</v>
      </c>
      <c r="J61" s="4">
        <v>0.4</v>
      </c>
      <c r="K61">
        <v>4</v>
      </c>
      <c r="L61">
        <v>3</v>
      </c>
      <c r="M61">
        <v>7</v>
      </c>
      <c r="N61" s="4">
        <v>0.42857142857142855</v>
      </c>
      <c r="O61">
        <v>6</v>
      </c>
      <c r="P61">
        <v>1</v>
      </c>
      <c r="Q61">
        <v>7</v>
      </c>
      <c r="R61" s="4">
        <v>0.14285714285714285</v>
      </c>
      <c r="S61">
        <v>2</v>
      </c>
      <c r="T61">
        <v>4</v>
      </c>
      <c r="U61">
        <v>6</v>
      </c>
      <c r="V61" s="4">
        <v>0.66666666666666663</v>
      </c>
      <c r="W61">
        <v>7</v>
      </c>
      <c r="X61">
        <v>4</v>
      </c>
      <c r="Y61">
        <v>11</v>
      </c>
      <c r="Z61" s="4">
        <v>0.36363636363636365</v>
      </c>
      <c r="AA61">
        <v>5</v>
      </c>
      <c r="AB61">
        <v>3</v>
      </c>
      <c r="AC61">
        <v>8</v>
      </c>
      <c r="AD61" s="4">
        <v>0.375</v>
      </c>
      <c r="AE61">
        <v>0</v>
      </c>
      <c r="AF61">
        <v>1</v>
      </c>
      <c r="AG61">
        <v>1</v>
      </c>
      <c r="AH61" s="4">
        <v>1</v>
      </c>
      <c r="AI61">
        <v>1</v>
      </c>
      <c r="AJ61">
        <v>3</v>
      </c>
      <c r="AK61">
        <v>4</v>
      </c>
      <c r="AL61" s="4">
        <v>0.75</v>
      </c>
      <c r="AM61">
        <v>0</v>
      </c>
      <c r="AN61">
        <v>0</v>
      </c>
      <c r="AO61">
        <v>0</v>
      </c>
      <c r="AP61" s="4" t="s">
        <v>122</v>
      </c>
      <c r="AQ61">
        <v>2</v>
      </c>
      <c r="AR61">
        <v>4</v>
      </c>
      <c r="AS61">
        <v>6</v>
      </c>
      <c r="AT61" s="4">
        <v>0.66666666666666663</v>
      </c>
      <c r="AU61">
        <v>3</v>
      </c>
      <c r="AV61">
        <v>7</v>
      </c>
      <c r="AW61">
        <v>10</v>
      </c>
      <c r="AX61" s="4">
        <v>0.7</v>
      </c>
      <c r="AY61" s="33" t="s">
        <v>526</v>
      </c>
      <c r="AZ61" t="s">
        <v>552</v>
      </c>
      <c r="BA61" t="str">
        <f t="shared" si="0"/>
        <v>Proportion of BKA England</v>
      </c>
      <c r="BB61" s="4">
        <v>0.49722494286647079</v>
      </c>
      <c r="BC61" s="4">
        <v>0.51047619047619053</v>
      </c>
      <c r="BD61" s="4">
        <v>0.55058139534883721</v>
      </c>
    </row>
    <row r="62" spans="1:56" x14ac:dyDescent="0.25">
      <c r="A62" t="s">
        <v>123</v>
      </c>
      <c r="B62" t="s">
        <v>74</v>
      </c>
      <c r="C62">
        <v>4</v>
      </c>
      <c r="D62">
        <v>7</v>
      </c>
      <c r="E62">
        <v>11</v>
      </c>
      <c r="F62" s="4">
        <v>0.63636363636363635</v>
      </c>
      <c r="G62">
        <v>3</v>
      </c>
      <c r="H62">
        <v>3</v>
      </c>
      <c r="I62">
        <v>6</v>
      </c>
      <c r="J62" s="4">
        <v>0.5</v>
      </c>
      <c r="K62">
        <v>6</v>
      </c>
      <c r="L62">
        <v>3</v>
      </c>
      <c r="M62">
        <v>9</v>
      </c>
      <c r="N62" s="4">
        <v>0.33333333333333331</v>
      </c>
      <c r="O62">
        <v>3</v>
      </c>
      <c r="P62">
        <v>6</v>
      </c>
      <c r="Q62">
        <v>9</v>
      </c>
      <c r="R62" s="4">
        <v>0.66666666666666663</v>
      </c>
      <c r="S62">
        <v>2</v>
      </c>
      <c r="T62">
        <v>5</v>
      </c>
      <c r="U62">
        <v>7</v>
      </c>
      <c r="V62" s="4">
        <v>0.7142857142857143</v>
      </c>
      <c r="W62">
        <v>4</v>
      </c>
      <c r="X62">
        <v>4</v>
      </c>
      <c r="Y62">
        <v>8</v>
      </c>
      <c r="Z62" s="4">
        <v>0.5</v>
      </c>
      <c r="AA62">
        <v>5</v>
      </c>
      <c r="AB62">
        <v>8</v>
      </c>
      <c r="AC62">
        <v>13</v>
      </c>
      <c r="AD62" s="4">
        <v>0.61538461538461542</v>
      </c>
      <c r="AE62">
        <v>15</v>
      </c>
      <c r="AF62">
        <v>10</v>
      </c>
      <c r="AG62">
        <v>25</v>
      </c>
      <c r="AH62" s="4">
        <v>0.4</v>
      </c>
      <c r="AI62">
        <v>10</v>
      </c>
      <c r="AJ62">
        <v>3</v>
      </c>
      <c r="AK62">
        <v>13</v>
      </c>
      <c r="AL62" s="4">
        <v>0.23076923076923078</v>
      </c>
      <c r="AM62">
        <v>4</v>
      </c>
      <c r="AN62">
        <v>5</v>
      </c>
      <c r="AO62">
        <v>9</v>
      </c>
      <c r="AP62" s="4">
        <v>0.55555555555555558</v>
      </c>
      <c r="AQ62">
        <v>6</v>
      </c>
      <c r="AR62">
        <v>12</v>
      </c>
      <c r="AS62">
        <v>18</v>
      </c>
      <c r="AT62" s="4">
        <v>0.66666666666666663</v>
      </c>
      <c r="AU62">
        <v>4</v>
      </c>
      <c r="AV62">
        <v>6</v>
      </c>
      <c r="AW62">
        <v>10</v>
      </c>
      <c r="AX62" s="4">
        <v>0.6</v>
      </c>
      <c r="AY62" s="33" t="s">
        <v>526</v>
      </c>
      <c r="AZ62" t="s">
        <v>552</v>
      </c>
      <c r="BA62" t="str">
        <f t="shared" si="0"/>
        <v>Proportion of BKA England</v>
      </c>
      <c r="BB62" s="4">
        <v>0.49722494286647079</v>
      </c>
      <c r="BC62" s="4">
        <v>0.51047619047619053</v>
      </c>
      <c r="BD62" s="4">
        <v>0.55058139534883721</v>
      </c>
    </row>
    <row r="63" spans="1:56" x14ac:dyDescent="0.25">
      <c r="A63" t="s">
        <v>86</v>
      </c>
      <c r="B63" t="s">
        <v>85</v>
      </c>
      <c r="C63">
        <v>5</v>
      </c>
      <c r="D63">
        <v>7</v>
      </c>
      <c r="E63">
        <v>12</v>
      </c>
      <c r="F63" s="4">
        <v>0.58333333333333337</v>
      </c>
      <c r="G63">
        <v>3</v>
      </c>
      <c r="H63">
        <v>9</v>
      </c>
      <c r="I63">
        <v>12</v>
      </c>
      <c r="J63" s="4">
        <v>0.75</v>
      </c>
      <c r="K63">
        <v>5</v>
      </c>
      <c r="L63">
        <v>7</v>
      </c>
      <c r="M63">
        <v>12</v>
      </c>
      <c r="N63" s="4">
        <v>0.58333333333333337</v>
      </c>
      <c r="O63">
        <v>5</v>
      </c>
      <c r="P63">
        <v>12</v>
      </c>
      <c r="Q63">
        <v>17</v>
      </c>
      <c r="R63" s="4">
        <v>0.70588235294117652</v>
      </c>
      <c r="S63">
        <v>7</v>
      </c>
      <c r="T63">
        <v>11</v>
      </c>
      <c r="U63">
        <v>18</v>
      </c>
      <c r="V63" s="4">
        <v>0.61111111111111116</v>
      </c>
      <c r="W63">
        <v>5</v>
      </c>
      <c r="X63">
        <v>6</v>
      </c>
      <c r="Y63">
        <v>11</v>
      </c>
      <c r="Z63" s="4">
        <v>0.54545454545454541</v>
      </c>
      <c r="AA63">
        <v>6</v>
      </c>
      <c r="AB63">
        <v>12</v>
      </c>
      <c r="AC63">
        <v>18</v>
      </c>
      <c r="AD63" s="4">
        <v>0.66666666666666663</v>
      </c>
      <c r="AE63">
        <v>12</v>
      </c>
      <c r="AF63">
        <v>9</v>
      </c>
      <c r="AG63">
        <v>21</v>
      </c>
      <c r="AH63" s="4">
        <v>0.42857142857142855</v>
      </c>
      <c r="AI63">
        <v>4</v>
      </c>
      <c r="AJ63">
        <v>7</v>
      </c>
      <c r="AK63">
        <v>11</v>
      </c>
      <c r="AL63" s="4">
        <v>0.63636363636363635</v>
      </c>
      <c r="AM63">
        <v>6</v>
      </c>
      <c r="AN63">
        <v>13</v>
      </c>
      <c r="AO63">
        <v>19</v>
      </c>
      <c r="AP63" s="4">
        <v>0.68421052631578949</v>
      </c>
      <c r="AQ63">
        <v>7</v>
      </c>
      <c r="AR63">
        <v>17</v>
      </c>
      <c r="AS63">
        <v>24</v>
      </c>
      <c r="AT63" s="4">
        <v>0.70833333333333337</v>
      </c>
      <c r="AU63">
        <v>10</v>
      </c>
      <c r="AV63">
        <v>8</v>
      </c>
      <c r="AW63">
        <v>18</v>
      </c>
      <c r="AX63" s="4">
        <v>0.44444444444444442</v>
      </c>
      <c r="AY63" s="33" t="s">
        <v>526</v>
      </c>
      <c r="AZ63" t="s">
        <v>552</v>
      </c>
      <c r="BA63" t="str">
        <f t="shared" si="0"/>
        <v>Proportion of BKA England</v>
      </c>
      <c r="BB63" s="4">
        <v>0.49722494286647079</v>
      </c>
      <c r="BC63" s="4">
        <v>0.51047619047619053</v>
      </c>
      <c r="BD63" s="4">
        <v>0.55058139534883721</v>
      </c>
    </row>
    <row r="64" spans="1:56" x14ac:dyDescent="0.25">
      <c r="A64" t="s">
        <v>120</v>
      </c>
      <c r="B64" t="s">
        <v>48</v>
      </c>
      <c r="C64">
        <v>0</v>
      </c>
      <c r="D64">
        <v>4</v>
      </c>
      <c r="E64">
        <v>4</v>
      </c>
      <c r="F64" s="4">
        <v>1</v>
      </c>
      <c r="G64">
        <v>0</v>
      </c>
      <c r="H64">
        <v>1</v>
      </c>
      <c r="I64">
        <v>1</v>
      </c>
      <c r="J64" s="4">
        <v>1</v>
      </c>
      <c r="K64">
        <v>2</v>
      </c>
      <c r="L64">
        <v>4</v>
      </c>
      <c r="M64">
        <v>6</v>
      </c>
      <c r="N64" s="4">
        <v>0.66666666666666663</v>
      </c>
      <c r="O64">
        <v>3</v>
      </c>
      <c r="P64">
        <v>5</v>
      </c>
      <c r="Q64">
        <v>8</v>
      </c>
      <c r="R64" s="4">
        <v>0.625</v>
      </c>
      <c r="S64">
        <v>1</v>
      </c>
      <c r="T64">
        <v>2</v>
      </c>
      <c r="U64">
        <v>3</v>
      </c>
      <c r="V64" s="4">
        <v>0.66666666666666663</v>
      </c>
      <c r="W64">
        <v>4</v>
      </c>
      <c r="X64">
        <v>1</v>
      </c>
      <c r="Y64">
        <v>5</v>
      </c>
      <c r="Z64" s="4">
        <v>0.2</v>
      </c>
      <c r="AA64">
        <v>2</v>
      </c>
      <c r="AB64">
        <v>4</v>
      </c>
      <c r="AC64">
        <v>6</v>
      </c>
      <c r="AD64" s="4">
        <v>0.66666666666666663</v>
      </c>
      <c r="AE64">
        <v>5</v>
      </c>
      <c r="AF64">
        <v>2</v>
      </c>
      <c r="AG64">
        <v>7</v>
      </c>
      <c r="AH64" s="4">
        <v>0.2857142857142857</v>
      </c>
      <c r="AI64">
        <v>3</v>
      </c>
      <c r="AJ64">
        <v>4</v>
      </c>
      <c r="AK64">
        <v>7</v>
      </c>
      <c r="AL64" s="4">
        <v>0.5714285714285714</v>
      </c>
      <c r="AM64">
        <v>1</v>
      </c>
      <c r="AN64">
        <v>2</v>
      </c>
      <c r="AO64">
        <v>3</v>
      </c>
      <c r="AP64" s="4">
        <v>0.66666666666666663</v>
      </c>
      <c r="AQ64">
        <v>1</v>
      </c>
      <c r="AR64">
        <v>3</v>
      </c>
      <c r="AS64">
        <v>4</v>
      </c>
      <c r="AT64" s="4">
        <v>0.75</v>
      </c>
      <c r="AU64">
        <v>3</v>
      </c>
      <c r="AV64">
        <v>2</v>
      </c>
      <c r="AW64">
        <v>5</v>
      </c>
      <c r="AX64" s="4">
        <v>0.4</v>
      </c>
      <c r="AY64" s="33" t="s">
        <v>526</v>
      </c>
      <c r="AZ64" t="s">
        <v>552</v>
      </c>
      <c r="BA64" t="str">
        <f t="shared" si="0"/>
        <v>Proportion of BKA England</v>
      </c>
      <c r="BB64" s="4">
        <v>0.49722494286647079</v>
      </c>
      <c r="BC64" s="4">
        <v>0.51047619047619053</v>
      </c>
      <c r="BD64" s="4">
        <v>0.55058139534883721</v>
      </c>
    </row>
    <row r="65" spans="1:56" x14ac:dyDescent="0.25">
      <c r="A65" t="s">
        <v>156</v>
      </c>
      <c r="B65" t="s">
        <v>87</v>
      </c>
      <c r="C65">
        <v>2</v>
      </c>
      <c r="D65">
        <v>2</v>
      </c>
      <c r="E65">
        <v>4</v>
      </c>
      <c r="F65" s="4">
        <v>0.5</v>
      </c>
      <c r="G65">
        <v>2</v>
      </c>
      <c r="H65">
        <v>3</v>
      </c>
      <c r="I65">
        <v>5</v>
      </c>
      <c r="J65" s="4">
        <v>0.6</v>
      </c>
      <c r="K65">
        <v>1</v>
      </c>
      <c r="L65">
        <v>5</v>
      </c>
      <c r="M65">
        <v>6</v>
      </c>
      <c r="N65" s="4">
        <v>0.83333333333333337</v>
      </c>
      <c r="O65">
        <v>1</v>
      </c>
      <c r="P65">
        <v>0</v>
      </c>
      <c r="Q65">
        <v>1</v>
      </c>
      <c r="R65" s="4">
        <v>0</v>
      </c>
      <c r="S65">
        <v>0</v>
      </c>
      <c r="T65">
        <v>0</v>
      </c>
      <c r="U65">
        <v>0</v>
      </c>
      <c r="V65" s="4" t="s">
        <v>122</v>
      </c>
      <c r="W65">
        <v>0</v>
      </c>
      <c r="X65">
        <v>1</v>
      </c>
      <c r="Y65">
        <v>1</v>
      </c>
      <c r="Z65" s="4">
        <v>1</v>
      </c>
      <c r="AA65">
        <v>2</v>
      </c>
      <c r="AB65">
        <v>7</v>
      </c>
      <c r="AC65">
        <v>9</v>
      </c>
      <c r="AD65" s="4">
        <v>0.77777777777777779</v>
      </c>
      <c r="AE65">
        <v>2</v>
      </c>
      <c r="AF65">
        <v>0</v>
      </c>
      <c r="AG65">
        <v>2</v>
      </c>
      <c r="AH65" s="4">
        <v>0</v>
      </c>
      <c r="AI65">
        <v>0</v>
      </c>
      <c r="AJ65">
        <v>1</v>
      </c>
      <c r="AK65">
        <v>1</v>
      </c>
      <c r="AL65" s="4">
        <v>1</v>
      </c>
      <c r="AM65">
        <v>0</v>
      </c>
      <c r="AN65">
        <v>0</v>
      </c>
      <c r="AO65">
        <v>0</v>
      </c>
      <c r="AP65" s="4" t="s">
        <v>122</v>
      </c>
      <c r="AQ65">
        <v>3</v>
      </c>
      <c r="AR65">
        <v>4</v>
      </c>
      <c r="AS65">
        <v>7</v>
      </c>
      <c r="AT65" s="4">
        <v>0.5714285714285714</v>
      </c>
      <c r="AU65">
        <v>1</v>
      </c>
      <c r="AV65">
        <v>2</v>
      </c>
      <c r="AW65">
        <v>3</v>
      </c>
      <c r="AX65" s="4">
        <v>0.66666666666666663</v>
      </c>
      <c r="AY65" s="33" t="s">
        <v>526</v>
      </c>
      <c r="AZ65" t="s">
        <v>552</v>
      </c>
      <c r="BA65" t="str">
        <f t="shared" si="0"/>
        <v>Proportion of BKA England</v>
      </c>
      <c r="BB65" s="4">
        <v>0.49722494286647079</v>
      </c>
      <c r="BC65" s="4">
        <v>0.51047619047619053</v>
      </c>
      <c r="BD65" s="4">
        <v>0.55058139534883721</v>
      </c>
    </row>
    <row r="66" spans="1:56" x14ac:dyDescent="0.25">
      <c r="A66" t="s">
        <v>91</v>
      </c>
      <c r="B66" t="s">
        <v>90</v>
      </c>
      <c r="C66">
        <v>7</v>
      </c>
      <c r="D66">
        <v>5</v>
      </c>
      <c r="E66">
        <v>12</v>
      </c>
      <c r="F66" s="4">
        <v>0.41666666666666669</v>
      </c>
      <c r="G66">
        <v>7</v>
      </c>
      <c r="H66">
        <v>4</v>
      </c>
      <c r="I66">
        <v>11</v>
      </c>
      <c r="J66" s="4">
        <v>0.36363636363636365</v>
      </c>
      <c r="K66">
        <v>5</v>
      </c>
      <c r="L66">
        <v>5</v>
      </c>
      <c r="M66">
        <v>10</v>
      </c>
      <c r="N66" s="4">
        <v>0.5</v>
      </c>
      <c r="O66">
        <v>4</v>
      </c>
      <c r="P66">
        <v>7</v>
      </c>
      <c r="Q66">
        <v>11</v>
      </c>
      <c r="R66" s="4">
        <v>0.63636363636363635</v>
      </c>
      <c r="S66">
        <v>7</v>
      </c>
      <c r="T66">
        <v>8</v>
      </c>
      <c r="U66">
        <v>15</v>
      </c>
      <c r="V66" s="4">
        <v>0.53333333333333333</v>
      </c>
      <c r="W66">
        <v>3</v>
      </c>
      <c r="X66">
        <v>7</v>
      </c>
      <c r="Y66">
        <v>10</v>
      </c>
      <c r="Z66" s="4">
        <v>0.7</v>
      </c>
      <c r="AA66">
        <v>5</v>
      </c>
      <c r="AB66">
        <v>6</v>
      </c>
      <c r="AC66">
        <v>11</v>
      </c>
      <c r="AD66" s="4">
        <v>0.54545454545454541</v>
      </c>
      <c r="AE66">
        <v>4</v>
      </c>
      <c r="AF66">
        <v>11</v>
      </c>
      <c r="AG66">
        <v>15</v>
      </c>
      <c r="AH66" s="4">
        <v>0.73333333333333328</v>
      </c>
      <c r="AI66">
        <v>5</v>
      </c>
      <c r="AJ66">
        <v>6</v>
      </c>
      <c r="AK66">
        <v>11</v>
      </c>
      <c r="AL66" s="4">
        <v>0.54545454545454541</v>
      </c>
      <c r="AM66">
        <v>5</v>
      </c>
      <c r="AN66">
        <v>8</v>
      </c>
      <c r="AO66">
        <v>13</v>
      </c>
      <c r="AP66" s="4">
        <v>0.61538461538461542</v>
      </c>
      <c r="AQ66">
        <v>11</v>
      </c>
      <c r="AR66">
        <v>9</v>
      </c>
      <c r="AS66">
        <v>20</v>
      </c>
      <c r="AT66" s="4">
        <v>0.45</v>
      </c>
      <c r="AU66">
        <v>6</v>
      </c>
      <c r="AV66">
        <v>5</v>
      </c>
      <c r="AW66">
        <v>11</v>
      </c>
      <c r="AX66" s="4">
        <v>0.45454545454545453</v>
      </c>
      <c r="AY66" s="33" t="s">
        <v>526</v>
      </c>
      <c r="AZ66" t="s">
        <v>552</v>
      </c>
      <c r="BA66" t="str">
        <f t="shared" si="0"/>
        <v>Proportion of BKA England</v>
      </c>
      <c r="BB66" s="4">
        <v>0.49722494286647079</v>
      </c>
      <c r="BC66" s="4">
        <v>0.51047619047619053</v>
      </c>
      <c r="BD66" s="4">
        <v>0.55058139534883721</v>
      </c>
    </row>
    <row r="67" spans="1:56" x14ac:dyDescent="0.25">
      <c r="A67" t="s">
        <v>19</v>
      </c>
      <c r="B67" t="s">
        <v>18</v>
      </c>
      <c r="C67">
        <v>4</v>
      </c>
      <c r="D67">
        <v>2</v>
      </c>
      <c r="E67">
        <v>6</v>
      </c>
      <c r="F67" s="4">
        <v>0.33333333333333331</v>
      </c>
      <c r="G67">
        <v>3</v>
      </c>
      <c r="H67">
        <v>7</v>
      </c>
      <c r="I67">
        <v>10</v>
      </c>
      <c r="J67" s="4">
        <v>0.7</v>
      </c>
      <c r="K67">
        <v>7</v>
      </c>
      <c r="L67">
        <v>9</v>
      </c>
      <c r="M67">
        <v>16</v>
      </c>
      <c r="N67" s="4">
        <v>0.5625</v>
      </c>
      <c r="O67">
        <v>3</v>
      </c>
      <c r="P67">
        <v>4</v>
      </c>
      <c r="Q67">
        <v>7</v>
      </c>
      <c r="R67" s="4">
        <v>0.5714285714285714</v>
      </c>
      <c r="S67">
        <v>7</v>
      </c>
      <c r="T67">
        <v>2</v>
      </c>
      <c r="U67">
        <v>9</v>
      </c>
      <c r="V67" s="4">
        <v>0.22222222222222221</v>
      </c>
      <c r="W67">
        <v>6</v>
      </c>
      <c r="X67">
        <v>7</v>
      </c>
      <c r="Y67">
        <v>13</v>
      </c>
      <c r="Z67" s="4">
        <v>0.53846153846153844</v>
      </c>
      <c r="AA67">
        <v>6</v>
      </c>
      <c r="AB67">
        <v>10</v>
      </c>
      <c r="AC67">
        <v>16</v>
      </c>
      <c r="AD67" s="4">
        <v>0.625</v>
      </c>
      <c r="AE67">
        <v>3</v>
      </c>
      <c r="AF67">
        <v>12</v>
      </c>
      <c r="AG67">
        <v>15</v>
      </c>
      <c r="AH67" s="4">
        <v>0.8</v>
      </c>
      <c r="AI67">
        <v>7</v>
      </c>
      <c r="AJ67">
        <v>11</v>
      </c>
      <c r="AK67">
        <v>18</v>
      </c>
      <c r="AL67" s="4">
        <v>0.61111111111111116</v>
      </c>
      <c r="AM67">
        <v>4</v>
      </c>
      <c r="AN67">
        <v>5</v>
      </c>
      <c r="AO67">
        <v>9</v>
      </c>
      <c r="AP67" s="4">
        <v>0.55555555555555558</v>
      </c>
      <c r="AQ67">
        <v>12</v>
      </c>
      <c r="AR67">
        <v>14</v>
      </c>
      <c r="AS67">
        <v>26</v>
      </c>
      <c r="AT67" s="4">
        <v>0.53846153846153844</v>
      </c>
      <c r="AU67">
        <v>10</v>
      </c>
      <c r="AV67">
        <v>11</v>
      </c>
      <c r="AW67">
        <v>21</v>
      </c>
      <c r="AX67" s="4">
        <v>0.52380952380952384</v>
      </c>
      <c r="AY67" s="33" t="s">
        <v>526</v>
      </c>
      <c r="AZ67" t="s">
        <v>552</v>
      </c>
      <c r="BA67" t="str">
        <f t="shared" ref="BA67" si="1">AZ67&amp;" "&amp;AY67</f>
        <v>Proportion of BKA England</v>
      </c>
      <c r="BB67" s="4">
        <v>0.49722494286647079</v>
      </c>
      <c r="BC67" s="4">
        <v>0.51047619047619053</v>
      </c>
      <c r="BD67" s="4">
        <v>0.55058139534883721</v>
      </c>
    </row>
  </sheetData>
  <sortState xmlns:xlrd2="http://schemas.microsoft.com/office/spreadsheetml/2017/richdata2" ref="A2:AW67">
    <sortCondition ref="A2:A67"/>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D24"/>
  <sheetViews>
    <sheetView showGridLines="0" showRowColHeaders="0" workbookViewId="0">
      <selection activeCell="A6" sqref="A6"/>
    </sheetView>
  </sheetViews>
  <sheetFormatPr defaultRowHeight="15" x14ac:dyDescent="0.25"/>
  <cols>
    <col min="1" max="1" width="4.7109375" customWidth="1"/>
    <col min="3" max="3" width="71.28515625" customWidth="1"/>
    <col min="4" max="4" width="16.7109375" customWidth="1"/>
  </cols>
  <sheetData>
    <row r="5" spans="2:3" ht="15.75" x14ac:dyDescent="0.25">
      <c r="B5" s="18" t="s">
        <v>368</v>
      </c>
    </row>
    <row r="7" spans="2:3" x14ac:dyDescent="0.25">
      <c r="B7" s="9" t="s">
        <v>379</v>
      </c>
    </row>
    <row r="8" spans="2:3" x14ac:dyDescent="0.25">
      <c r="B8" s="9"/>
      <c r="C8" t="s">
        <v>421</v>
      </c>
    </row>
    <row r="9" spans="2:3" x14ac:dyDescent="0.25">
      <c r="B9" s="9"/>
      <c r="C9" t="s">
        <v>385</v>
      </c>
    </row>
    <row r="10" spans="2:3" x14ac:dyDescent="0.25">
      <c r="B10" s="9"/>
      <c r="C10" t="s">
        <v>380</v>
      </c>
    </row>
    <row r="11" spans="2:3" x14ac:dyDescent="0.25">
      <c r="C11" t="s">
        <v>381</v>
      </c>
    </row>
    <row r="12" spans="2:3" x14ac:dyDescent="0.25">
      <c r="C12" t="s">
        <v>382</v>
      </c>
    </row>
    <row r="13" spans="2:3" x14ac:dyDescent="0.25">
      <c r="C13" t="s">
        <v>383</v>
      </c>
    </row>
    <row r="14" spans="2:3" x14ac:dyDescent="0.25">
      <c r="C14" t="s">
        <v>384</v>
      </c>
    </row>
    <row r="15" spans="2:3" x14ac:dyDescent="0.25">
      <c r="C15" t="s">
        <v>448</v>
      </c>
    </row>
    <row r="17" spans="2:4" x14ac:dyDescent="0.25">
      <c r="B17" s="9" t="s">
        <v>375</v>
      </c>
    </row>
    <row r="18" spans="2:4" x14ac:dyDescent="0.25">
      <c r="C18" t="s">
        <v>376</v>
      </c>
    </row>
    <row r="19" spans="2:4" x14ac:dyDescent="0.25">
      <c r="C19" t="s">
        <v>377</v>
      </c>
    </row>
    <row r="20" spans="2:4" ht="70.5" customHeight="1" x14ac:dyDescent="0.25">
      <c r="C20" s="5" t="s">
        <v>378</v>
      </c>
      <c r="D20" s="5" t="s">
        <v>372</v>
      </c>
    </row>
    <row r="21" spans="2:4" ht="45" x14ac:dyDescent="0.25">
      <c r="C21" s="5" t="s">
        <v>374</v>
      </c>
      <c r="D21" s="5" t="s">
        <v>371</v>
      </c>
    </row>
    <row r="22" spans="2:4" ht="45" x14ac:dyDescent="0.25">
      <c r="C22" s="5" t="s">
        <v>373</v>
      </c>
      <c r="D22" s="5" t="s">
        <v>370</v>
      </c>
    </row>
    <row r="23" spans="2:4" x14ac:dyDescent="0.25">
      <c r="C23" s="5"/>
      <c r="D23" s="5"/>
    </row>
    <row r="24" spans="2:4" ht="210" customHeight="1" x14ac:dyDescent="0.25">
      <c r="C24" s="5" t="s">
        <v>369</v>
      </c>
      <c r="D24" s="5" t="s">
        <v>367</v>
      </c>
    </row>
  </sheetData>
  <sheetProtection algorithmName="SHA-512" hashValue="9epPnlBzP2/hZ63pymzgJPyN/HdP40POnN8svEHcmUptgnrnEf9AOvmtObt1N83fj0b9+ZrnwkOjcIYyyItvAA==" saltValue="f2V8ONCdd4ky3/54vBN1R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B32"/>
  <sheetViews>
    <sheetView showGridLines="0" showRowColHeaders="0" workbookViewId="0"/>
  </sheetViews>
  <sheetFormatPr defaultRowHeight="15" x14ac:dyDescent="0.25"/>
  <sheetData>
    <row r="5" spans="2:2" x14ac:dyDescent="0.25">
      <c r="B5" s="9" t="s">
        <v>365</v>
      </c>
    </row>
    <row r="6" spans="2:2" x14ac:dyDescent="0.25">
      <c r="B6" t="s">
        <v>544</v>
      </c>
    </row>
    <row r="7" spans="2:2" x14ac:dyDescent="0.25">
      <c r="B7" t="s">
        <v>492</v>
      </c>
    </row>
    <row r="9" spans="2:2" x14ac:dyDescent="0.25">
      <c r="B9" s="9" t="s">
        <v>506</v>
      </c>
    </row>
    <row r="10" spans="2:2" x14ac:dyDescent="0.25">
      <c r="B10" t="s">
        <v>493</v>
      </c>
    </row>
    <row r="12" spans="2:2" x14ac:dyDescent="0.25">
      <c r="B12" s="9" t="s">
        <v>494</v>
      </c>
    </row>
    <row r="13" spans="2:2" x14ac:dyDescent="0.25">
      <c r="B13" t="s">
        <v>495</v>
      </c>
    </row>
    <row r="16" spans="2:2" x14ac:dyDescent="0.25">
      <c r="B16" s="9" t="s">
        <v>386</v>
      </c>
    </row>
    <row r="17" spans="2:2" x14ac:dyDescent="0.25">
      <c r="B17" t="s">
        <v>545</v>
      </c>
    </row>
    <row r="18" spans="2:2" x14ac:dyDescent="0.25">
      <c r="B18" t="s">
        <v>496</v>
      </c>
    </row>
    <row r="19" spans="2:2" x14ac:dyDescent="0.25">
      <c r="B19" t="s">
        <v>497</v>
      </c>
    </row>
    <row r="22" spans="2:2" x14ac:dyDescent="0.25">
      <c r="B22" s="9" t="s">
        <v>498</v>
      </c>
    </row>
    <row r="23" spans="2:2" x14ac:dyDescent="0.25">
      <c r="B23" t="s">
        <v>546</v>
      </c>
    </row>
    <row r="24" spans="2:2" x14ac:dyDescent="0.25">
      <c r="B24" t="s">
        <v>499</v>
      </c>
    </row>
    <row r="25" spans="2:2" x14ac:dyDescent="0.25">
      <c r="B25" t="s">
        <v>500</v>
      </c>
    </row>
    <row r="26" spans="2:2" x14ac:dyDescent="0.25">
      <c r="B26" t="s">
        <v>501</v>
      </c>
    </row>
    <row r="28" spans="2:2" x14ac:dyDescent="0.25">
      <c r="B28" s="9" t="s">
        <v>502</v>
      </c>
    </row>
    <row r="29" spans="2:2" x14ac:dyDescent="0.25">
      <c r="B29" t="s">
        <v>547</v>
      </c>
    </row>
    <row r="30" spans="2:2" x14ac:dyDescent="0.25">
      <c r="B30" t="s">
        <v>503</v>
      </c>
    </row>
    <row r="31" spans="2:2" x14ac:dyDescent="0.25">
      <c r="B31" t="s">
        <v>504</v>
      </c>
    </row>
    <row r="32" spans="2:2" x14ac:dyDescent="0.25">
      <c r="B32" t="s">
        <v>505</v>
      </c>
    </row>
  </sheetData>
  <sheetProtection algorithmName="SHA-512" hashValue="z6OvZi9ZIx7WPzEMXuSBcqkZxYjlBBeQyJwX+aj4aRIY/6gcK4V1+KFQCmdJo5GMyEwS0KeoNc73BoohvHHPnw==" saltValue="Ki+lrWtwsWERLH6FcpgBb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5:Q46"/>
  <sheetViews>
    <sheetView showGridLines="0" showRowColHeaders="0" zoomScaleNormal="100" workbookViewId="0">
      <selection activeCell="C5" sqref="C5:F5"/>
    </sheetView>
  </sheetViews>
  <sheetFormatPr defaultColWidth="9.140625" defaultRowHeight="15" x14ac:dyDescent="0.25"/>
  <cols>
    <col min="1" max="1" width="4.5703125" customWidth="1"/>
    <col min="2" max="2" width="15.28515625" customWidth="1"/>
    <col min="3" max="3" width="18.7109375" customWidth="1"/>
    <col min="4" max="4" width="17.28515625" customWidth="1"/>
    <col min="5" max="5" width="20.7109375" customWidth="1"/>
    <col min="6" max="6" width="20.5703125" customWidth="1"/>
    <col min="7" max="7" width="16.85546875" customWidth="1"/>
    <col min="50" max="50" width="18.42578125" bestFit="1" customWidth="1"/>
    <col min="51" max="51" width="13.85546875" bestFit="1" customWidth="1"/>
    <col min="52" max="52" width="14.42578125" bestFit="1" customWidth="1"/>
    <col min="53" max="53" width="18.42578125" bestFit="1" customWidth="1"/>
    <col min="54" max="54" width="13.85546875" bestFit="1" customWidth="1"/>
    <col min="55" max="55" width="14.42578125" bestFit="1" customWidth="1"/>
    <col min="56" max="56" width="18.42578125" bestFit="1" customWidth="1"/>
    <col min="57" max="57" width="13.85546875" bestFit="1" customWidth="1"/>
    <col min="58" max="58" width="14.42578125" bestFit="1" customWidth="1"/>
    <col min="59" max="59" width="18.42578125" bestFit="1" customWidth="1"/>
    <col min="60" max="60" width="13.85546875" bestFit="1" customWidth="1"/>
    <col min="61" max="61" width="14.42578125" bestFit="1" customWidth="1"/>
    <col min="62" max="62" width="18.42578125" bestFit="1" customWidth="1"/>
    <col min="63" max="63" width="13.85546875" bestFit="1" customWidth="1"/>
    <col min="64" max="64" width="14.42578125" bestFit="1" customWidth="1"/>
    <col min="65" max="65" width="18.42578125" bestFit="1" customWidth="1"/>
    <col min="66" max="66" width="13.85546875" bestFit="1" customWidth="1"/>
    <col min="67" max="67" width="14.42578125" bestFit="1" customWidth="1"/>
    <col min="68" max="68" width="18.42578125" bestFit="1" customWidth="1"/>
  </cols>
  <sheetData>
    <row r="5" spans="2:17" ht="27" customHeight="1" x14ac:dyDescent="0.25">
      <c r="B5" s="1" t="s">
        <v>454</v>
      </c>
      <c r="C5" s="79" t="s">
        <v>127</v>
      </c>
      <c r="D5" s="79"/>
      <c r="E5" s="79"/>
      <c r="F5" s="79"/>
    </row>
    <row r="7" spans="2:17" ht="15.75" thickBot="1" x14ac:dyDescent="0.3"/>
    <row r="8" spans="2:17" ht="60" customHeight="1" thickBot="1" x14ac:dyDescent="0.3">
      <c r="B8" s="49" t="s">
        <v>426</v>
      </c>
      <c r="C8" s="50" t="s">
        <v>388</v>
      </c>
      <c r="D8" s="51" t="s">
        <v>507</v>
      </c>
      <c r="E8" s="51" t="s">
        <v>508</v>
      </c>
      <c r="F8" s="52" t="str">
        <f>VLOOKUP($C$5,'CEA Quarterly Results'!$A:$CB,53,FALSE)</f>
        <v>Proportion of patients treated within 14 days of symptoms within England</v>
      </c>
      <c r="G8" s="27"/>
      <c r="H8" s="9"/>
      <c r="I8" s="9"/>
      <c r="J8" s="9"/>
      <c r="K8" s="9"/>
      <c r="L8" s="9"/>
      <c r="M8" s="9"/>
      <c r="N8" s="9"/>
      <c r="O8" s="9"/>
      <c r="P8" s="9"/>
      <c r="Q8" s="9"/>
    </row>
    <row r="9" spans="2:17" ht="15.75" thickBot="1" x14ac:dyDescent="0.3">
      <c r="B9" s="53" t="s">
        <v>423</v>
      </c>
      <c r="C9" s="53">
        <f>Calcs!F10</f>
        <v>35</v>
      </c>
      <c r="D9" s="28">
        <f>Calcs!F15</f>
        <v>0.48571428571428571</v>
      </c>
      <c r="E9" s="54">
        <v>0.59</v>
      </c>
      <c r="F9" s="55">
        <f>VLOOKUP($C$5,'CEA Quarterly Results'!$A:$CB,54,FALSE)</f>
        <v>0.59712746858168764</v>
      </c>
      <c r="G9" s="56"/>
      <c r="H9" s="9"/>
      <c r="I9" s="9"/>
      <c r="J9" s="9"/>
      <c r="K9" s="9"/>
      <c r="L9" s="9"/>
      <c r="M9" s="9"/>
      <c r="N9" s="9"/>
      <c r="O9" s="9"/>
      <c r="P9" s="9"/>
      <c r="Q9" s="9"/>
    </row>
    <row r="10" spans="2:17" ht="15.75" thickBot="1" x14ac:dyDescent="0.3">
      <c r="B10" s="53" t="s">
        <v>424</v>
      </c>
      <c r="C10" s="53">
        <f>Calcs!J10</f>
        <v>19</v>
      </c>
      <c r="D10" s="28">
        <f>Calcs!J15</f>
        <v>0.26315789473684209</v>
      </c>
      <c r="E10" s="54">
        <v>0.55000000000000004</v>
      </c>
      <c r="F10" s="55">
        <f>VLOOKUP($C$5,'CEA Quarterly Results'!$A:$CB,55,FALSE)</f>
        <v>0.5577350111028867</v>
      </c>
      <c r="G10" s="56"/>
    </row>
    <row r="11" spans="2:17" ht="15.75" thickBot="1" x14ac:dyDescent="0.3">
      <c r="B11" s="53" t="s">
        <v>425</v>
      </c>
      <c r="C11" s="53">
        <f>Calcs!N10</f>
        <v>40</v>
      </c>
      <c r="D11" s="28">
        <f>Calcs!N15</f>
        <v>0.27500000000000002</v>
      </c>
      <c r="E11" s="54">
        <v>0.5</v>
      </c>
      <c r="F11" s="55">
        <f>VLOOKUP($C$5,'CEA Quarterly Results'!$A:$CB,56,FALSE)</f>
        <v>0.49857346647646222</v>
      </c>
      <c r="G11" s="56"/>
    </row>
    <row r="14" spans="2:17" ht="15.75" thickBot="1" x14ac:dyDescent="0.3">
      <c r="B14" s="9" t="s">
        <v>431</v>
      </c>
    </row>
    <row r="15" spans="2:17" ht="15" customHeight="1" thickBot="1" x14ac:dyDescent="0.3">
      <c r="B15" s="78" t="s">
        <v>432</v>
      </c>
      <c r="C15" s="80" t="s">
        <v>433</v>
      </c>
      <c r="D15" s="81"/>
      <c r="E15" s="82"/>
      <c r="F15" s="57"/>
    </row>
    <row r="16" spans="2:17" ht="15.75" thickBot="1" x14ac:dyDescent="0.3">
      <c r="B16" s="78"/>
      <c r="C16" s="80"/>
      <c r="D16" s="81"/>
      <c r="E16" s="82"/>
      <c r="F16" s="57"/>
    </row>
    <row r="17" spans="2:6" ht="15.75" thickBot="1" x14ac:dyDescent="0.3">
      <c r="B17" s="78"/>
      <c r="C17" s="80"/>
      <c r="D17" s="81"/>
      <c r="E17" s="82"/>
      <c r="F17" s="57"/>
    </row>
    <row r="18" spans="2:6" ht="15" customHeight="1" thickBot="1" x14ac:dyDescent="0.3">
      <c r="B18" s="78" t="s">
        <v>509</v>
      </c>
      <c r="C18" s="80" t="s">
        <v>511</v>
      </c>
      <c r="D18" s="81"/>
      <c r="E18" s="82"/>
    </row>
    <row r="19" spans="2:6" ht="15.75" thickBot="1" x14ac:dyDescent="0.3">
      <c r="B19" s="78"/>
      <c r="C19" s="80"/>
      <c r="D19" s="81"/>
      <c r="E19" s="82"/>
    </row>
    <row r="20" spans="2:6" ht="15.75" thickBot="1" x14ac:dyDescent="0.3">
      <c r="B20" s="78"/>
      <c r="C20" s="80"/>
      <c r="D20" s="81"/>
      <c r="E20" s="82"/>
    </row>
    <row r="21" spans="2:6" ht="15.75" thickBot="1" x14ac:dyDescent="0.3">
      <c r="B21" s="78"/>
      <c r="C21" s="80"/>
      <c r="D21" s="81"/>
      <c r="E21" s="82"/>
    </row>
    <row r="22" spans="2:6" ht="15" customHeight="1" thickBot="1" x14ac:dyDescent="0.3">
      <c r="B22" s="77" t="s">
        <v>360</v>
      </c>
      <c r="C22" s="80" t="s">
        <v>510</v>
      </c>
      <c r="D22" s="81"/>
      <c r="E22" s="82"/>
    </row>
    <row r="23" spans="2:6" ht="15.75" thickBot="1" x14ac:dyDescent="0.3">
      <c r="B23" s="77"/>
      <c r="C23" s="80"/>
      <c r="D23" s="81"/>
      <c r="E23" s="82"/>
    </row>
    <row r="24" spans="2:6" ht="15.75" thickBot="1" x14ac:dyDescent="0.3">
      <c r="B24" s="77"/>
      <c r="C24" s="80"/>
      <c r="D24" s="81"/>
      <c r="E24" s="82"/>
    </row>
    <row r="25" spans="2:6" ht="15.75" thickBot="1" x14ac:dyDescent="0.3"/>
    <row r="26" spans="2:6" s="22" customFormat="1" x14ac:dyDescent="0.25">
      <c r="B26" s="58" t="s">
        <v>446</v>
      </c>
      <c r="C26" s="59"/>
      <c r="D26" s="60"/>
    </row>
    <row r="27" spans="2:6" s="22" customFormat="1" ht="15" customHeight="1" x14ac:dyDescent="0.25">
      <c r="B27" s="71" t="s">
        <v>513</v>
      </c>
      <c r="C27" s="72"/>
      <c r="D27" s="73"/>
    </row>
    <row r="28" spans="2:6" s="22" customFormat="1" x14ac:dyDescent="0.25">
      <c r="B28" s="71"/>
      <c r="C28" s="72"/>
      <c r="D28" s="73"/>
    </row>
    <row r="29" spans="2:6" s="22" customFormat="1" x14ac:dyDescent="0.25">
      <c r="B29" s="71"/>
      <c r="C29" s="72"/>
      <c r="D29" s="73"/>
    </row>
    <row r="30" spans="2:6" s="22" customFormat="1" x14ac:dyDescent="0.25">
      <c r="B30" s="71"/>
      <c r="C30" s="72"/>
      <c r="D30" s="73"/>
    </row>
    <row r="31" spans="2:6" s="22" customFormat="1" x14ac:dyDescent="0.25">
      <c r="B31" s="71"/>
      <c r="C31" s="72"/>
      <c r="D31" s="73"/>
    </row>
    <row r="32" spans="2:6" s="22" customFormat="1" ht="15.75" thickBot="1" x14ac:dyDescent="0.3">
      <c r="B32" s="74"/>
      <c r="C32" s="75"/>
      <c r="D32" s="76"/>
    </row>
    <row r="33" s="22" customFormat="1" x14ac:dyDescent="0.25"/>
    <row r="34" s="22" customFormat="1" x14ac:dyDescent="0.25"/>
    <row r="35" s="22" customFormat="1" x14ac:dyDescent="0.25"/>
    <row r="36" s="22" customFormat="1" x14ac:dyDescent="0.25"/>
    <row r="37" s="22" customFormat="1" x14ac:dyDescent="0.25"/>
    <row r="38" s="22" customFormat="1" x14ac:dyDescent="0.25"/>
    <row r="39" s="22" customFormat="1" x14ac:dyDescent="0.25"/>
    <row r="40" s="22" customFormat="1" x14ac:dyDescent="0.25"/>
    <row r="41" s="22" customFormat="1" x14ac:dyDescent="0.25"/>
    <row r="42" s="22" customFormat="1" x14ac:dyDescent="0.25"/>
    <row r="43" s="22" customFormat="1" x14ac:dyDescent="0.25"/>
    <row r="44" s="22" customFormat="1" x14ac:dyDescent="0.25"/>
    <row r="45" s="22" customFormat="1" x14ac:dyDescent="0.25"/>
    <row r="46" s="22" customFormat="1" x14ac:dyDescent="0.25"/>
  </sheetData>
  <sheetProtection algorithmName="SHA-512" hashValue="ut2hkeyM1LLUyGklU7iMMqwirtszCkoOzJ02+nYgXO3SZ/B/DgnWR9B8YuROKg2p4cuBUWjFuLSE8bYhPScfFg==" saltValue="FJ4V9rPlGlxGf8OwDqWihQ==" spinCount="100000" sheet="1" objects="1" scenarios="1"/>
  <mergeCells count="8">
    <mergeCell ref="B27:D32"/>
    <mergeCell ref="B22:B24"/>
    <mergeCell ref="B15:B17"/>
    <mergeCell ref="B18:B21"/>
    <mergeCell ref="C5:F5"/>
    <mergeCell ref="C15:E17"/>
    <mergeCell ref="C18:E21"/>
    <mergeCell ref="C22:E24"/>
  </mergeCells>
  <pageMargins left="0.70866141732283472" right="0.70866141732283472" top="0.74803149606299213" bottom="0.74803149606299213" header="0.31496062992125984" footer="0.31496062992125984"/>
  <pageSetup paperSize="9" scale="5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'CEA Quarterly Results'!$A$2:$A$67</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E49"/>
  <sheetViews>
    <sheetView showGridLines="0" zoomScaleNormal="100" workbookViewId="0">
      <selection activeCell="C5" sqref="C5:G5"/>
    </sheetView>
  </sheetViews>
  <sheetFormatPr defaultColWidth="8.85546875" defaultRowHeight="15" x14ac:dyDescent="0.25"/>
  <cols>
    <col min="1" max="1" width="4.5703125" customWidth="1"/>
    <col min="2" max="2" width="21.28515625" customWidth="1"/>
    <col min="3" max="3" width="13.28515625" customWidth="1"/>
    <col min="4" max="4" width="9.5703125" customWidth="1"/>
    <col min="5" max="5" width="16.7109375" customWidth="1"/>
    <col min="6" max="6" width="17.5703125" customWidth="1"/>
    <col min="7" max="7" width="20.42578125" customWidth="1"/>
    <col min="43" max="55" width="9.140625" style="24" customWidth="1"/>
  </cols>
  <sheetData>
    <row r="2" spans="2:57" x14ac:dyDescent="0.25">
      <c r="BE2" s="24"/>
    </row>
    <row r="3" spans="2:57" x14ac:dyDescent="0.25">
      <c r="BE3" s="22"/>
    </row>
    <row r="4" spans="2:57" x14ac:dyDescent="0.25">
      <c r="BE4" s="22"/>
    </row>
    <row r="5" spans="2:57" ht="27" customHeight="1" x14ac:dyDescent="0.25">
      <c r="B5" s="61" t="s">
        <v>124</v>
      </c>
      <c r="C5" s="83" t="s">
        <v>127</v>
      </c>
      <c r="D5" s="83"/>
      <c r="E5" s="83"/>
      <c r="F5" s="83"/>
      <c r="G5" s="83"/>
      <c r="BE5" s="22"/>
    </row>
    <row r="6" spans="2:57" x14ac:dyDescent="0.25">
      <c r="BE6" s="22"/>
    </row>
    <row r="7" spans="2:57" ht="15.75" thickBot="1" x14ac:dyDescent="0.3">
      <c r="BE7" s="22"/>
    </row>
    <row r="8" spans="2:57" ht="60.75" customHeight="1" thickBot="1" x14ac:dyDescent="0.3">
      <c r="B8" s="49" t="s">
        <v>426</v>
      </c>
      <c r="C8" s="62" t="s">
        <v>221</v>
      </c>
      <c r="D8" s="63" t="s">
        <v>443</v>
      </c>
      <c r="E8" s="64" t="s">
        <v>514</v>
      </c>
      <c r="F8" s="65" t="s">
        <v>515</v>
      </c>
      <c r="G8" s="66" t="str">
        <f>VLOOKUP($C$5,'AAA Quarterly Results'!$A:$CB,77,FALSE)</f>
        <v>Proportion of Patients Receiving Surgery Within 8 Weeks of Assessment England</v>
      </c>
      <c r="BE8" s="22"/>
    </row>
    <row r="9" spans="2:57" ht="15.75" thickBot="1" x14ac:dyDescent="0.3">
      <c r="B9" s="53" t="s">
        <v>423</v>
      </c>
      <c r="C9" s="67">
        <f>Calcs!F35</f>
        <v>20</v>
      </c>
      <c r="D9" s="28" t="str">
        <f>Calcs!E51</f>
        <v>70-100%</v>
      </c>
      <c r="E9" s="28">
        <f>Calcs!F40</f>
        <v>0.45</v>
      </c>
      <c r="F9" s="54">
        <v>0.34</v>
      </c>
      <c r="G9" s="55">
        <f>VLOOKUP($C$5,'AAA Quarterly Results'!$A:$CB,78,FALSE)</f>
        <v>0.35568645219755324</v>
      </c>
      <c r="BE9" s="22"/>
    </row>
    <row r="10" spans="2:57" ht="15.75" thickBot="1" x14ac:dyDescent="0.3">
      <c r="B10" s="53" t="s">
        <v>424</v>
      </c>
      <c r="C10" s="67">
        <f>Calcs!J35</f>
        <v>23</v>
      </c>
      <c r="D10" s="28">
        <f>Calcs!E52</f>
        <v>1</v>
      </c>
      <c r="E10" s="28">
        <f>Calcs!J40</f>
        <v>0.39130434782608697</v>
      </c>
      <c r="F10" s="54">
        <v>0.3</v>
      </c>
      <c r="G10" s="55">
        <f>VLOOKUP($C$5,'AAA Quarterly Results'!$A:$CB,79,FALSE)</f>
        <v>0.31385281385281383</v>
      </c>
      <c r="BE10" s="22"/>
    </row>
    <row r="11" spans="2:57" ht="15.75" thickBot="1" x14ac:dyDescent="0.3">
      <c r="B11" s="53" t="s">
        <v>425</v>
      </c>
      <c r="C11" s="67">
        <f>Calcs!N35</f>
        <v>21</v>
      </c>
      <c r="D11" s="28" t="str">
        <f>Calcs!E53</f>
        <v>70-100%</v>
      </c>
      <c r="E11" s="28">
        <f>Calcs!N40</f>
        <v>0.2857142857142857</v>
      </c>
      <c r="F11" s="54">
        <v>0.31</v>
      </c>
      <c r="G11" s="55">
        <f>VLOOKUP($C$5,'AAA Quarterly Results'!$A:$CB,80,FALSE)</f>
        <v>0.32277397260273971</v>
      </c>
      <c r="BE11" s="22"/>
    </row>
    <row r="12" spans="2:57" x14ac:dyDescent="0.25">
      <c r="BE12" s="22"/>
    </row>
    <row r="13" spans="2:57" x14ac:dyDescent="0.25">
      <c r="BE13" s="22"/>
    </row>
    <row r="14" spans="2:57" ht="15.75" thickBot="1" x14ac:dyDescent="0.3">
      <c r="B14" s="9" t="s">
        <v>431</v>
      </c>
      <c r="BE14" s="22"/>
    </row>
    <row r="15" spans="2:57" ht="15" customHeight="1" thickBot="1" x14ac:dyDescent="0.3">
      <c r="B15" s="78" t="s">
        <v>434</v>
      </c>
      <c r="C15" s="80" t="s">
        <v>435</v>
      </c>
      <c r="D15" s="81"/>
      <c r="E15" s="81"/>
      <c r="F15" s="82"/>
      <c r="BE15" s="22"/>
    </row>
    <row r="16" spans="2:57" ht="15.75" thickBot="1" x14ac:dyDescent="0.3">
      <c r="B16" s="78"/>
      <c r="C16" s="80"/>
      <c r="D16" s="81"/>
      <c r="E16" s="81"/>
      <c r="F16" s="82"/>
      <c r="BE16" s="22"/>
    </row>
    <row r="17" spans="2:57" ht="15.75" thickBot="1" x14ac:dyDescent="0.3">
      <c r="B17" s="78"/>
      <c r="C17" s="80"/>
      <c r="D17" s="81"/>
      <c r="E17" s="81"/>
      <c r="F17" s="82"/>
      <c r="BE17" s="22"/>
    </row>
    <row r="18" spans="2:57" ht="15" customHeight="1" thickBot="1" x14ac:dyDescent="0.3">
      <c r="B18" s="78" t="s">
        <v>514</v>
      </c>
      <c r="C18" s="80" t="s">
        <v>516</v>
      </c>
      <c r="D18" s="81"/>
      <c r="E18" s="81"/>
      <c r="F18" s="82"/>
      <c r="BE18" s="22"/>
    </row>
    <row r="19" spans="2:57" ht="15.75" thickBot="1" x14ac:dyDescent="0.3">
      <c r="B19" s="78"/>
      <c r="C19" s="80"/>
      <c r="D19" s="81"/>
      <c r="E19" s="81"/>
      <c r="F19" s="82"/>
      <c r="BE19" s="22"/>
    </row>
    <row r="20" spans="2:57" ht="15.75" thickBot="1" x14ac:dyDescent="0.3">
      <c r="B20" s="78"/>
      <c r="C20" s="80"/>
      <c r="D20" s="81"/>
      <c r="E20" s="81"/>
      <c r="F20" s="82"/>
      <c r="BE20" s="22"/>
    </row>
    <row r="21" spans="2:57" ht="15.75" thickBot="1" x14ac:dyDescent="0.3">
      <c r="B21" s="78"/>
      <c r="C21" s="80"/>
      <c r="D21" s="81"/>
      <c r="E21" s="81"/>
      <c r="F21" s="82"/>
      <c r="BE21" s="22"/>
    </row>
    <row r="22" spans="2:57" ht="15" customHeight="1" thickBot="1" x14ac:dyDescent="0.3">
      <c r="B22" s="77" t="s">
        <v>517</v>
      </c>
      <c r="C22" s="80" t="s">
        <v>518</v>
      </c>
      <c r="D22" s="81"/>
      <c r="E22" s="81"/>
      <c r="F22" s="82"/>
      <c r="BE22" s="22"/>
    </row>
    <row r="23" spans="2:57" ht="15.75" thickBot="1" x14ac:dyDescent="0.3">
      <c r="B23" s="77"/>
      <c r="C23" s="80"/>
      <c r="D23" s="81"/>
      <c r="E23" s="81"/>
      <c r="F23" s="82"/>
      <c r="BE23" s="22"/>
    </row>
    <row r="24" spans="2:57" ht="15.75" thickBot="1" x14ac:dyDescent="0.3">
      <c r="B24" s="77"/>
      <c r="C24" s="80"/>
      <c r="D24" s="81"/>
      <c r="E24" s="81"/>
      <c r="F24" s="82"/>
      <c r="BE24" s="22"/>
    </row>
    <row r="25" spans="2:57" ht="15.75" thickBot="1" x14ac:dyDescent="0.3"/>
    <row r="26" spans="2:57" x14ac:dyDescent="0.25">
      <c r="B26" s="58" t="s">
        <v>446</v>
      </c>
      <c r="C26" s="59"/>
      <c r="D26" s="60"/>
      <c r="AN26" s="24"/>
    </row>
    <row r="27" spans="2:57" s="24" customFormat="1" ht="15" customHeight="1" x14ac:dyDescent="0.25">
      <c r="B27" s="71" t="s">
        <v>447</v>
      </c>
      <c r="C27" s="72"/>
      <c r="D27" s="73"/>
    </row>
    <row r="28" spans="2:57" s="22" customFormat="1" x14ac:dyDescent="0.25">
      <c r="B28" s="71"/>
      <c r="C28" s="72"/>
      <c r="D28" s="73"/>
      <c r="AN28" s="24"/>
    </row>
    <row r="29" spans="2:57" s="22" customFormat="1" x14ac:dyDescent="0.25">
      <c r="B29" s="71"/>
      <c r="C29" s="72"/>
      <c r="D29" s="73"/>
      <c r="AN29" s="24"/>
    </row>
    <row r="30" spans="2:57" s="22" customFormat="1" x14ac:dyDescent="0.25">
      <c r="B30" s="71"/>
      <c r="C30" s="72"/>
      <c r="D30" s="73"/>
      <c r="AN30" s="24"/>
    </row>
    <row r="31" spans="2:57" s="22" customFormat="1" x14ac:dyDescent="0.25">
      <c r="B31" s="71"/>
      <c r="C31" s="72"/>
      <c r="D31" s="73"/>
      <c r="AN31" s="24"/>
    </row>
    <row r="32" spans="2:57" s="22" customFormat="1" x14ac:dyDescent="0.25">
      <c r="B32" s="71"/>
      <c r="C32" s="72"/>
      <c r="D32" s="73"/>
      <c r="AN32" s="24"/>
    </row>
    <row r="33" spans="2:55" s="22" customFormat="1" ht="15.75" thickBot="1" x14ac:dyDescent="0.3">
      <c r="B33" s="74"/>
      <c r="C33" s="75"/>
      <c r="D33" s="76"/>
      <c r="AN33" s="24"/>
    </row>
    <row r="34" spans="2:55" s="22" customFormat="1" x14ac:dyDescent="0.25">
      <c r="D34" s="68"/>
      <c r="AN34" s="24"/>
    </row>
    <row r="35" spans="2:55" s="22" customFormat="1" x14ac:dyDescent="0.25">
      <c r="AN35" s="24"/>
    </row>
    <row r="36" spans="2:55" s="22" customFormat="1" x14ac:dyDescent="0.25">
      <c r="AN36" s="24"/>
    </row>
    <row r="37" spans="2:55" s="22" customFormat="1" x14ac:dyDescent="0.25">
      <c r="AN37" s="24"/>
    </row>
    <row r="38" spans="2:55" s="22" customFormat="1" x14ac:dyDescent="0.25">
      <c r="AN38" s="24"/>
    </row>
    <row r="39" spans="2:55" s="22" customFormat="1" x14ac:dyDescent="0.25">
      <c r="AN39" s="24"/>
    </row>
    <row r="40" spans="2:55" s="22" customFormat="1" x14ac:dyDescent="0.25">
      <c r="AN40" s="24"/>
    </row>
    <row r="41" spans="2:55" s="22" customFormat="1" x14ac:dyDescent="0.25">
      <c r="AN41" s="24"/>
    </row>
    <row r="42" spans="2:55" s="22" customFormat="1" x14ac:dyDescent="0.25">
      <c r="AN42" s="24"/>
    </row>
    <row r="43" spans="2:55" s="22" customFormat="1" x14ac:dyDescent="0.25">
      <c r="AN43" s="24"/>
    </row>
    <row r="44" spans="2:55" s="22" customFormat="1" x14ac:dyDescent="0.25">
      <c r="AN44" s="24"/>
    </row>
    <row r="45" spans="2:55" s="22" customFormat="1" x14ac:dyDescent="0.25">
      <c r="AN45" s="24"/>
      <c r="AO45" s="24"/>
      <c r="AP45" s="24"/>
      <c r="AQ45" s="24"/>
      <c r="AR45" s="24"/>
      <c r="AS45" s="24"/>
      <c r="AT45" s="24"/>
      <c r="AU45" s="24"/>
      <c r="AV45" s="24"/>
      <c r="AW45" s="24"/>
      <c r="AX45" s="24"/>
      <c r="AY45" s="24"/>
      <c r="AZ45" s="24"/>
      <c r="BA45" s="24"/>
      <c r="BB45" s="24"/>
      <c r="BC45" s="24"/>
    </row>
    <row r="46" spans="2:55" s="22" customFormat="1" x14ac:dyDescent="0.25">
      <c r="AQ46" s="24"/>
      <c r="AR46" s="24"/>
      <c r="AS46" s="24"/>
      <c r="AT46" s="24"/>
      <c r="AU46" s="24"/>
      <c r="AV46" s="24"/>
      <c r="AW46" s="24"/>
      <c r="AX46" s="24"/>
      <c r="AY46" s="24"/>
      <c r="AZ46" s="24"/>
      <c r="BA46" s="24"/>
      <c r="BB46" s="24"/>
      <c r="BC46" s="24"/>
    </row>
    <row r="47" spans="2:55" s="22" customFormat="1" x14ac:dyDescent="0.25">
      <c r="AQ47" s="24"/>
      <c r="AR47" s="24"/>
      <c r="AS47" s="24"/>
      <c r="AT47" s="24"/>
      <c r="AU47" s="24"/>
      <c r="AV47" s="24"/>
      <c r="AW47" s="24"/>
      <c r="AX47" s="24"/>
      <c r="AY47" s="24"/>
      <c r="AZ47" s="24"/>
      <c r="BA47" s="24"/>
      <c r="BB47" s="24"/>
      <c r="BC47" s="24"/>
    </row>
    <row r="48" spans="2:55" s="22" customFormat="1" x14ac:dyDescent="0.25">
      <c r="AQ48" s="24"/>
      <c r="AR48" s="24"/>
      <c r="AS48" s="24"/>
      <c r="AT48" s="24"/>
      <c r="AU48" s="24"/>
      <c r="AV48" s="24"/>
      <c r="AW48" s="24"/>
      <c r="AX48" s="24"/>
      <c r="AY48" s="24"/>
      <c r="AZ48" s="24"/>
      <c r="BA48" s="24"/>
      <c r="BB48" s="24"/>
      <c r="BC48" s="24"/>
    </row>
    <row r="49" spans="43:55" s="22" customFormat="1" x14ac:dyDescent="0.25">
      <c r="AQ49" s="24"/>
      <c r="AR49" s="24"/>
      <c r="AS49" s="24"/>
      <c r="AT49" s="24"/>
      <c r="AU49" s="24"/>
      <c r="AV49" s="24"/>
      <c r="AW49" s="24"/>
      <c r="AX49" s="24"/>
      <c r="AY49" s="24"/>
      <c r="AZ49" s="24"/>
      <c r="BA49" s="24"/>
      <c r="BB49" s="24"/>
      <c r="BC49" s="24"/>
    </row>
  </sheetData>
  <sheetProtection algorithmName="SHA-512" hashValue="5UYMbRC1NmmE5OL2MZqTUf13arbfCbWt3RCDMPJu1wd1ERMrRDP2S5g4s8p0Y4ffRBbPuc2NFOwkFhSv4dt/Jg==" saltValue="rB4+3Svv+KLye5QqO5BxSA==" spinCount="100000" sheet="1" objects="1" scenarios="1"/>
  <mergeCells count="8">
    <mergeCell ref="C5:G5"/>
    <mergeCell ref="B27:D33"/>
    <mergeCell ref="B15:B17"/>
    <mergeCell ref="B18:B21"/>
    <mergeCell ref="B22:B24"/>
    <mergeCell ref="C15:F17"/>
    <mergeCell ref="C18:F21"/>
    <mergeCell ref="C22:F2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'AAA Quarterly Results'!$A$2:$A$67</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K47"/>
  <sheetViews>
    <sheetView showGridLines="0" showRowColHeaders="0" workbookViewId="0">
      <selection activeCell="C5" sqref="C5:F5"/>
    </sheetView>
  </sheetViews>
  <sheetFormatPr defaultColWidth="8.85546875" defaultRowHeight="15" x14ac:dyDescent="0.25"/>
  <cols>
    <col min="1" max="1" width="4.5703125" customWidth="1"/>
    <col min="2" max="2" width="14.7109375" customWidth="1"/>
    <col min="3" max="3" width="20.7109375" customWidth="1"/>
    <col min="4" max="4" width="21" customWidth="1"/>
    <col min="5" max="5" width="16.5703125" customWidth="1"/>
    <col min="6" max="6" width="17.28515625" customWidth="1"/>
  </cols>
  <sheetData>
    <row r="1" spans="2:37" x14ac:dyDescent="0.25">
      <c r="AK1" s="24"/>
    </row>
    <row r="2" spans="2:37" x14ac:dyDescent="0.25">
      <c r="AK2" s="24"/>
    </row>
    <row r="3" spans="2:37" x14ac:dyDescent="0.25">
      <c r="AK3" s="24"/>
    </row>
    <row r="4" spans="2:37" x14ac:dyDescent="0.25">
      <c r="AK4" s="24"/>
    </row>
    <row r="5" spans="2:37" ht="27" customHeight="1" x14ac:dyDescent="0.25">
      <c r="B5" s="1" t="s">
        <v>124</v>
      </c>
      <c r="C5" s="79" t="s">
        <v>127</v>
      </c>
      <c r="D5" s="79"/>
      <c r="E5" s="79"/>
      <c r="F5" s="79"/>
      <c r="AK5" s="24"/>
    </row>
    <row r="6" spans="2:37" x14ac:dyDescent="0.25">
      <c r="AK6" s="24"/>
    </row>
    <row r="7" spans="2:37" ht="15.75" thickBot="1" x14ac:dyDescent="0.3">
      <c r="AK7" s="24"/>
    </row>
    <row r="8" spans="2:37" ht="45.75" thickBot="1" x14ac:dyDescent="0.3">
      <c r="B8" s="51" t="s">
        <v>426</v>
      </c>
      <c r="C8" s="52" t="s">
        <v>438</v>
      </c>
      <c r="D8" s="52" t="s">
        <v>520</v>
      </c>
      <c r="E8" s="52" t="s">
        <v>521</v>
      </c>
      <c r="F8" s="52" t="str">
        <f>VLOOKUP($C$5,'LL Revasc Quarterly Results'!$A:$CB,77,FALSE)</f>
        <v>Proportion of CLTI treated within 5 days England</v>
      </c>
      <c r="AK8" s="24"/>
    </row>
    <row r="9" spans="2:37" ht="15.75" thickBot="1" x14ac:dyDescent="0.3">
      <c r="B9" s="69" t="s">
        <v>423</v>
      </c>
      <c r="C9" s="53">
        <f>Calcs!E81</f>
        <v>41</v>
      </c>
      <c r="D9" s="28">
        <f>Calcs!E86</f>
        <v>0.3902439024390244</v>
      </c>
      <c r="E9" s="54">
        <v>0.56000000000000005</v>
      </c>
      <c r="F9" s="55">
        <f>VLOOKUP($C$5,'LL Revasc Quarterly Results'!$A:$CB,78,FALSE)</f>
        <v>0.56897054534849811</v>
      </c>
      <c r="AK9" s="24"/>
    </row>
    <row r="10" spans="2:37" ht="15.75" thickBot="1" x14ac:dyDescent="0.3">
      <c r="B10" s="69" t="s">
        <v>424</v>
      </c>
      <c r="C10" s="53">
        <f>Calcs!I81</f>
        <v>53</v>
      </c>
      <c r="D10" s="28">
        <f>Calcs!I86</f>
        <v>0.47169811320754718</v>
      </c>
      <c r="E10" s="54">
        <v>0.52</v>
      </c>
      <c r="F10" s="55">
        <f>VLOOKUP($C$5,'LL Revasc Quarterly Results'!$A:$CB,79,FALSE)</f>
        <v>0.52658569500674768</v>
      </c>
      <c r="AK10" s="24"/>
    </row>
    <row r="11" spans="2:37" ht="15.75" thickBot="1" x14ac:dyDescent="0.3">
      <c r="B11" s="69" t="s">
        <v>425</v>
      </c>
      <c r="C11" s="53">
        <f>Calcs!M81</f>
        <v>17</v>
      </c>
      <c r="D11" s="28">
        <f>Calcs!M86</f>
        <v>0.35294117647058826</v>
      </c>
      <c r="E11" s="54">
        <v>0.5</v>
      </c>
      <c r="F11" s="55">
        <f>VLOOKUP($C$5,'LL Revasc Quarterly Results'!$A:$CB,80,FALSE)</f>
        <v>0.50914298303591099</v>
      </c>
      <c r="AK11" s="24"/>
    </row>
    <row r="12" spans="2:37" x14ac:dyDescent="0.25">
      <c r="AK12" s="24"/>
    </row>
    <row r="13" spans="2:37" x14ac:dyDescent="0.25">
      <c r="AK13" s="24"/>
    </row>
    <row r="14" spans="2:37" ht="15.75" thickBot="1" x14ac:dyDescent="0.3">
      <c r="B14" s="9" t="s">
        <v>431</v>
      </c>
      <c r="AK14" s="24"/>
    </row>
    <row r="15" spans="2:37" ht="15.75" thickBot="1" x14ac:dyDescent="0.3">
      <c r="B15" s="78" t="s">
        <v>438</v>
      </c>
      <c r="C15" s="78" t="s">
        <v>439</v>
      </c>
      <c r="D15" s="78"/>
      <c r="E15" s="78"/>
      <c r="AK15" s="24"/>
    </row>
    <row r="16" spans="2:37" ht="15.75" thickBot="1" x14ac:dyDescent="0.3">
      <c r="B16" s="78"/>
      <c r="C16" s="78"/>
      <c r="D16" s="78"/>
      <c r="E16" s="78"/>
      <c r="AK16" s="24"/>
    </row>
    <row r="17" spans="2:37" ht="15.75" thickBot="1" x14ac:dyDescent="0.3">
      <c r="B17" s="78"/>
      <c r="C17" s="78"/>
      <c r="D17" s="78"/>
      <c r="E17" s="78"/>
      <c r="AK17" s="24"/>
    </row>
    <row r="18" spans="2:37" ht="15.75" customHeight="1" thickBot="1" x14ac:dyDescent="0.3">
      <c r="B18" s="78" t="s">
        <v>520</v>
      </c>
      <c r="C18" s="78" t="s">
        <v>522</v>
      </c>
      <c r="D18" s="78"/>
      <c r="E18" s="78"/>
      <c r="AK18" s="24"/>
    </row>
    <row r="19" spans="2:37" ht="15.75" thickBot="1" x14ac:dyDescent="0.3">
      <c r="B19" s="78"/>
      <c r="C19" s="78"/>
      <c r="D19" s="78"/>
      <c r="E19" s="78"/>
      <c r="AK19" s="24"/>
    </row>
    <row r="20" spans="2:37" ht="15.75" thickBot="1" x14ac:dyDescent="0.3">
      <c r="B20" s="78"/>
      <c r="C20" s="78"/>
      <c r="D20" s="78"/>
      <c r="E20" s="78"/>
      <c r="AK20" s="24"/>
    </row>
    <row r="21" spans="2:37" ht="15.75" thickBot="1" x14ac:dyDescent="0.3">
      <c r="B21" s="78"/>
      <c r="C21" s="78"/>
      <c r="D21" s="78"/>
      <c r="E21" s="78"/>
      <c r="AK21" s="24"/>
    </row>
    <row r="22" spans="2:37" s="22" customFormat="1" ht="15.75" customHeight="1" thickBot="1" x14ac:dyDescent="0.3">
      <c r="B22" s="78" t="s">
        <v>523</v>
      </c>
      <c r="C22" s="78" t="s">
        <v>440</v>
      </c>
      <c r="D22" s="78"/>
      <c r="E22" s="78"/>
      <c r="AK22" s="24"/>
    </row>
    <row r="23" spans="2:37" s="22" customFormat="1" ht="15.75" thickBot="1" x14ac:dyDescent="0.3">
      <c r="B23" s="78"/>
      <c r="C23" s="78"/>
      <c r="D23" s="78"/>
      <c r="E23" s="78"/>
      <c r="AK23" s="24"/>
    </row>
    <row r="24" spans="2:37" s="22" customFormat="1" ht="15.75" thickBot="1" x14ac:dyDescent="0.3">
      <c r="B24" s="78"/>
      <c r="C24" s="78"/>
      <c r="D24" s="78"/>
      <c r="E24" s="78"/>
    </row>
    <row r="25" spans="2:37" s="22" customFormat="1" ht="15.75" thickBot="1" x14ac:dyDescent="0.3"/>
    <row r="26" spans="2:37" s="22" customFormat="1" x14ac:dyDescent="0.25">
      <c r="B26" s="58" t="s">
        <v>446</v>
      </c>
      <c r="C26" s="59"/>
      <c r="D26" s="60"/>
    </row>
    <row r="27" spans="2:37" s="22" customFormat="1" ht="15" customHeight="1" x14ac:dyDescent="0.25">
      <c r="B27" s="71" t="s">
        <v>447</v>
      </c>
      <c r="C27" s="72"/>
      <c r="D27" s="73"/>
    </row>
    <row r="28" spans="2:37" s="22" customFormat="1" x14ac:dyDescent="0.25">
      <c r="B28" s="71"/>
      <c r="C28" s="72"/>
      <c r="D28" s="73"/>
    </row>
    <row r="29" spans="2:37" s="22" customFormat="1" x14ac:dyDescent="0.25">
      <c r="B29" s="71"/>
      <c r="C29" s="72"/>
      <c r="D29" s="73"/>
    </row>
    <row r="30" spans="2:37" s="22" customFormat="1" x14ac:dyDescent="0.25">
      <c r="B30" s="71"/>
      <c r="C30" s="72"/>
      <c r="D30" s="73"/>
    </row>
    <row r="31" spans="2:37" s="22" customFormat="1" ht="15.75" thickBot="1" x14ac:dyDescent="0.3">
      <c r="B31" s="74"/>
      <c r="C31" s="75"/>
      <c r="D31" s="76"/>
    </row>
    <row r="32" spans="2:37" s="22" customFormat="1" x14ac:dyDescent="0.25">
      <c r="B32" s="70"/>
      <c r="C32" s="70"/>
      <c r="D32" s="70"/>
    </row>
    <row r="33" spans="4:4" s="22" customFormat="1" x14ac:dyDescent="0.25">
      <c r="D33" s="68"/>
    </row>
    <row r="34" spans="4:4" s="22" customFormat="1" x14ac:dyDescent="0.25"/>
    <row r="35" spans="4:4" s="22" customFormat="1" x14ac:dyDescent="0.25"/>
    <row r="36" spans="4:4" s="22" customFormat="1" x14ac:dyDescent="0.25"/>
    <row r="37" spans="4:4" s="22" customFormat="1" x14ac:dyDescent="0.25"/>
    <row r="38" spans="4:4" s="22" customFormat="1" x14ac:dyDescent="0.25"/>
    <row r="39" spans="4:4" s="22" customFormat="1" x14ac:dyDescent="0.25"/>
    <row r="40" spans="4:4" s="22" customFormat="1" x14ac:dyDescent="0.25"/>
    <row r="41" spans="4:4" s="22" customFormat="1" x14ac:dyDescent="0.25"/>
    <row r="42" spans="4:4" s="22" customFormat="1" x14ac:dyDescent="0.25"/>
    <row r="43" spans="4:4" s="22" customFormat="1" x14ac:dyDescent="0.25"/>
    <row r="44" spans="4:4" s="22" customFormat="1" x14ac:dyDescent="0.25"/>
    <row r="45" spans="4:4" s="22" customFormat="1" x14ac:dyDescent="0.25"/>
    <row r="46" spans="4:4" s="22" customFormat="1" x14ac:dyDescent="0.25"/>
    <row r="47" spans="4:4" s="22" customFormat="1" x14ac:dyDescent="0.25"/>
  </sheetData>
  <sheetProtection algorithmName="SHA-512" hashValue="HVYiJly8tfg3ZnQAALYxrX4r4WYZz+2DZJNCL+GfPYrVWSvLavvvCWlmWNPPbTXQt0hebdALjoJgTqNl3MymcA==" saltValue="UBtCJTpwJKv1qnMl9b/xnA==" spinCount="100000" sheet="1" objects="1" scenarios="1"/>
  <mergeCells count="8">
    <mergeCell ref="B22:B24"/>
    <mergeCell ref="B27:D31"/>
    <mergeCell ref="B15:B17"/>
    <mergeCell ref="B18:B21"/>
    <mergeCell ref="C5:F5"/>
    <mergeCell ref="C15:E17"/>
    <mergeCell ref="C18:E21"/>
    <mergeCell ref="C22:E2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'LL Revasc Quarterly Results'!$A$2:$A$76</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5:BB46"/>
  <sheetViews>
    <sheetView showGridLines="0" showRowColHeaders="0" workbookViewId="0">
      <selection activeCell="C5" sqref="C5:F5"/>
    </sheetView>
  </sheetViews>
  <sheetFormatPr defaultColWidth="8.85546875" defaultRowHeight="15" x14ac:dyDescent="0.25"/>
  <cols>
    <col min="1" max="1" width="4.5703125" customWidth="1"/>
    <col min="2" max="2" width="14.7109375" customWidth="1"/>
    <col min="3" max="3" width="18.140625" customWidth="1"/>
    <col min="4" max="4" width="18" customWidth="1"/>
    <col min="5" max="5" width="14.5703125" customWidth="1"/>
    <col min="6" max="6" width="16" customWidth="1"/>
    <col min="7" max="7" width="20.7109375" customWidth="1"/>
    <col min="39" max="53" width="9.140625" style="24" customWidth="1"/>
  </cols>
  <sheetData>
    <row r="5" spans="2:54" ht="27" customHeight="1" x14ac:dyDescent="0.25">
      <c r="B5" s="1" t="s">
        <v>124</v>
      </c>
      <c r="C5" s="79" t="s">
        <v>127</v>
      </c>
      <c r="D5" s="79"/>
      <c r="E5" s="79"/>
      <c r="F5" s="79"/>
    </row>
    <row r="7" spans="2:54" ht="15.75" thickBot="1" x14ac:dyDescent="0.3"/>
    <row r="8" spans="2:54" ht="45.75" thickBot="1" x14ac:dyDescent="0.3">
      <c r="B8" s="51" t="s">
        <v>426</v>
      </c>
      <c r="C8" s="66" t="s">
        <v>420</v>
      </c>
      <c r="D8" s="66" t="s">
        <v>552</v>
      </c>
      <c r="E8" s="66" t="s">
        <v>553</v>
      </c>
      <c r="F8" s="66" t="str">
        <f>VLOOKUP($C$5,'Maj Amp Quarterly Results'!$A:$CB,53,FALSE)</f>
        <v>Proportion of BKA England</v>
      </c>
    </row>
    <row r="9" spans="2:54" ht="15.75" thickBot="1" x14ac:dyDescent="0.3">
      <c r="B9" s="69" t="s">
        <v>423</v>
      </c>
      <c r="C9" s="53">
        <f>Calcs!E105</f>
        <v>32</v>
      </c>
      <c r="D9" s="28">
        <f>Calcs!E110</f>
        <v>0.34375</v>
      </c>
      <c r="E9" s="54">
        <v>0.5</v>
      </c>
      <c r="F9" s="55">
        <f>VLOOKUP($C$5,'Maj Amp Quarterly Results'!$A:$CB,54,FALSE)</f>
        <v>0.49722494286647079</v>
      </c>
    </row>
    <row r="10" spans="2:54" ht="15.75" thickBot="1" x14ac:dyDescent="0.3">
      <c r="B10" s="69" t="s">
        <v>424</v>
      </c>
      <c r="C10" s="53">
        <f>Calcs!I105</f>
        <v>34</v>
      </c>
      <c r="D10" s="28">
        <f>Calcs!I110</f>
        <v>0.38235294117647056</v>
      </c>
      <c r="E10" s="54">
        <v>0.52</v>
      </c>
      <c r="F10" s="55">
        <f>VLOOKUP($C$5,'Maj Amp Quarterly Results'!$A:$CB,55,FALSE)</f>
        <v>0.51047619047619053</v>
      </c>
    </row>
    <row r="11" spans="2:54" ht="15.75" thickBot="1" x14ac:dyDescent="0.3">
      <c r="B11" s="69" t="s">
        <v>425</v>
      </c>
      <c r="C11" s="53">
        <f>Calcs!M105</f>
        <v>23</v>
      </c>
      <c r="D11" s="28">
        <f>Calcs!M110</f>
        <v>0.30434782608695654</v>
      </c>
      <c r="E11" s="54">
        <v>0.55000000000000004</v>
      </c>
      <c r="F11" s="55">
        <f>VLOOKUP($C$5,'Maj Amp Quarterly Results'!$A:$CB,56,FALSE)</f>
        <v>0.55058139534883721</v>
      </c>
    </row>
    <row r="14" spans="2:54" ht="15.75" thickBot="1" x14ac:dyDescent="0.3">
      <c r="B14" s="9" t="s">
        <v>431</v>
      </c>
    </row>
    <row r="15" spans="2:54" ht="15.75" customHeight="1" thickBot="1" x14ac:dyDescent="0.3">
      <c r="B15" s="78" t="s">
        <v>420</v>
      </c>
      <c r="C15" s="80" t="s">
        <v>437</v>
      </c>
      <c r="D15" s="81"/>
      <c r="E15" s="82"/>
      <c r="BB15" s="24"/>
    </row>
    <row r="16" spans="2:54" ht="15.75" thickBot="1" x14ac:dyDescent="0.3">
      <c r="B16" s="78"/>
      <c r="C16" s="80"/>
      <c r="D16" s="81"/>
      <c r="E16" s="82"/>
      <c r="BB16" s="24"/>
    </row>
    <row r="17" spans="2:54" ht="3" customHeight="1" thickBot="1" x14ac:dyDescent="0.3">
      <c r="B17" s="78"/>
      <c r="C17" s="80"/>
      <c r="D17" s="81"/>
      <c r="E17" s="82"/>
      <c r="BB17" s="24"/>
    </row>
    <row r="18" spans="2:54" ht="15" customHeight="1" thickBot="1" x14ac:dyDescent="0.3">
      <c r="B18" s="78" t="s">
        <v>559</v>
      </c>
      <c r="C18" s="80" t="s">
        <v>557</v>
      </c>
      <c r="D18" s="81"/>
      <c r="E18" s="82"/>
      <c r="BB18" s="24"/>
    </row>
    <row r="19" spans="2:54" ht="15.75" thickBot="1" x14ac:dyDescent="0.3">
      <c r="B19" s="78"/>
      <c r="C19" s="80"/>
      <c r="D19" s="81"/>
      <c r="E19" s="82"/>
      <c r="BB19" s="24"/>
    </row>
    <row r="20" spans="2:54" ht="15.75" thickBot="1" x14ac:dyDescent="0.3">
      <c r="B20" s="78"/>
      <c r="C20" s="80"/>
      <c r="D20" s="81"/>
      <c r="E20" s="82"/>
      <c r="BB20" s="24"/>
    </row>
    <row r="21" spans="2:54" ht="2.25" customHeight="1" thickBot="1" x14ac:dyDescent="0.3">
      <c r="B21" s="78"/>
      <c r="C21" s="80"/>
      <c r="D21" s="81"/>
      <c r="E21" s="82"/>
      <c r="BB21" s="24"/>
    </row>
    <row r="22" spans="2:54" ht="15.75" customHeight="1" thickBot="1" x14ac:dyDescent="0.3">
      <c r="B22" s="78" t="s">
        <v>560</v>
      </c>
      <c r="C22" s="80" t="s">
        <v>558</v>
      </c>
      <c r="D22" s="81"/>
      <c r="E22" s="82"/>
      <c r="BB22" s="24"/>
    </row>
    <row r="23" spans="2:54" ht="15.75" thickBot="1" x14ac:dyDescent="0.3">
      <c r="B23" s="78"/>
      <c r="C23" s="80"/>
      <c r="D23" s="81"/>
      <c r="E23" s="82"/>
      <c r="BB23" s="24"/>
    </row>
    <row r="24" spans="2:54" ht="15.75" thickBot="1" x14ac:dyDescent="0.3">
      <c r="B24" s="78"/>
      <c r="C24" s="80"/>
      <c r="D24" s="81"/>
      <c r="E24" s="82"/>
      <c r="BB24" s="24"/>
    </row>
    <row r="25" spans="2:54" s="22" customFormat="1" ht="15.75" thickBot="1" x14ac:dyDescent="0.3">
      <c r="AM25" s="24"/>
      <c r="BB25" s="24"/>
    </row>
    <row r="26" spans="2:54" s="22" customFormat="1" x14ac:dyDescent="0.25">
      <c r="B26" s="58" t="s">
        <v>446</v>
      </c>
      <c r="C26" s="59"/>
      <c r="D26" s="60"/>
      <c r="AM26" s="24"/>
      <c r="BB26" s="24"/>
    </row>
    <row r="27" spans="2:54" s="22" customFormat="1" ht="15" customHeight="1" x14ac:dyDescent="0.25">
      <c r="B27" s="71" t="s">
        <v>447</v>
      </c>
      <c r="C27" s="72"/>
      <c r="D27" s="73"/>
      <c r="AM27" s="24"/>
      <c r="BB27" s="24"/>
    </row>
    <row r="28" spans="2:54" s="22" customFormat="1" x14ac:dyDescent="0.25">
      <c r="B28" s="71"/>
      <c r="C28" s="72"/>
      <c r="D28" s="73"/>
      <c r="AM28" s="24"/>
      <c r="BB28" s="24"/>
    </row>
    <row r="29" spans="2:54" s="22" customFormat="1" x14ac:dyDescent="0.25">
      <c r="B29" s="71"/>
      <c r="C29" s="72"/>
      <c r="D29" s="73"/>
      <c r="AM29" s="24"/>
      <c r="BB29" s="24"/>
    </row>
    <row r="30" spans="2:54" s="22" customFormat="1" x14ac:dyDescent="0.25">
      <c r="B30" s="71"/>
      <c r="C30" s="72"/>
      <c r="D30" s="73"/>
      <c r="AM30" s="24"/>
      <c r="BB30" s="24"/>
    </row>
    <row r="31" spans="2:54" s="22" customFormat="1" x14ac:dyDescent="0.25">
      <c r="B31" s="71"/>
      <c r="C31" s="72"/>
      <c r="D31" s="73"/>
      <c r="AM31" s="24"/>
      <c r="BB31" s="24"/>
    </row>
    <row r="32" spans="2:54" s="22" customFormat="1" ht="15.75" thickBot="1" x14ac:dyDescent="0.3">
      <c r="B32" s="74"/>
      <c r="C32" s="75"/>
      <c r="D32" s="76"/>
      <c r="AM32" s="24"/>
      <c r="BB32" s="24"/>
    </row>
    <row r="33" spans="39:53" s="22" customFormat="1" x14ac:dyDescent="0.25">
      <c r="AM33" s="24"/>
      <c r="AN33" s="24"/>
      <c r="AO33" s="24"/>
      <c r="AP33" s="24"/>
      <c r="AQ33" s="24"/>
      <c r="AR33" s="24"/>
      <c r="AS33" s="24"/>
      <c r="AT33" s="24"/>
      <c r="AU33" s="24"/>
      <c r="AV33" s="24"/>
      <c r="AW33" s="24"/>
      <c r="AX33" s="24"/>
      <c r="AY33" s="24"/>
      <c r="AZ33" s="24"/>
      <c r="BA33" s="24"/>
    </row>
    <row r="34" spans="39:53" s="22" customFormat="1" x14ac:dyDescent="0.25">
      <c r="AM34" s="24"/>
      <c r="AN34" s="24"/>
      <c r="AO34" s="24"/>
      <c r="AP34" s="24"/>
      <c r="AQ34" s="24"/>
      <c r="AR34" s="24"/>
      <c r="AS34" s="24"/>
      <c r="AT34" s="24"/>
      <c r="AU34" s="24"/>
      <c r="AV34" s="24"/>
      <c r="AW34" s="24"/>
      <c r="AX34" s="24"/>
      <c r="AY34" s="24"/>
      <c r="AZ34" s="24"/>
      <c r="BA34" s="24"/>
    </row>
    <row r="35" spans="39:53" s="22" customFormat="1" x14ac:dyDescent="0.25">
      <c r="AM35" s="24"/>
      <c r="AN35" s="24"/>
      <c r="AO35" s="24"/>
      <c r="AP35" s="24"/>
      <c r="AQ35" s="24"/>
      <c r="AR35" s="24"/>
      <c r="AS35" s="24"/>
      <c r="AT35" s="24"/>
      <c r="AU35" s="24"/>
      <c r="AV35" s="24"/>
      <c r="AW35" s="24"/>
      <c r="AX35" s="24"/>
      <c r="AY35" s="24"/>
      <c r="AZ35" s="24"/>
      <c r="BA35" s="24"/>
    </row>
    <row r="36" spans="39:53" s="22" customFormat="1" x14ac:dyDescent="0.25">
      <c r="AM36" s="24"/>
      <c r="AN36" s="24"/>
      <c r="AO36" s="24"/>
      <c r="AP36" s="24"/>
      <c r="AQ36" s="24"/>
      <c r="AR36" s="24"/>
      <c r="AS36" s="24"/>
      <c r="AT36" s="24"/>
      <c r="AU36" s="24"/>
      <c r="AV36" s="24"/>
      <c r="AW36" s="24"/>
      <c r="AX36" s="24"/>
      <c r="AY36" s="24"/>
      <c r="AZ36" s="24"/>
      <c r="BA36" s="24"/>
    </row>
    <row r="37" spans="39:53" s="22" customFormat="1" x14ac:dyDescent="0.25">
      <c r="AM37" s="24"/>
      <c r="AN37" s="24"/>
      <c r="AO37" s="24"/>
      <c r="AP37" s="24"/>
      <c r="AQ37" s="24"/>
      <c r="AR37" s="24"/>
      <c r="AS37" s="24"/>
      <c r="AT37" s="24"/>
      <c r="AU37" s="24"/>
      <c r="AV37" s="24"/>
      <c r="AW37" s="24"/>
      <c r="AX37" s="24"/>
      <c r="AY37" s="24"/>
      <c r="AZ37" s="24"/>
      <c r="BA37" s="24"/>
    </row>
    <row r="38" spans="39:53" s="22" customFormat="1" x14ac:dyDescent="0.25">
      <c r="AM38" s="24"/>
      <c r="AN38" s="24"/>
      <c r="AO38" s="24"/>
      <c r="AP38" s="24"/>
      <c r="AQ38" s="24"/>
      <c r="AR38" s="24"/>
      <c r="AS38" s="24"/>
      <c r="AT38" s="24"/>
      <c r="AU38" s="24"/>
      <c r="AV38" s="24"/>
      <c r="AW38" s="24"/>
      <c r="AX38" s="24"/>
      <c r="AY38" s="24"/>
      <c r="AZ38" s="24"/>
      <c r="BA38" s="24"/>
    </row>
    <row r="39" spans="39:53" s="22" customFormat="1" x14ac:dyDescent="0.25">
      <c r="AM39" s="24"/>
      <c r="AN39" s="24"/>
      <c r="AO39" s="24"/>
      <c r="AP39" s="24"/>
      <c r="AQ39" s="24"/>
      <c r="AR39" s="24"/>
      <c r="AS39" s="24"/>
      <c r="AT39" s="24"/>
      <c r="AU39" s="24"/>
      <c r="AV39" s="24"/>
      <c r="AW39" s="24"/>
      <c r="AX39" s="24"/>
      <c r="AY39" s="24"/>
      <c r="AZ39" s="24"/>
      <c r="BA39" s="24"/>
    </row>
    <row r="40" spans="39:53" s="22" customFormat="1" x14ac:dyDescent="0.25">
      <c r="AM40" s="24"/>
      <c r="AN40" s="24"/>
      <c r="AO40" s="24"/>
      <c r="AP40" s="24"/>
      <c r="AQ40" s="24"/>
      <c r="AR40" s="24"/>
      <c r="AS40" s="24"/>
      <c r="AT40" s="24"/>
      <c r="AU40" s="24"/>
      <c r="AV40" s="24"/>
      <c r="AW40" s="24"/>
      <c r="AX40" s="24"/>
      <c r="AY40" s="24"/>
      <c r="AZ40" s="24"/>
      <c r="BA40" s="24"/>
    </row>
    <row r="41" spans="39:53" s="22" customFormat="1" x14ac:dyDescent="0.25">
      <c r="AM41" s="24"/>
      <c r="AN41" s="24"/>
      <c r="AO41" s="24"/>
      <c r="AP41" s="24"/>
      <c r="AQ41" s="24"/>
      <c r="AR41" s="24"/>
      <c r="AS41" s="24"/>
      <c r="AT41" s="24"/>
      <c r="AU41" s="24"/>
      <c r="AV41" s="24"/>
      <c r="AW41" s="24"/>
      <c r="AX41" s="24"/>
      <c r="AY41" s="24"/>
      <c r="AZ41" s="24"/>
      <c r="BA41" s="24"/>
    </row>
    <row r="42" spans="39:53" s="22" customFormat="1" x14ac:dyDescent="0.25">
      <c r="AM42" s="24"/>
      <c r="AN42" s="24"/>
      <c r="AO42" s="24"/>
      <c r="AP42" s="24"/>
      <c r="AQ42" s="24"/>
      <c r="AR42" s="24"/>
      <c r="AS42" s="24"/>
      <c r="AT42" s="24"/>
      <c r="AU42" s="24"/>
      <c r="AV42" s="24"/>
      <c r="AW42" s="24"/>
      <c r="AX42" s="24"/>
      <c r="AY42" s="24"/>
      <c r="AZ42" s="24"/>
      <c r="BA42" s="24"/>
    </row>
    <row r="43" spans="39:53" s="22" customFormat="1" x14ac:dyDescent="0.25">
      <c r="AM43" s="24"/>
      <c r="AN43" s="24"/>
      <c r="AO43" s="24"/>
      <c r="AP43" s="24"/>
      <c r="AQ43" s="24"/>
      <c r="AR43" s="24"/>
      <c r="AS43" s="24"/>
      <c r="AT43" s="24"/>
      <c r="AU43" s="24"/>
      <c r="AV43" s="24"/>
      <c r="AW43" s="24"/>
      <c r="AX43" s="24"/>
      <c r="AY43" s="24"/>
      <c r="AZ43" s="24"/>
      <c r="BA43" s="24"/>
    </row>
    <row r="44" spans="39:53" s="22" customFormat="1" x14ac:dyDescent="0.25">
      <c r="AM44" s="24"/>
      <c r="AN44" s="24"/>
      <c r="AO44" s="24"/>
      <c r="AP44" s="24"/>
      <c r="AQ44" s="24"/>
      <c r="AR44" s="24"/>
      <c r="AS44" s="24"/>
      <c r="AT44" s="24"/>
      <c r="AU44" s="24"/>
      <c r="AV44" s="24"/>
      <c r="AW44" s="24"/>
      <c r="AX44" s="24"/>
      <c r="AY44" s="24"/>
      <c r="AZ44" s="24"/>
      <c r="BA44" s="24"/>
    </row>
    <row r="45" spans="39:53" s="22" customFormat="1" x14ac:dyDescent="0.25">
      <c r="AM45" s="24"/>
      <c r="AN45" s="24"/>
      <c r="AO45" s="24"/>
      <c r="AP45" s="24"/>
      <c r="AQ45" s="24"/>
      <c r="AR45" s="24"/>
      <c r="AS45" s="24"/>
      <c r="AT45" s="24"/>
      <c r="AU45" s="24"/>
      <c r="AV45" s="24"/>
      <c r="AW45" s="24"/>
      <c r="AX45" s="24"/>
      <c r="AY45" s="24"/>
      <c r="AZ45" s="24"/>
      <c r="BA45" s="24"/>
    </row>
    <row r="46" spans="39:53" s="22" customFormat="1" x14ac:dyDescent="0.25">
      <c r="AM46" s="24"/>
      <c r="AN46" s="24"/>
      <c r="AO46" s="24"/>
      <c r="AP46" s="24"/>
      <c r="AQ46" s="24"/>
      <c r="AR46" s="24"/>
      <c r="AS46" s="24"/>
      <c r="AT46" s="24"/>
      <c r="AU46" s="24"/>
      <c r="AV46" s="24"/>
      <c r="AW46" s="24"/>
      <c r="AX46" s="24"/>
      <c r="AY46" s="24"/>
      <c r="AZ46" s="24"/>
      <c r="BA46" s="24"/>
    </row>
  </sheetData>
  <sheetProtection algorithmName="SHA-512" hashValue="e9zph0kbIl2xWD8TwZ/zIeVSNMsWRRDwj+iwUyB7c8xCo+jeOUYCEq5caDbjX0RC2YWXg1e22I52pKTrgLPaRA==" saltValue="II5LawP8dzoE2xb3Ebo5LQ==" spinCount="100000" sheet="1" objects="1" scenarios="1"/>
  <mergeCells count="8">
    <mergeCell ref="B27:D32"/>
    <mergeCell ref="B15:B17"/>
    <mergeCell ref="B22:B24"/>
    <mergeCell ref="B18:B21"/>
    <mergeCell ref="C5:F5"/>
    <mergeCell ref="C15:E17"/>
    <mergeCell ref="C18:E21"/>
    <mergeCell ref="C22:E2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'Maj Amp Quarterly Results'!$A$2:$A$67</xm:f>
          </x14:formula1>
          <xm:sqref>C5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16"/>
  <sheetViews>
    <sheetView topLeftCell="A85" workbookViewId="0">
      <selection activeCell="A98" sqref="A98"/>
    </sheetView>
  </sheetViews>
  <sheetFormatPr defaultRowHeight="15" x14ac:dyDescent="0.25"/>
  <cols>
    <col min="1" max="1" width="13.85546875" style="34" bestFit="1" customWidth="1"/>
    <col min="2" max="2" width="14.42578125" style="34" bestFit="1" customWidth="1"/>
    <col min="3" max="3" width="18.42578125" style="34" bestFit="1" customWidth="1"/>
    <col min="4" max="4" width="13.85546875" style="34" bestFit="1" customWidth="1"/>
    <col min="5" max="5" width="14.42578125" style="34" bestFit="1" customWidth="1"/>
    <col min="6" max="6" width="18.42578125" style="34" bestFit="1" customWidth="1"/>
    <col min="7" max="7" width="13.85546875" style="34" bestFit="1" customWidth="1"/>
    <col min="8" max="8" width="14.42578125" style="34" bestFit="1" customWidth="1"/>
    <col min="9" max="9" width="18.42578125" style="34" bestFit="1" customWidth="1"/>
    <col min="10" max="10" width="13.85546875" style="34" bestFit="1" customWidth="1"/>
    <col min="11" max="11" width="14.42578125" style="34" bestFit="1" customWidth="1"/>
    <col min="12" max="12" width="18.42578125" style="34" bestFit="1" customWidth="1"/>
    <col min="13" max="13" width="13.85546875" style="34" bestFit="1" customWidth="1"/>
    <col min="14" max="14" width="14.42578125" style="34" bestFit="1" customWidth="1"/>
    <col min="15" max="15" width="18.42578125" style="34" bestFit="1" customWidth="1"/>
    <col min="16" max="16" width="13.85546875" style="25" bestFit="1" customWidth="1"/>
    <col min="17" max="17" width="14.42578125" style="25" bestFit="1" customWidth="1"/>
  </cols>
  <sheetData>
    <row r="1" spans="1:16" x14ac:dyDescent="0.25">
      <c r="A1" s="47" t="s">
        <v>386</v>
      </c>
    </row>
    <row r="4" spans="1:16" x14ac:dyDescent="0.25">
      <c r="B4" s="24"/>
      <c r="C4" s="24"/>
      <c r="D4" s="85">
        <v>2020</v>
      </c>
      <c r="E4" s="85"/>
      <c r="F4" s="84">
        <v>2021</v>
      </c>
      <c r="G4" s="84"/>
      <c r="H4" s="84"/>
      <c r="I4" s="84"/>
      <c r="J4" s="84">
        <v>2022</v>
      </c>
      <c r="K4" s="84"/>
      <c r="L4" s="84"/>
      <c r="M4" s="84"/>
      <c r="N4" s="84">
        <v>2023</v>
      </c>
      <c r="O4" s="84"/>
      <c r="P4" s="22"/>
    </row>
    <row r="5" spans="1:16" x14ac:dyDescent="0.25">
      <c r="B5" s="24" t="s">
        <v>389</v>
      </c>
      <c r="C5" s="24"/>
      <c r="D5" s="35" t="s">
        <v>126</v>
      </c>
      <c r="E5" s="35" t="s">
        <v>207</v>
      </c>
      <c r="F5" s="35" t="s">
        <v>125</v>
      </c>
      <c r="G5" s="35" t="s">
        <v>206</v>
      </c>
      <c r="H5" s="35" t="s">
        <v>126</v>
      </c>
      <c r="I5" s="35" t="s">
        <v>207</v>
      </c>
      <c r="J5" s="35" t="s">
        <v>125</v>
      </c>
      <c r="K5" s="35" t="s">
        <v>206</v>
      </c>
      <c r="L5" s="35" t="s">
        <v>126</v>
      </c>
      <c r="M5" s="35" t="s">
        <v>207</v>
      </c>
      <c r="N5" s="35" t="s">
        <v>125</v>
      </c>
      <c r="O5" s="35" t="s">
        <v>207</v>
      </c>
      <c r="P5" s="22"/>
    </row>
    <row r="6" spans="1:16" x14ac:dyDescent="0.25">
      <c r="B6" s="24"/>
      <c r="C6" s="36" t="s">
        <v>208</v>
      </c>
      <c r="D6" s="24">
        <f>VLOOKUP('CEA Quarterly Report'!$C5,'CEA Quarterly Results'!$A:$AX,3,FALSE)</f>
        <v>10</v>
      </c>
      <c r="E6" s="24">
        <f>VLOOKUP('CEA Quarterly Report'!$C5,'CEA Quarterly Results'!$A:$AX,7,FALSE)</f>
        <v>8</v>
      </c>
      <c r="F6" s="24">
        <f>VLOOKUP('CEA Quarterly Report'!$C5,'CEA Quarterly Results'!$A:$AX,11,FALSE)</f>
        <v>10</v>
      </c>
      <c r="G6" s="24">
        <f>VLOOKUP('CEA Quarterly Report'!$C5,'CEA Quarterly Results'!$A:$AX,15,FALSE)</f>
        <v>8</v>
      </c>
      <c r="H6" s="24">
        <f>VLOOKUP('CEA Quarterly Report'!$C5,'CEA Quarterly Results'!$A:$AX,19,FALSE)</f>
        <v>4</v>
      </c>
      <c r="I6" s="24">
        <f>VLOOKUP('CEA Quarterly Report'!$C5,'CEA Quarterly Results'!$A:$AX,23,FALSE)</f>
        <v>9</v>
      </c>
      <c r="J6" s="24">
        <f>VLOOKUP('CEA Quarterly Report'!$C5,'CEA Quarterly Results'!$A:$AX,27,FALSE)</f>
        <v>4</v>
      </c>
      <c r="K6" s="24">
        <f>VLOOKUP('CEA Quarterly Report'!$C5,'CEA Quarterly Results'!$A:$AX,31,FALSE)</f>
        <v>4</v>
      </c>
      <c r="L6" s="24">
        <f>VLOOKUP('CEA Quarterly Report'!$C5,'CEA Quarterly Results'!$A:$AX,35,FALSE)</f>
        <v>13</v>
      </c>
      <c r="M6" s="24">
        <f>VLOOKUP('CEA Quarterly Report'!$C5,'CEA Quarterly Results'!$A:$AX,39,FALSE)</f>
        <v>7</v>
      </c>
      <c r="N6" s="24">
        <f>VLOOKUP('CEA Quarterly Report'!$C5,'CEA Quarterly Results'!$A:$AX,43,FALSE)</f>
        <v>10</v>
      </c>
      <c r="O6" s="24">
        <f>VLOOKUP('CEA Quarterly Report'!$C5,'CEA Quarterly Results'!$A:$AX,47,FALSE)</f>
        <v>10</v>
      </c>
      <c r="P6" s="22"/>
    </row>
    <row r="7" spans="1:16" x14ac:dyDescent="0.25">
      <c r="B7" s="24"/>
      <c r="C7" s="37" t="s">
        <v>209</v>
      </c>
      <c r="D7" s="24">
        <f>VLOOKUP('CEA Quarterly Report'!$C5,'CEA Quarterly Results'!$A:$AX,4,FALSE)</f>
        <v>10</v>
      </c>
      <c r="E7" s="24">
        <f>VLOOKUP('CEA Quarterly Report'!$C5,'CEA Quarterly Results'!$A:$AX,8,FALSE)</f>
        <v>8</v>
      </c>
      <c r="F7" s="24">
        <f>VLOOKUP('CEA Quarterly Report'!$C5,'CEA Quarterly Results'!$A:$AX,12,FALSE)</f>
        <v>10</v>
      </c>
      <c r="G7" s="24">
        <f>VLOOKUP('CEA Quarterly Report'!$C5,'CEA Quarterly Results'!$A:$AX,16,FALSE)</f>
        <v>7</v>
      </c>
      <c r="H7" s="24">
        <f>VLOOKUP('CEA Quarterly Report'!$C5,'CEA Quarterly Results'!$A:$AX,20,FALSE)</f>
        <v>3</v>
      </c>
      <c r="I7" s="24">
        <f>VLOOKUP('CEA Quarterly Report'!$C5,'CEA Quarterly Results'!$A:$AX,24,FALSE)</f>
        <v>8</v>
      </c>
      <c r="J7" s="24">
        <f>VLOOKUP('CEA Quarterly Report'!$C5,'CEA Quarterly Results'!$A:$AX,28,FALSE)</f>
        <v>4</v>
      </c>
      <c r="K7" s="24">
        <f>VLOOKUP('CEA Quarterly Report'!$C5,'CEA Quarterly Results'!$A:$AX,32,FALSE)</f>
        <v>4</v>
      </c>
      <c r="L7" s="24">
        <f>VLOOKUP('CEA Quarterly Report'!$C5,'CEA Quarterly Results'!$A:$AX,36,FALSE)</f>
        <v>13</v>
      </c>
      <c r="M7" s="24">
        <f>VLOOKUP('CEA Quarterly Report'!$C5,'CEA Quarterly Results'!$A:$AX,40,FALSE)</f>
        <v>7</v>
      </c>
      <c r="N7" s="24">
        <f>VLOOKUP('CEA Quarterly Report'!$C5,'CEA Quarterly Results'!$A:$AX,44,FALSE)</f>
        <v>10</v>
      </c>
      <c r="O7" s="24">
        <f>VLOOKUP('CEA Quarterly Report'!$C5,'CEA Quarterly Results'!$A:$AX,48,FALSE)</f>
        <v>10</v>
      </c>
      <c r="P7" s="22"/>
    </row>
    <row r="8" spans="1:16" x14ac:dyDescent="0.25">
      <c r="B8" s="24"/>
      <c r="C8" s="37" t="s">
        <v>512</v>
      </c>
      <c r="D8" s="38">
        <f>VLOOKUP('CEA Quarterly Report'!$C5,'CEA Quarterly Results'!$A:$AX,6,FALSE)</f>
        <v>0.4</v>
      </c>
      <c r="E8" s="38">
        <f>VLOOKUP('CEA Quarterly Report'!$C5,'CEA Quarterly Results'!$A:$AX,10,FALSE)</f>
        <v>0.5</v>
      </c>
      <c r="F8" s="38">
        <f>VLOOKUP('CEA Quarterly Report'!$C5,'CEA Quarterly Results'!$A:$AX,14,FALSE)</f>
        <v>0.4</v>
      </c>
      <c r="G8" s="38">
        <f>VLOOKUP('CEA Quarterly Report'!$C5,'CEA Quarterly Results'!$A:$AX,18,FALSE)</f>
        <v>0.71428570000000002</v>
      </c>
      <c r="H8" s="38">
        <f>VLOOKUP('CEA Quarterly Report'!$C5,'CEA Quarterly Results'!$A:$AX,22,FALSE)</f>
        <v>0</v>
      </c>
      <c r="I8" s="38">
        <f>VLOOKUP('CEA Quarterly Report'!$C5,'CEA Quarterly Results'!$A:$AX,26,FALSE)</f>
        <v>0.125</v>
      </c>
      <c r="J8" s="38">
        <f>VLOOKUP('CEA Quarterly Report'!$C5,'CEA Quarterly Results'!$A:$AX,30,FALSE)</f>
        <v>0.25</v>
      </c>
      <c r="K8" s="38">
        <f>VLOOKUP('CEA Quarterly Report'!$C5,'CEA Quarterly Results'!$A:$AX,34,FALSE)</f>
        <v>0.75</v>
      </c>
      <c r="L8" s="38">
        <f>VLOOKUP('CEA Quarterly Report'!$C5,'CEA Quarterly Results'!$A:$AX,38,FALSE)</f>
        <v>0.30769229999999997</v>
      </c>
      <c r="M8" s="38">
        <f>VLOOKUP('CEA Quarterly Report'!$C5,'CEA Quarterly Results'!$A:$AX,42,FALSE)</f>
        <v>0.14285709999999999</v>
      </c>
      <c r="N8" s="38">
        <f>VLOOKUP('CEA Quarterly Report'!$C5,'CEA Quarterly Results'!$A:$AX,46,FALSE)</f>
        <v>0.4</v>
      </c>
      <c r="O8" s="38">
        <f>VLOOKUP('CEA Quarterly Report'!$C5,'CEA Quarterly Results'!$A:$AX,50,FALSE)</f>
        <v>0.2</v>
      </c>
      <c r="P8" s="22"/>
    </row>
    <row r="9" spans="1:16" x14ac:dyDescent="0.25">
      <c r="B9" s="24"/>
      <c r="C9" s="39"/>
      <c r="D9" s="24"/>
      <c r="E9" s="24"/>
      <c r="F9" s="24"/>
      <c r="G9" s="24"/>
      <c r="H9" s="24"/>
      <c r="I9" s="24"/>
      <c r="J9" s="24"/>
      <c r="K9" s="24"/>
      <c r="L9" s="24"/>
      <c r="M9" s="24"/>
      <c r="N9" s="24"/>
      <c r="O9" s="24"/>
      <c r="P9" s="22"/>
    </row>
    <row r="10" spans="1:16" x14ac:dyDescent="0.25">
      <c r="B10" s="24"/>
      <c r="C10" s="37" t="s">
        <v>358</v>
      </c>
      <c r="D10" s="24"/>
      <c r="E10" s="24">
        <f t="shared" ref="E10:O10" si="0">SUM(C7:F7)</f>
        <v>28</v>
      </c>
      <c r="F10" s="24">
        <f t="shared" si="0"/>
        <v>35</v>
      </c>
      <c r="G10" s="24">
        <f t="shared" si="0"/>
        <v>28</v>
      </c>
      <c r="H10" s="24">
        <f t="shared" si="0"/>
        <v>28</v>
      </c>
      <c r="I10" s="24">
        <f t="shared" si="0"/>
        <v>22</v>
      </c>
      <c r="J10" s="24">
        <f t="shared" si="0"/>
        <v>19</v>
      </c>
      <c r="K10" s="24">
        <f t="shared" si="0"/>
        <v>29</v>
      </c>
      <c r="L10" s="24">
        <f t="shared" si="0"/>
        <v>28</v>
      </c>
      <c r="M10" s="24">
        <f t="shared" si="0"/>
        <v>34</v>
      </c>
      <c r="N10" s="24">
        <f t="shared" si="0"/>
        <v>40</v>
      </c>
      <c r="O10" s="24">
        <f t="shared" si="0"/>
        <v>27</v>
      </c>
      <c r="P10" s="22"/>
    </row>
    <row r="11" spans="1:16" x14ac:dyDescent="0.25">
      <c r="B11" s="24"/>
      <c r="C11" s="37" t="s">
        <v>394</v>
      </c>
      <c r="D11" s="24"/>
      <c r="E11" s="24">
        <f t="shared" ref="E11:O11" si="1">(SUM(D7:G7)+E10)/2</f>
        <v>31.5</v>
      </c>
      <c r="F11" s="24">
        <f t="shared" si="1"/>
        <v>31.5</v>
      </c>
      <c r="G11" s="24">
        <f t="shared" si="1"/>
        <v>28</v>
      </c>
      <c r="H11" s="24">
        <f t="shared" si="1"/>
        <v>25</v>
      </c>
      <c r="I11" s="24">
        <f t="shared" si="1"/>
        <v>20.5</v>
      </c>
      <c r="J11" s="24">
        <f t="shared" si="1"/>
        <v>24</v>
      </c>
      <c r="K11" s="24">
        <f t="shared" si="1"/>
        <v>28.5</v>
      </c>
      <c r="L11" s="24">
        <f t="shared" si="1"/>
        <v>31</v>
      </c>
      <c r="M11" s="24">
        <f t="shared" si="1"/>
        <v>37</v>
      </c>
      <c r="N11" s="24">
        <f t="shared" si="1"/>
        <v>33.5</v>
      </c>
      <c r="O11" s="41">
        <f t="shared" si="1"/>
        <v>23.5</v>
      </c>
      <c r="P11" s="22"/>
    </row>
    <row r="12" spans="1:16" x14ac:dyDescent="0.25">
      <c r="B12" s="24"/>
      <c r="C12" s="37" t="s">
        <v>359</v>
      </c>
      <c r="D12" s="24">
        <f>VLOOKUP('CEA Quarterly Report'!$C5,'CEA Quarterly Results'!$A:$AX,5,FALSE)</f>
        <v>4</v>
      </c>
      <c r="E12" s="24">
        <f>VLOOKUP('CEA Quarterly Report'!$C5,'CEA Quarterly Results'!$A:$AX,9,FALSE)</f>
        <v>4</v>
      </c>
      <c r="F12" s="24">
        <f>VLOOKUP('CEA Quarterly Report'!$C5,'CEA Quarterly Results'!$A:$AX,13,FALSE)</f>
        <v>4</v>
      </c>
      <c r="G12" s="24">
        <f>VLOOKUP('CEA Quarterly Report'!$C5,'CEA Quarterly Results'!$A:$AX,17,FALSE)</f>
        <v>5</v>
      </c>
      <c r="H12" s="24">
        <f>VLOOKUP('CEA Quarterly Report'!$C5,'CEA Quarterly Results'!$A:$AX,21,FALSE)</f>
        <v>0</v>
      </c>
      <c r="I12" s="24">
        <f>VLOOKUP('CEA Quarterly Report'!$C5,'CEA Quarterly Results'!$A:$AX,25,FALSE)</f>
        <v>1</v>
      </c>
      <c r="J12" s="24">
        <f>VLOOKUP('CEA Quarterly Report'!$C5,'CEA Quarterly Results'!$A:$AX,29,FALSE)</f>
        <v>1</v>
      </c>
      <c r="K12" s="24">
        <f>VLOOKUP('CEA Quarterly Report'!$C5,'CEA Quarterly Results'!$A:$AX,33,FALSE)</f>
        <v>3</v>
      </c>
      <c r="L12" s="24">
        <f>VLOOKUP('CEA Quarterly Report'!$C5,'CEA Quarterly Results'!$A:$AX,37,FALSE)</f>
        <v>4</v>
      </c>
      <c r="M12" s="24">
        <f>VLOOKUP('CEA Quarterly Report'!$C5,'CEA Quarterly Results'!$A:$AX,41,FALSE)</f>
        <v>1</v>
      </c>
      <c r="N12" s="24">
        <f>VLOOKUP('CEA Quarterly Report'!$C5,'CEA Quarterly Results'!$A:$AX,45,FALSE)</f>
        <v>4</v>
      </c>
      <c r="O12" s="24">
        <f>VLOOKUP('CEA Quarterly Report'!$C5,'CEA Quarterly Results'!$A:$AX,49,FALSE)</f>
        <v>2</v>
      </c>
      <c r="P12" s="22"/>
    </row>
    <row r="13" spans="1:16" x14ac:dyDescent="0.25">
      <c r="B13" s="24"/>
      <c r="C13" s="37" t="s">
        <v>360</v>
      </c>
      <c r="D13" s="24"/>
      <c r="E13" s="24">
        <f t="shared" ref="E13:O13" si="2">SUM(C12:F12)</f>
        <v>12</v>
      </c>
      <c r="F13" s="24">
        <f t="shared" si="2"/>
        <v>17</v>
      </c>
      <c r="G13" s="24">
        <f t="shared" si="2"/>
        <v>13</v>
      </c>
      <c r="H13" s="24">
        <f t="shared" si="2"/>
        <v>10</v>
      </c>
      <c r="I13" s="24">
        <f t="shared" si="2"/>
        <v>7</v>
      </c>
      <c r="J13" s="24">
        <f t="shared" si="2"/>
        <v>5</v>
      </c>
      <c r="K13" s="24">
        <f t="shared" si="2"/>
        <v>9</v>
      </c>
      <c r="L13" s="24">
        <f t="shared" si="2"/>
        <v>9</v>
      </c>
      <c r="M13" s="24">
        <f t="shared" si="2"/>
        <v>12</v>
      </c>
      <c r="N13" s="24">
        <f t="shared" si="2"/>
        <v>11</v>
      </c>
      <c r="O13" s="24">
        <f t="shared" si="2"/>
        <v>7</v>
      </c>
      <c r="P13" s="22"/>
    </row>
    <row r="14" spans="1:16" x14ac:dyDescent="0.25">
      <c r="B14" s="24"/>
      <c r="C14" s="37" t="s">
        <v>395</v>
      </c>
      <c r="D14" s="24"/>
      <c r="E14" s="24">
        <f t="shared" ref="E14:O14" si="3">(SUM(D12:G12)+E13)/2</f>
        <v>14.5</v>
      </c>
      <c r="F14" s="24">
        <f t="shared" si="3"/>
        <v>15</v>
      </c>
      <c r="G14" s="24">
        <f t="shared" si="3"/>
        <v>11.5</v>
      </c>
      <c r="H14" s="24">
        <f t="shared" si="3"/>
        <v>8.5</v>
      </c>
      <c r="I14" s="24">
        <f t="shared" si="3"/>
        <v>6</v>
      </c>
      <c r="J14" s="24">
        <f t="shared" si="3"/>
        <v>7</v>
      </c>
      <c r="K14" s="24">
        <f t="shared" si="3"/>
        <v>9</v>
      </c>
      <c r="L14" s="24">
        <f t="shared" si="3"/>
        <v>10.5</v>
      </c>
      <c r="M14" s="24">
        <f t="shared" si="3"/>
        <v>11.5</v>
      </c>
      <c r="N14" s="24">
        <f t="shared" si="3"/>
        <v>9</v>
      </c>
      <c r="O14" s="41">
        <f t="shared" si="3"/>
        <v>6.5</v>
      </c>
      <c r="P14" s="22"/>
    </row>
    <row r="15" spans="1:16" x14ac:dyDescent="0.25">
      <c r="B15" s="24"/>
      <c r="C15" s="37" t="s">
        <v>361</v>
      </c>
      <c r="D15" s="24"/>
      <c r="E15" s="40">
        <f t="shared" ref="E15:O15" si="4">E13/E10</f>
        <v>0.42857142857142855</v>
      </c>
      <c r="F15" s="40">
        <f t="shared" si="4"/>
        <v>0.48571428571428571</v>
      </c>
      <c r="G15" s="40">
        <f t="shared" si="4"/>
        <v>0.4642857142857143</v>
      </c>
      <c r="H15" s="40">
        <f t="shared" si="4"/>
        <v>0.35714285714285715</v>
      </c>
      <c r="I15" s="40">
        <f t="shared" si="4"/>
        <v>0.31818181818181818</v>
      </c>
      <c r="J15" s="40">
        <f t="shared" si="4"/>
        <v>0.26315789473684209</v>
      </c>
      <c r="K15" s="40">
        <f t="shared" si="4"/>
        <v>0.31034482758620691</v>
      </c>
      <c r="L15" s="40">
        <f t="shared" si="4"/>
        <v>0.32142857142857145</v>
      </c>
      <c r="M15" s="40">
        <f t="shared" si="4"/>
        <v>0.35294117647058826</v>
      </c>
      <c r="N15" s="40">
        <f t="shared" si="4"/>
        <v>0.27500000000000002</v>
      </c>
      <c r="O15" s="40">
        <f t="shared" si="4"/>
        <v>0.25925925925925924</v>
      </c>
      <c r="P15" s="22"/>
    </row>
    <row r="16" spans="1:16" x14ac:dyDescent="0.25">
      <c r="B16" s="24"/>
      <c r="C16" s="37" t="s">
        <v>393</v>
      </c>
      <c r="D16" s="24"/>
      <c r="E16" s="40">
        <f t="shared" ref="E16:O16" si="5">E14/E11</f>
        <v>0.46031746031746029</v>
      </c>
      <c r="F16" s="40">
        <f t="shared" si="5"/>
        <v>0.47619047619047616</v>
      </c>
      <c r="G16" s="40">
        <f t="shared" si="5"/>
        <v>0.4107142857142857</v>
      </c>
      <c r="H16" s="40">
        <f t="shared" si="5"/>
        <v>0.34</v>
      </c>
      <c r="I16" s="40">
        <f t="shared" si="5"/>
        <v>0.29268292682926828</v>
      </c>
      <c r="J16" s="40">
        <f t="shared" si="5"/>
        <v>0.29166666666666669</v>
      </c>
      <c r="K16" s="40">
        <f t="shared" si="5"/>
        <v>0.31578947368421051</v>
      </c>
      <c r="L16" s="40">
        <f t="shared" si="5"/>
        <v>0.33870967741935482</v>
      </c>
      <c r="M16" s="40">
        <f t="shared" si="5"/>
        <v>0.3108108108108108</v>
      </c>
      <c r="N16" s="40">
        <f t="shared" si="5"/>
        <v>0.26865671641791045</v>
      </c>
      <c r="O16" s="40">
        <f t="shared" si="5"/>
        <v>0.27659574468085107</v>
      </c>
      <c r="P16" s="22"/>
    </row>
    <row r="17" spans="1:17" x14ac:dyDescent="0.25">
      <c r="B17" s="24" t="s">
        <v>390</v>
      </c>
      <c r="C17" s="39"/>
      <c r="D17" s="24"/>
      <c r="E17" s="24"/>
      <c r="F17" s="24"/>
      <c r="G17" s="24"/>
      <c r="H17" s="24"/>
      <c r="I17" s="24"/>
      <c r="J17" s="24"/>
      <c r="K17" s="24"/>
      <c r="L17" s="24"/>
      <c r="M17" s="24"/>
      <c r="N17" s="24"/>
      <c r="O17" s="24"/>
      <c r="P17" s="22"/>
    </row>
    <row r="18" spans="1:17" x14ac:dyDescent="0.25">
      <c r="B18" s="24"/>
      <c r="C18" s="37" t="s">
        <v>210</v>
      </c>
      <c r="D18" s="38">
        <v>0.5</v>
      </c>
      <c r="E18" s="38">
        <v>0.5</v>
      </c>
      <c r="F18" s="38">
        <v>0.5</v>
      </c>
      <c r="G18" s="38">
        <v>0.5</v>
      </c>
      <c r="H18" s="38">
        <v>0.5</v>
      </c>
      <c r="I18" s="38">
        <v>0.5</v>
      </c>
      <c r="J18" s="38">
        <v>0.5</v>
      </c>
      <c r="K18" s="38">
        <v>0.5</v>
      </c>
      <c r="L18" s="38">
        <v>0.5</v>
      </c>
      <c r="M18" s="38">
        <v>0.5</v>
      </c>
      <c r="N18" s="38">
        <v>0.5</v>
      </c>
      <c r="O18" s="38">
        <v>0.5</v>
      </c>
      <c r="P18" s="22"/>
    </row>
    <row r="19" spans="1:17" x14ac:dyDescent="0.25">
      <c r="B19" s="24"/>
      <c r="C19" s="37" t="s">
        <v>209</v>
      </c>
      <c r="D19" s="24">
        <f t="shared" ref="D19:O19" si="6">IF(AND(D7&gt;=1,D7&lt;5),NA(),D7)</f>
        <v>10</v>
      </c>
      <c r="E19" s="24">
        <f t="shared" si="6"/>
        <v>8</v>
      </c>
      <c r="F19" s="24">
        <f t="shared" si="6"/>
        <v>10</v>
      </c>
      <c r="G19" s="24">
        <f t="shared" si="6"/>
        <v>7</v>
      </c>
      <c r="H19" s="24" t="e">
        <f t="shared" si="6"/>
        <v>#N/A</v>
      </c>
      <c r="I19" s="24">
        <f t="shared" si="6"/>
        <v>8</v>
      </c>
      <c r="J19" s="24" t="e">
        <f t="shared" si="6"/>
        <v>#N/A</v>
      </c>
      <c r="K19" s="24" t="e">
        <f t="shared" si="6"/>
        <v>#N/A</v>
      </c>
      <c r="L19" s="24">
        <f t="shared" si="6"/>
        <v>13</v>
      </c>
      <c r="M19" s="24">
        <f t="shared" si="6"/>
        <v>7</v>
      </c>
      <c r="N19" s="24">
        <f t="shared" si="6"/>
        <v>10</v>
      </c>
      <c r="O19" s="24">
        <f t="shared" si="6"/>
        <v>10</v>
      </c>
      <c r="P19" s="22"/>
    </row>
    <row r="20" spans="1:17" x14ac:dyDescent="0.25">
      <c r="B20" s="24"/>
      <c r="C20" s="37" t="s">
        <v>512</v>
      </c>
      <c r="D20" s="40" t="e">
        <f t="shared" ref="D20:O20" si="7">IF(ISNUMBER(D19),IF(AND(D12&gt;0,D12&lt;5),NA(),IF(ISNUMBER(D8),D8,NA())),NA())</f>
        <v>#N/A</v>
      </c>
      <c r="E20" s="40" t="e">
        <f t="shared" si="7"/>
        <v>#N/A</v>
      </c>
      <c r="F20" s="40" t="e">
        <f t="shared" si="7"/>
        <v>#N/A</v>
      </c>
      <c r="G20" s="40">
        <f t="shared" si="7"/>
        <v>0.71428570000000002</v>
      </c>
      <c r="H20" s="40" t="e">
        <f t="shared" si="7"/>
        <v>#N/A</v>
      </c>
      <c r="I20" s="40" t="e">
        <f t="shared" si="7"/>
        <v>#N/A</v>
      </c>
      <c r="J20" s="40" t="e">
        <f t="shared" si="7"/>
        <v>#N/A</v>
      </c>
      <c r="K20" s="40" t="e">
        <f t="shared" si="7"/>
        <v>#N/A</v>
      </c>
      <c r="L20" s="40" t="e">
        <f t="shared" si="7"/>
        <v>#N/A</v>
      </c>
      <c r="M20" s="40" t="e">
        <f t="shared" si="7"/>
        <v>#N/A</v>
      </c>
      <c r="N20" s="40" t="e">
        <f t="shared" si="7"/>
        <v>#N/A</v>
      </c>
      <c r="O20" s="40" t="e">
        <f t="shared" si="7"/>
        <v>#N/A</v>
      </c>
      <c r="P20" s="22"/>
    </row>
    <row r="21" spans="1:17" x14ac:dyDescent="0.25">
      <c r="B21" s="24"/>
      <c r="C21" s="37" t="s">
        <v>453</v>
      </c>
      <c r="D21" s="24"/>
      <c r="E21" s="38">
        <f t="shared" ref="E21:O21" si="8">IF(OR(E11&lt;5,E14&lt;5),NA(),E16)</f>
        <v>0.46031746031746029</v>
      </c>
      <c r="F21" s="38">
        <f t="shared" si="8"/>
        <v>0.47619047619047616</v>
      </c>
      <c r="G21" s="38">
        <f t="shared" si="8"/>
        <v>0.4107142857142857</v>
      </c>
      <c r="H21" s="38">
        <f t="shared" si="8"/>
        <v>0.34</v>
      </c>
      <c r="I21" s="38">
        <f t="shared" si="8"/>
        <v>0.29268292682926828</v>
      </c>
      <c r="J21" s="38">
        <f t="shared" si="8"/>
        <v>0.29166666666666669</v>
      </c>
      <c r="K21" s="38">
        <f t="shared" si="8"/>
        <v>0.31578947368421051</v>
      </c>
      <c r="L21" s="38">
        <f t="shared" si="8"/>
        <v>0.33870967741935482</v>
      </c>
      <c r="M21" s="38">
        <f t="shared" si="8"/>
        <v>0.3108108108108108</v>
      </c>
      <c r="N21" s="38">
        <f t="shared" si="8"/>
        <v>0.26865671641791045</v>
      </c>
      <c r="O21" s="38">
        <f t="shared" si="8"/>
        <v>0.27659574468085107</v>
      </c>
      <c r="P21" s="22"/>
    </row>
    <row r="24" spans="1:17" x14ac:dyDescent="0.25">
      <c r="A24" s="47" t="s">
        <v>365</v>
      </c>
    </row>
    <row r="26" spans="1:17" x14ac:dyDescent="0.25">
      <c r="A26"/>
      <c r="B26"/>
      <c r="C26" s="24"/>
      <c r="D26" s="24"/>
      <c r="E26" s="24"/>
      <c r="F26" s="24"/>
      <c r="G26" s="24"/>
      <c r="H26" s="24"/>
      <c r="I26" s="24"/>
      <c r="J26" s="24"/>
      <c r="K26" s="24"/>
      <c r="L26" s="24"/>
      <c r="M26" s="24"/>
      <c r="N26" s="24"/>
      <c r="O26" s="24"/>
      <c r="P26" s="24"/>
      <c r="Q26" s="26"/>
    </row>
    <row r="27" spans="1:17" x14ac:dyDescent="0.25">
      <c r="A27"/>
      <c r="B27"/>
      <c r="C27" s="24"/>
      <c r="D27" s="85">
        <v>2020</v>
      </c>
      <c r="E27" s="85"/>
      <c r="F27" s="84">
        <v>2021</v>
      </c>
      <c r="G27" s="84"/>
      <c r="H27" s="84"/>
      <c r="I27" s="84"/>
      <c r="J27" s="84">
        <v>2022</v>
      </c>
      <c r="K27" s="84"/>
      <c r="L27" s="84"/>
      <c r="M27" s="84"/>
      <c r="N27" s="84">
        <v>2023</v>
      </c>
      <c r="O27" s="84"/>
      <c r="P27" s="22"/>
      <c r="Q27" s="26"/>
    </row>
    <row r="28" spans="1:17" x14ac:dyDescent="0.25">
      <c r="A28"/>
      <c r="B28"/>
      <c r="C28" s="24"/>
      <c r="D28" s="35" t="s">
        <v>126</v>
      </c>
      <c r="E28" s="35" t="s">
        <v>207</v>
      </c>
      <c r="F28" s="35" t="s">
        <v>125</v>
      </c>
      <c r="G28" s="35" t="s">
        <v>206</v>
      </c>
      <c r="H28" s="35" t="s">
        <v>126</v>
      </c>
      <c r="I28" s="35" t="s">
        <v>207</v>
      </c>
      <c r="J28" s="35" t="s">
        <v>125</v>
      </c>
      <c r="K28" s="35" t="s">
        <v>206</v>
      </c>
      <c r="L28" s="35" t="s">
        <v>126</v>
      </c>
      <c r="M28" s="35" t="s">
        <v>207</v>
      </c>
      <c r="N28" s="35" t="s">
        <v>125</v>
      </c>
      <c r="O28" s="35" t="s">
        <v>206</v>
      </c>
      <c r="P28" s="22"/>
      <c r="Q28" s="26"/>
    </row>
    <row r="29" spans="1:17" x14ac:dyDescent="0.25">
      <c r="A29"/>
      <c r="B29"/>
      <c r="C29" s="42" t="s">
        <v>221</v>
      </c>
      <c r="D29" s="24">
        <f>VLOOKUP('AAA Quarterly Report'!$C$5,'AAA Quarterly Results'!$A:$BV,3,FALSE)</f>
        <v>3</v>
      </c>
      <c r="E29" s="24">
        <f>VLOOKUP('AAA Quarterly Report'!$C$5,'AAA Quarterly Results'!$A:$BV,9,FALSE)</f>
        <v>7</v>
      </c>
      <c r="F29" s="24">
        <f>VLOOKUP('AAA Quarterly Report'!$C$5,'AAA Quarterly Results'!$A:$BV,15,FALSE)</f>
        <v>4</v>
      </c>
      <c r="G29" s="24">
        <f>VLOOKUP('AAA Quarterly Report'!$C$5,'AAA Quarterly Results'!$A:$BV,21,FALSE)</f>
        <v>6</v>
      </c>
      <c r="H29" s="24">
        <f>VLOOKUP('AAA Quarterly Report'!$C$5,'AAA Quarterly Results'!$A:$BV,27,FALSE)</f>
        <v>3</v>
      </c>
      <c r="I29" s="24">
        <f>VLOOKUP('AAA Quarterly Report'!$C$5,'AAA Quarterly Results'!$A:$BV,33,FALSE)</f>
        <v>5</v>
      </c>
      <c r="J29" s="24">
        <f>VLOOKUP('AAA Quarterly Report'!$C$5,'AAA Quarterly Results'!$A:$BV,39,FALSE)</f>
        <v>10</v>
      </c>
      <c r="K29" s="24">
        <f>VLOOKUP('AAA Quarterly Report'!$C$5,'AAA Quarterly Results'!$A:$BV,45,FALSE)</f>
        <v>5</v>
      </c>
      <c r="L29" s="24">
        <f>VLOOKUP('AAA Quarterly Report'!$C$5,'AAA Quarterly Results'!$A:$BV,51,FALSE)</f>
        <v>3</v>
      </c>
      <c r="M29" s="24">
        <f>VLOOKUP('AAA Quarterly Report'!$C$5,'AAA Quarterly Results'!$A:$BV,57,FALSE)</f>
        <v>4</v>
      </c>
      <c r="N29" s="24">
        <f>VLOOKUP('AAA Quarterly Report'!$C$5,'AAA Quarterly Results'!$A:$BV,63,FALSE)</f>
        <v>3</v>
      </c>
      <c r="O29" s="24">
        <f>VLOOKUP('AAA Quarterly Report'!$C$5,'AAA Quarterly Results'!$A:$BV,69,FALSE)</f>
        <v>11</v>
      </c>
      <c r="P29" s="22"/>
      <c r="Q29" s="26"/>
    </row>
    <row r="30" spans="1:17" x14ac:dyDescent="0.25">
      <c r="A30"/>
      <c r="B30"/>
      <c r="C30" s="37" t="s">
        <v>514</v>
      </c>
      <c r="D30" s="38">
        <f>VLOOKUP('AAA Quarterly Report'!$C$5,'AAA Quarterly Results'!$A:$BV,8,FALSE)</f>
        <v>0.66666669999999995</v>
      </c>
      <c r="E30" s="38">
        <f>VLOOKUP('AAA Quarterly Report'!$C$5,'AAA Quarterly Results'!$A:$BV,14,FALSE)</f>
        <v>0.57142859999999995</v>
      </c>
      <c r="F30" s="38">
        <f>VLOOKUP('AAA Quarterly Report'!$C$5,'AAA Quarterly Results'!$A:$BV,20,FALSE)</f>
        <v>0.25</v>
      </c>
      <c r="G30" s="38">
        <f>VLOOKUP('AAA Quarterly Report'!$C$5,'AAA Quarterly Results'!$A:$BV,26,FALSE)</f>
        <v>0.4</v>
      </c>
      <c r="H30" s="38">
        <f>VLOOKUP('AAA Quarterly Report'!$C$5,'AAA Quarterly Results'!$A:$BV,32,FALSE)</f>
        <v>0.66666669999999995</v>
      </c>
      <c r="I30" s="38">
        <f>VLOOKUP('AAA Quarterly Report'!$C$5,'AAA Quarterly Results'!$A:$BV,38,FALSE)</f>
        <v>0.8</v>
      </c>
      <c r="J30" s="38">
        <f>VLOOKUP('AAA Quarterly Report'!$C$5,'AAA Quarterly Results'!$A:$BV,44,FALSE)</f>
        <v>0.22222220000000001</v>
      </c>
      <c r="K30" s="38">
        <f>VLOOKUP('AAA Quarterly Report'!$C$5,'AAA Quarterly Results'!$A:$BV,50,FALSE)</f>
        <v>0.2</v>
      </c>
      <c r="L30" s="38">
        <f>VLOOKUP('AAA Quarterly Report'!$C$5,'AAA Quarterly Results'!$A:$BV,56,FALSE)</f>
        <v>0</v>
      </c>
      <c r="M30" s="38">
        <f>VLOOKUP('AAA Quarterly Report'!$C$5,'AAA Quarterly Results'!$A:$BV,62,FALSE)</f>
        <v>0.75</v>
      </c>
      <c r="N30" s="38">
        <f>VLOOKUP('AAA Quarterly Report'!$C$5,'AAA Quarterly Results'!$A:$BV,68,FALSE)</f>
        <v>0</v>
      </c>
      <c r="O30" s="38">
        <f>VLOOKUP('AAA Quarterly Report'!$C$5,'AAA Quarterly Results'!$A:$BV,74,FALSE)</f>
        <v>0.27272730000000001</v>
      </c>
      <c r="P30" s="22"/>
      <c r="Q30" s="26"/>
    </row>
    <row r="31" spans="1:17" x14ac:dyDescent="0.25">
      <c r="A31"/>
      <c r="B31"/>
      <c r="C31" s="37" t="s">
        <v>222</v>
      </c>
      <c r="D31" s="38">
        <v>0.8</v>
      </c>
      <c r="E31" s="38">
        <v>0.8</v>
      </c>
      <c r="F31" s="38">
        <v>0.8</v>
      </c>
      <c r="G31" s="38">
        <v>0.8</v>
      </c>
      <c r="H31" s="38">
        <v>0.8</v>
      </c>
      <c r="I31" s="38">
        <v>0.8</v>
      </c>
      <c r="J31" s="38">
        <v>0.8</v>
      </c>
      <c r="K31" s="38">
        <v>0.8</v>
      </c>
      <c r="L31" s="38">
        <v>0.8</v>
      </c>
      <c r="M31" s="38">
        <v>0.8</v>
      </c>
      <c r="N31" s="38">
        <v>0.8</v>
      </c>
      <c r="O31" s="38">
        <v>0.8</v>
      </c>
      <c r="P31" s="22"/>
      <c r="Q31" s="26"/>
    </row>
    <row r="32" spans="1:17" x14ac:dyDescent="0.25">
      <c r="A32"/>
      <c r="B32"/>
      <c r="C32" s="37" t="s">
        <v>271</v>
      </c>
      <c r="D32" s="24">
        <f>VLOOKUP('AAA Quarterly Report'!$C$5,'AAA Quarterly Results'!$A:$BV,4,FALSE)</f>
        <v>0</v>
      </c>
      <c r="E32" s="24">
        <f>VLOOKUP('AAA Quarterly Report'!$C$5,'AAA Quarterly Results'!$A:$BV,10,FALSE)</f>
        <v>0</v>
      </c>
      <c r="F32" s="24">
        <f>VLOOKUP('AAA Quarterly Report'!$C$5,'AAA Quarterly Results'!$A:$BV,16,FALSE)</f>
        <v>0</v>
      </c>
      <c r="G32" s="24">
        <f>VLOOKUP('AAA Quarterly Report'!$C$5,'AAA Quarterly Results'!$A:$BV,22,FALSE)</f>
        <v>2</v>
      </c>
      <c r="H32" s="24">
        <f>VLOOKUP('AAA Quarterly Report'!$C$5,'AAA Quarterly Results'!$A:$BV,28,FALSE)</f>
        <v>0</v>
      </c>
      <c r="I32" s="24">
        <f>VLOOKUP('AAA Quarterly Report'!$C$5,'AAA Quarterly Results'!$A:$BV,34,FALSE)</f>
        <v>0</v>
      </c>
      <c r="J32" s="24">
        <f>VLOOKUP('AAA Quarterly Report'!$C$5,'AAA Quarterly Results'!$A:$BV,40,FALSE)</f>
        <v>0</v>
      </c>
      <c r="K32" s="24">
        <f>VLOOKUP('AAA Quarterly Report'!$C$5,'AAA Quarterly Results'!$A:$BV,46,FALSE)</f>
        <v>0</v>
      </c>
      <c r="L32" s="24">
        <f>VLOOKUP('AAA Quarterly Report'!$C$5,'AAA Quarterly Results'!$A:$BV,52,FALSE)</f>
        <v>0</v>
      </c>
      <c r="M32" s="24">
        <f>VLOOKUP('AAA Quarterly Report'!$C$5,'AAA Quarterly Results'!$A:$BV,58,FALSE)</f>
        <v>0</v>
      </c>
      <c r="N32" s="24">
        <f>VLOOKUP('AAA Quarterly Report'!$C$5,'AAA Quarterly Results'!$A:$BV,64,FALSE)</f>
        <v>1</v>
      </c>
      <c r="O32" s="24">
        <f>VLOOKUP('AAA Quarterly Report'!$C$5,'AAA Quarterly Results'!$A:$BV,70,FALSE)</f>
        <v>0</v>
      </c>
      <c r="P32" s="22"/>
      <c r="Q32" s="26"/>
    </row>
    <row r="33" spans="1:17" x14ac:dyDescent="0.25">
      <c r="A33"/>
      <c r="B33"/>
      <c r="C33" s="37" t="s">
        <v>272</v>
      </c>
      <c r="D33" s="24">
        <f>VLOOKUP('AAA Quarterly Report'!$C$5,'AAA Quarterly Results'!$A:$BV,5,FALSE)</f>
        <v>3</v>
      </c>
      <c r="E33" s="24">
        <f>VLOOKUP('AAA Quarterly Report'!$C$5,'AAA Quarterly Results'!$A:$BV,11,FALSE)</f>
        <v>7</v>
      </c>
      <c r="F33" s="24">
        <f>VLOOKUP('AAA Quarterly Report'!$C$5,'AAA Quarterly Results'!$A:$BV,17,FALSE)</f>
        <v>4</v>
      </c>
      <c r="G33" s="24">
        <f>VLOOKUP('AAA Quarterly Report'!$C$5,'AAA Quarterly Results'!$A:$BV,23,FALSE)</f>
        <v>4</v>
      </c>
      <c r="H33" s="24">
        <f>VLOOKUP('AAA Quarterly Report'!$C$5,'AAA Quarterly Results'!$A:$BV,29,FALSE)</f>
        <v>3</v>
      </c>
      <c r="I33" s="24">
        <f>VLOOKUP('AAA Quarterly Report'!$C$5,'AAA Quarterly Results'!$A:$BV,35,FALSE)</f>
        <v>5</v>
      </c>
      <c r="J33" s="24">
        <f>VLOOKUP('AAA Quarterly Report'!$C$5,'AAA Quarterly Results'!$A:$BV,41,FALSE)</f>
        <v>10</v>
      </c>
      <c r="K33" s="24">
        <f>VLOOKUP('AAA Quarterly Report'!$C$5,'AAA Quarterly Results'!$A:$BV,47,FALSE)</f>
        <v>5</v>
      </c>
      <c r="L33" s="24">
        <f>VLOOKUP('AAA Quarterly Report'!$C$5,'AAA Quarterly Results'!$A:$BV,53,FALSE)</f>
        <v>3</v>
      </c>
      <c r="M33" s="24">
        <f>VLOOKUP('AAA Quarterly Report'!$C$5,'AAA Quarterly Results'!$A:$BV,59,FALSE)</f>
        <v>4</v>
      </c>
      <c r="N33" s="24">
        <f>VLOOKUP('AAA Quarterly Report'!$C$5,'AAA Quarterly Results'!$A:$BV,65,FALSE)</f>
        <v>2</v>
      </c>
      <c r="O33" s="24">
        <f>VLOOKUP('AAA Quarterly Report'!$C$5,'AAA Quarterly Results'!$A:$BV,71,FALSE)</f>
        <v>11</v>
      </c>
      <c r="P33" s="22"/>
      <c r="Q33" s="26"/>
    </row>
    <row r="34" spans="1:17" x14ac:dyDescent="0.25">
      <c r="A34"/>
      <c r="B34"/>
      <c r="C34" s="37" t="s">
        <v>443</v>
      </c>
      <c r="D34" s="38">
        <f t="shared" ref="D34:O34" si="9">D33/D29</f>
        <v>1</v>
      </c>
      <c r="E34" s="38">
        <f t="shared" si="9"/>
        <v>1</v>
      </c>
      <c r="F34" s="38">
        <f t="shared" si="9"/>
        <v>1</v>
      </c>
      <c r="G34" s="38">
        <f t="shared" si="9"/>
        <v>0.66666666666666663</v>
      </c>
      <c r="H34" s="38">
        <f t="shared" si="9"/>
        <v>1</v>
      </c>
      <c r="I34" s="38">
        <f t="shared" si="9"/>
        <v>1</v>
      </c>
      <c r="J34" s="38">
        <f t="shared" si="9"/>
        <v>1</v>
      </c>
      <c r="K34" s="38">
        <f t="shared" si="9"/>
        <v>1</v>
      </c>
      <c r="L34" s="38">
        <f t="shared" si="9"/>
        <v>1</v>
      </c>
      <c r="M34" s="38">
        <f t="shared" si="9"/>
        <v>1</v>
      </c>
      <c r="N34" s="38">
        <f t="shared" si="9"/>
        <v>0.66666666666666663</v>
      </c>
      <c r="O34" s="38">
        <f t="shared" si="9"/>
        <v>1</v>
      </c>
      <c r="P34" s="22"/>
      <c r="Q34" s="26"/>
    </row>
    <row r="35" spans="1:17" x14ac:dyDescent="0.25">
      <c r="A35"/>
      <c r="B35"/>
      <c r="C35" s="37" t="s">
        <v>396</v>
      </c>
      <c r="D35" s="24"/>
      <c r="E35" s="24">
        <f t="shared" ref="E35:O35" si="10">SUM(C29:F29)</f>
        <v>14</v>
      </c>
      <c r="F35" s="24">
        <f t="shared" si="10"/>
        <v>20</v>
      </c>
      <c r="G35" s="24">
        <f t="shared" si="10"/>
        <v>20</v>
      </c>
      <c r="H35" s="24">
        <f t="shared" si="10"/>
        <v>18</v>
      </c>
      <c r="I35" s="24">
        <f t="shared" si="10"/>
        <v>24</v>
      </c>
      <c r="J35" s="24">
        <f t="shared" si="10"/>
        <v>23</v>
      </c>
      <c r="K35" s="24">
        <f t="shared" si="10"/>
        <v>23</v>
      </c>
      <c r="L35" s="24">
        <f t="shared" si="10"/>
        <v>22</v>
      </c>
      <c r="M35" s="24">
        <f t="shared" si="10"/>
        <v>15</v>
      </c>
      <c r="N35" s="24">
        <f t="shared" si="10"/>
        <v>21</v>
      </c>
      <c r="O35" s="24">
        <f t="shared" si="10"/>
        <v>18</v>
      </c>
      <c r="P35" s="22"/>
      <c r="Q35" s="26"/>
    </row>
    <row r="36" spans="1:17" x14ac:dyDescent="0.25">
      <c r="A36"/>
      <c r="B36"/>
      <c r="C36" s="37" t="s">
        <v>397</v>
      </c>
      <c r="D36" s="24"/>
      <c r="E36" s="24">
        <f t="shared" ref="E36:N36" si="11">(SUM(D29:G29)+E35)/2</f>
        <v>17</v>
      </c>
      <c r="F36" s="24">
        <f t="shared" si="11"/>
        <v>20</v>
      </c>
      <c r="G36" s="24">
        <f t="shared" si="11"/>
        <v>19</v>
      </c>
      <c r="H36" s="24">
        <f t="shared" si="11"/>
        <v>21</v>
      </c>
      <c r="I36" s="24">
        <f t="shared" si="11"/>
        <v>23.5</v>
      </c>
      <c r="J36" s="24">
        <f t="shared" si="11"/>
        <v>23</v>
      </c>
      <c r="K36" s="24">
        <f t="shared" si="11"/>
        <v>22.5</v>
      </c>
      <c r="L36" s="24">
        <f t="shared" si="11"/>
        <v>18.5</v>
      </c>
      <c r="M36" s="24">
        <f t="shared" si="11"/>
        <v>18</v>
      </c>
      <c r="N36" s="24">
        <f t="shared" si="11"/>
        <v>19.5</v>
      </c>
      <c r="O36" s="24">
        <f>(SUM(N29:P29)+O35)/2</f>
        <v>16</v>
      </c>
      <c r="P36" s="22"/>
      <c r="Q36" s="26"/>
    </row>
    <row r="37" spans="1:17" x14ac:dyDescent="0.25">
      <c r="A37"/>
      <c r="B37"/>
      <c r="C37" s="37" t="s">
        <v>398</v>
      </c>
      <c r="D37" s="24">
        <f>VLOOKUP('AAA Quarterly Report'!$C5,'AAA Quarterly Results'!$A:$BV,7,FALSE)</f>
        <v>2</v>
      </c>
      <c r="E37" s="24">
        <f>VLOOKUP('AAA Quarterly Report'!$C5,'AAA Quarterly Results'!$A:$BV,13,FALSE)</f>
        <v>4</v>
      </c>
      <c r="F37" s="24">
        <f>VLOOKUP('AAA Quarterly Report'!$C5,'AAA Quarterly Results'!$A:$BV,19,FALSE)</f>
        <v>1</v>
      </c>
      <c r="G37" s="24">
        <f>VLOOKUP('AAA Quarterly Report'!$C5,'AAA Quarterly Results'!$A:$BV,25,FALSE)</f>
        <v>2</v>
      </c>
      <c r="H37" s="24">
        <f>VLOOKUP('AAA Quarterly Report'!$C5,'AAA Quarterly Results'!$A:$BV,31,FALSE)</f>
        <v>2</v>
      </c>
      <c r="I37" s="24">
        <f>VLOOKUP('AAA Quarterly Report'!$C5,'AAA Quarterly Results'!$A:$BV,37,FALSE)</f>
        <v>4</v>
      </c>
      <c r="J37" s="24">
        <f>VLOOKUP('AAA Quarterly Report'!$C5,'AAA Quarterly Results'!$A:$BV,43,FALSE)</f>
        <v>2</v>
      </c>
      <c r="K37" s="24">
        <f>VLOOKUP('AAA Quarterly Report'!$C5,'AAA Quarterly Results'!$A:$BV,49,FALSE)</f>
        <v>1</v>
      </c>
      <c r="L37" s="24">
        <f>VLOOKUP('AAA Quarterly Report'!$C5,'AAA Quarterly Results'!$A:$BV,55,FALSE)</f>
        <v>0</v>
      </c>
      <c r="M37" s="24">
        <f>VLOOKUP('AAA Quarterly Report'!$C5,'AAA Quarterly Results'!$A:$BV,61,FALSE)</f>
        <v>3</v>
      </c>
      <c r="N37" s="24">
        <f>VLOOKUP('AAA Quarterly Report'!$C5,'AAA Quarterly Results'!$A:$BV,67,FALSE)</f>
        <v>0</v>
      </c>
      <c r="O37" s="24">
        <f>VLOOKUP('AAA Quarterly Report'!$C5,'AAA Quarterly Results'!$A:$BV,73,FALSE)</f>
        <v>3</v>
      </c>
      <c r="P37" s="22"/>
      <c r="Q37" s="26"/>
    </row>
    <row r="38" spans="1:17" x14ac:dyDescent="0.25">
      <c r="A38"/>
      <c r="B38"/>
      <c r="C38" s="37" t="s">
        <v>399</v>
      </c>
      <c r="D38" s="24"/>
      <c r="E38" s="24">
        <f t="shared" ref="E38:O38" si="12">SUM(C37:F37)</f>
        <v>7</v>
      </c>
      <c r="F38" s="24">
        <f t="shared" si="12"/>
        <v>9</v>
      </c>
      <c r="G38" s="24">
        <f t="shared" si="12"/>
        <v>9</v>
      </c>
      <c r="H38" s="24">
        <f t="shared" si="12"/>
        <v>9</v>
      </c>
      <c r="I38" s="24">
        <f t="shared" si="12"/>
        <v>10</v>
      </c>
      <c r="J38" s="24">
        <f t="shared" si="12"/>
        <v>9</v>
      </c>
      <c r="K38" s="24">
        <f t="shared" si="12"/>
        <v>7</v>
      </c>
      <c r="L38" s="24">
        <f t="shared" si="12"/>
        <v>6</v>
      </c>
      <c r="M38" s="24">
        <f t="shared" si="12"/>
        <v>4</v>
      </c>
      <c r="N38" s="24">
        <f t="shared" si="12"/>
        <v>6</v>
      </c>
      <c r="O38" s="24">
        <f t="shared" si="12"/>
        <v>6</v>
      </c>
      <c r="P38" s="22"/>
      <c r="Q38" s="26"/>
    </row>
    <row r="39" spans="1:17" x14ac:dyDescent="0.25">
      <c r="A39"/>
      <c r="B39"/>
      <c r="C39" s="37" t="s">
        <v>400</v>
      </c>
      <c r="D39" s="24"/>
      <c r="E39" s="24">
        <f t="shared" ref="E39:N39" si="13">(SUM(D37:G37)+E38)/2</f>
        <v>8</v>
      </c>
      <c r="F39" s="24">
        <f t="shared" si="13"/>
        <v>9</v>
      </c>
      <c r="G39" s="24">
        <f t="shared" si="13"/>
        <v>9</v>
      </c>
      <c r="H39" s="24">
        <f t="shared" si="13"/>
        <v>9.5</v>
      </c>
      <c r="I39" s="24">
        <f t="shared" si="13"/>
        <v>9.5</v>
      </c>
      <c r="J39" s="24">
        <f t="shared" si="13"/>
        <v>8</v>
      </c>
      <c r="K39" s="24">
        <f t="shared" si="13"/>
        <v>6.5</v>
      </c>
      <c r="L39" s="24">
        <f t="shared" si="13"/>
        <v>5</v>
      </c>
      <c r="M39" s="24">
        <f t="shared" si="13"/>
        <v>5</v>
      </c>
      <c r="N39" s="24">
        <f t="shared" si="13"/>
        <v>6</v>
      </c>
      <c r="O39" s="24">
        <f>(SUM(N37:P37)+O38)/2</f>
        <v>4.5</v>
      </c>
      <c r="P39" s="22"/>
      <c r="Q39" s="26"/>
    </row>
    <row r="40" spans="1:17" x14ac:dyDescent="0.25">
      <c r="A40"/>
      <c r="B40"/>
      <c r="C40" s="37" t="s">
        <v>401</v>
      </c>
      <c r="D40" s="24"/>
      <c r="E40" s="43">
        <f t="shared" ref="E40:O40" si="14">E38/E35</f>
        <v>0.5</v>
      </c>
      <c r="F40" s="43">
        <f t="shared" si="14"/>
        <v>0.45</v>
      </c>
      <c r="G40" s="43">
        <f t="shared" si="14"/>
        <v>0.45</v>
      </c>
      <c r="H40" s="43">
        <f t="shared" si="14"/>
        <v>0.5</v>
      </c>
      <c r="I40" s="43">
        <f t="shared" si="14"/>
        <v>0.41666666666666669</v>
      </c>
      <c r="J40" s="43">
        <f t="shared" si="14"/>
        <v>0.39130434782608697</v>
      </c>
      <c r="K40" s="43">
        <f t="shared" si="14"/>
        <v>0.30434782608695654</v>
      </c>
      <c r="L40" s="43">
        <f t="shared" si="14"/>
        <v>0.27272727272727271</v>
      </c>
      <c r="M40" s="43">
        <f t="shared" si="14"/>
        <v>0.26666666666666666</v>
      </c>
      <c r="N40" s="43">
        <f t="shared" si="14"/>
        <v>0.2857142857142857</v>
      </c>
      <c r="O40" s="43">
        <f t="shared" si="14"/>
        <v>0.33333333333333331</v>
      </c>
      <c r="P40" s="22"/>
      <c r="Q40" s="26"/>
    </row>
    <row r="41" spans="1:17" x14ac:dyDescent="0.25">
      <c r="A41"/>
      <c r="B41"/>
      <c r="C41" s="37" t="s">
        <v>393</v>
      </c>
      <c r="D41" s="24"/>
      <c r="E41" s="43">
        <f t="shared" ref="E41:O41" si="15">E39/E36</f>
        <v>0.47058823529411764</v>
      </c>
      <c r="F41" s="43">
        <f t="shared" si="15"/>
        <v>0.45</v>
      </c>
      <c r="G41" s="43">
        <f t="shared" si="15"/>
        <v>0.47368421052631576</v>
      </c>
      <c r="H41" s="43">
        <f t="shared" si="15"/>
        <v>0.45238095238095238</v>
      </c>
      <c r="I41" s="43">
        <f t="shared" si="15"/>
        <v>0.40425531914893614</v>
      </c>
      <c r="J41" s="43">
        <f t="shared" si="15"/>
        <v>0.34782608695652173</v>
      </c>
      <c r="K41" s="43">
        <f t="shared" si="15"/>
        <v>0.28888888888888886</v>
      </c>
      <c r="L41" s="43">
        <f t="shared" si="15"/>
        <v>0.27027027027027029</v>
      </c>
      <c r="M41" s="43">
        <f t="shared" si="15"/>
        <v>0.27777777777777779</v>
      </c>
      <c r="N41" s="43">
        <f t="shared" si="15"/>
        <v>0.30769230769230771</v>
      </c>
      <c r="O41" s="43">
        <f t="shared" si="15"/>
        <v>0.28125</v>
      </c>
      <c r="P41" s="22"/>
      <c r="Q41" s="26"/>
    </row>
    <row r="42" spans="1:17" x14ac:dyDescent="0.25">
      <c r="A42"/>
      <c r="B42"/>
      <c r="C42" s="39"/>
      <c r="D42" s="24"/>
      <c r="E42" s="24"/>
      <c r="F42" s="24"/>
      <c r="G42" s="24"/>
      <c r="H42" s="24"/>
      <c r="I42" s="24"/>
      <c r="J42" s="24"/>
      <c r="K42" s="24"/>
      <c r="L42" s="24"/>
      <c r="M42" s="24"/>
      <c r="N42" s="24"/>
      <c r="O42" s="24"/>
      <c r="P42" s="22"/>
      <c r="Q42" s="26"/>
    </row>
    <row r="43" spans="1:17" x14ac:dyDescent="0.25">
      <c r="A43"/>
      <c r="B43"/>
      <c r="C43" s="37" t="s">
        <v>402</v>
      </c>
      <c r="D43" s="38">
        <v>0.8</v>
      </c>
      <c r="E43" s="38">
        <v>0.8</v>
      </c>
      <c r="F43" s="38">
        <v>0.8</v>
      </c>
      <c r="G43" s="38">
        <v>0.8</v>
      </c>
      <c r="H43" s="38">
        <v>0.8</v>
      </c>
      <c r="I43" s="38">
        <v>0.8</v>
      </c>
      <c r="J43" s="38">
        <v>0.8</v>
      </c>
      <c r="K43" s="38">
        <v>0.8</v>
      </c>
      <c r="L43" s="38">
        <v>0.8</v>
      </c>
      <c r="M43" s="38">
        <v>0.8</v>
      </c>
      <c r="N43" s="38">
        <v>0.8</v>
      </c>
      <c r="O43" s="38">
        <v>0.8</v>
      </c>
      <c r="P43" s="22"/>
      <c r="Q43" s="26"/>
    </row>
    <row r="44" spans="1:17" x14ac:dyDescent="0.25">
      <c r="A44"/>
      <c r="B44"/>
      <c r="C44" s="42" t="s">
        <v>403</v>
      </c>
      <c r="D44" s="24" t="e">
        <f t="shared" ref="D44:O44" si="16">IF(AND(D29&gt;=1,D29&lt;5),NA(),D29)</f>
        <v>#N/A</v>
      </c>
      <c r="E44" s="24">
        <f t="shared" si="16"/>
        <v>7</v>
      </c>
      <c r="F44" s="24" t="e">
        <f t="shared" si="16"/>
        <v>#N/A</v>
      </c>
      <c r="G44" s="24">
        <f t="shared" si="16"/>
        <v>6</v>
      </c>
      <c r="H44" s="24" t="e">
        <f t="shared" si="16"/>
        <v>#N/A</v>
      </c>
      <c r="I44" s="24">
        <f t="shared" si="16"/>
        <v>5</v>
      </c>
      <c r="J44" s="24">
        <f t="shared" si="16"/>
        <v>10</v>
      </c>
      <c r="K44" s="24">
        <f t="shared" si="16"/>
        <v>5</v>
      </c>
      <c r="L44" s="24" t="e">
        <f t="shared" si="16"/>
        <v>#N/A</v>
      </c>
      <c r="M44" s="24" t="e">
        <f t="shared" si="16"/>
        <v>#N/A</v>
      </c>
      <c r="N44" s="24" t="e">
        <f t="shared" si="16"/>
        <v>#N/A</v>
      </c>
      <c r="O44" s="24">
        <f t="shared" si="16"/>
        <v>11</v>
      </c>
      <c r="P44" s="22"/>
      <c r="Q44" s="26"/>
    </row>
    <row r="45" spans="1:17" x14ac:dyDescent="0.25">
      <c r="A45"/>
      <c r="B45"/>
      <c r="C45" s="37" t="s">
        <v>158</v>
      </c>
      <c r="D45" s="43" t="e">
        <f t="shared" ref="D45:O45" si="17">IF(ISNUMBER(D44),IF(AND(D37&gt;0,D37&lt;5),NA(),IF(ISNUMBER(D30),D30,NA())),NA())</f>
        <v>#N/A</v>
      </c>
      <c r="E45" s="43" t="e">
        <f t="shared" si="17"/>
        <v>#N/A</v>
      </c>
      <c r="F45" s="43" t="e">
        <f t="shared" si="17"/>
        <v>#N/A</v>
      </c>
      <c r="G45" s="43" t="e">
        <f t="shared" si="17"/>
        <v>#N/A</v>
      </c>
      <c r="H45" s="43" t="e">
        <f t="shared" si="17"/>
        <v>#N/A</v>
      </c>
      <c r="I45" s="43" t="e">
        <f t="shared" si="17"/>
        <v>#N/A</v>
      </c>
      <c r="J45" s="43" t="e">
        <f t="shared" si="17"/>
        <v>#N/A</v>
      </c>
      <c r="K45" s="43" t="e">
        <f t="shared" si="17"/>
        <v>#N/A</v>
      </c>
      <c r="L45" s="43" t="e">
        <f t="shared" si="17"/>
        <v>#N/A</v>
      </c>
      <c r="M45" s="43" t="e">
        <f t="shared" si="17"/>
        <v>#N/A</v>
      </c>
      <c r="N45" s="43" t="e">
        <f t="shared" si="17"/>
        <v>#N/A</v>
      </c>
      <c r="O45" s="43" t="e">
        <f t="shared" si="17"/>
        <v>#N/A</v>
      </c>
      <c r="P45" s="22"/>
      <c r="Q45" s="26"/>
    </row>
    <row r="46" spans="1:17" x14ac:dyDescent="0.25">
      <c r="A46"/>
      <c r="B46"/>
      <c r="C46" s="37" t="s">
        <v>519</v>
      </c>
      <c r="D46" s="24"/>
      <c r="E46" s="38">
        <f t="shared" ref="E46:O46" si="18">IF(OR(E36&lt;5,E39&lt;5),NA(),E41)</f>
        <v>0.47058823529411764</v>
      </c>
      <c r="F46" s="38">
        <f t="shared" si="18"/>
        <v>0.45</v>
      </c>
      <c r="G46" s="38">
        <f t="shared" si="18"/>
        <v>0.47368421052631576</v>
      </c>
      <c r="H46" s="38">
        <f t="shared" si="18"/>
        <v>0.45238095238095238</v>
      </c>
      <c r="I46" s="38">
        <f t="shared" si="18"/>
        <v>0.40425531914893614</v>
      </c>
      <c r="J46" s="38">
        <f t="shared" si="18"/>
        <v>0.34782608695652173</v>
      </c>
      <c r="K46" s="38">
        <f t="shared" si="18"/>
        <v>0.28888888888888886</v>
      </c>
      <c r="L46" s="38">
        <f t="shared" si="18"/>
        <v>0.27027027027027029</v>
      </c>
      <c r="M46" s="38">
        <f t="shared" si="18"/>
        <v>0.27777777777777779</v>
      </c>
      <c r="N46" s="38">
        <f t="shared" si="18"/>
        <v>0.30769230769230771</v>
      </c>
      <c r="O46" s="38" t="e">
        <f t="shared" si="18"/>
        <v>#N/A</v>
      </c>
      <c r="P46" s="22"/>
      <c r="Q46" s="26"/>
    </row>
    <row r="47" spans="1:17" x14ac:dyDescent="0.25">
      <c r="A47"/>
      <c r="B47"/>
      <c r="C47" s="37" t="s">
        <v>445</v>
      </c>
      <c r="D47" s="24"/>
      <c r="E47" s="24">
        <f t="shared" ref="E47:O47" si="19">SUM(C33:F33)</f>
        <v>14</v>
      </c>
      <c r="F47" s="24">
        <f t="shared" si="19"/>
        <v>18</v>
      </c>
      <c r="G47" s="24">
        <f t="shared" si="19"/>
        <v>18</v>
      </c>
      <c r="H47" s="24">
        <f t="shared" si="19"/>
        <v>16</v>
      </c>
      <c r="I47" s="24">
        <f t="shared" si="19"/>
        <v>22</v>
      </c>
      <c r="J47" s="24">
        <f t="shared" si="19"/>
        <v>23</v>
      </c>
      <c r="K47" s="24">
        <f t="shared" si="19"/>
        <v>23</v>
      </c>
      <c r="L47" s="24">
        <f t="shared" si="19"/>
        <v>22</v>
      </c>
      <c r="M47" s="24">
        <f t="shared" si="19"/>
        <v>14</v>
      </c>
      <c r="N47" s="24">
        <f t="shared" si="19"/>
        <v>20</v>
      </c>
      <c r="O47" s="24">
        <f t="shared" si="19"/>
        <v>17</v>
      </c>
      <c r="P47" s="22"/>
    </row>
    <row r="48" spans="1:17" x14ac:dyDescent="0.25">
      <c r="A48"/>
      <c r="B48"/>
      <c r="C48" s="37" t="s">
        <v>444</v>
      </c>
      <c r="D48" s="24"/>
      <c r="E48" s="43">
        <f t="shared" ref="E48:O48" si="20">E47/E35</f>
        <v>1</v>
      </c>
      <c r="F48" s="43">
        <f t="shared" si="20"/>
        <v>0.9</v>
      </c>
      <c r="G48" s="43">
        <f t="shared" si="20"/>
        <v>0.9</v>
      </c>
      <c r="H48" s="43">
        <f t="shared" si="20"/>
        <v>0.88888888888888884</v>
      </c>
      <c r="I48" s="43">
        <f t="shared" si="20"/>
        <v>0.91666666666666663</v>
      </c>
      <c r="J48" s="43">
        <f t="shared" si="20"/>
        <v>1</v>
      </c>
      <c r="K48" s="43">
        <f t="shared" si="20"/>
        <v>1</v>
      </c>
      <c r="L48" s="43">
        <f t="shared" si="20"/>
        <v>1</v>
      </c>
      <c r="M48" s="43">
        <f t="shared" si="20"/>
        <v>0.93333333333333335</v>
      </c>
      <c r="N48" s="43">
        <f t="shared" si="20"/>
        <v>0.95238095238095233</v>
      </c>
      <c r="O48" s="43">
        <f t="shared" si="20"/>
        <v>0.94444444444444442</v>
      </c>
      <c r="P48" s="22"/>
    </row>
    <row r="49" spans="1:16" x14ac:dyDescent="0.25">
      <c r="A49"/>
      <c r="B49"/>
      <c r="C49" s="24"/>
      <c r="D49" s="24"/>
      <c r="E49" s="24"/>
      <c r="F49" s="24"/>
      <c r="G49" s="24"/>
      <c r="H49" s="24"/>
      <c r="I49" s="24"/>
      <c r="J49" s="24"/>
      <c r="K49" s="24"/>
      <c r="L49" s="24"/>
      <c r="M49" s="24"/>
      <c r="N49" s="24"/>
      <c r="O49" s="24"/>
      <c r="P49"/>
    </row>
    <row r="50" spans="1:16" x14ac:dyDescent="0.25">
      <c r="A50" s="24"/>
      <c r="B50"/>
      <c r="C50" s="41" t="s">
        <v>426</v>
      </c>
      <c r="D50" s="44" t="s">
        <v>221</v>
      </c>
      <c r="E50" s="44" t="s">
        <v>443</v>
      </c>
      <c r="F50" s="44" t="s">
        <v>514</v>
      </c>
      <c r="G50" s="44" t="s">
        <v>515</v>
      </c>
      <c r="H50" s="44" t="s">
        <v>584</v>
      </c>
      <c r="I50" s="44" t="s">
        <v>585</v>
      </c>
      <c r="J50" s="44"/>
      <c r="K50" s="44"/>
      <c r="L50" s="44"/>
      <c r="M50" s="44"/>
      <c r="N50" s="44"/>
      <c r="O50" s="24"/>
      <c r="P50"/>
    </row>
    <row r="51" spans="1:16" x14ac:dyDescent="0.25">
      <c r="A51" s="24"/>
      <c r="B51" s="24"/>
      <c r="C51" s="41" t="s">
        <v>423</v>
      </c>
      <c r="D51" s="44">
        <f>IF(AND(F35&gt;0,F35&lt;5),"&lt;5",F35)</f>
        <v>20</v>
      </c>
      <c r="E51" s="46" t="str">
        <f>IF(F35&lt;5,"N/A",IF(AND(H51&gt;0,H51&lt;5),VLOOKUP(I51,$L$51:$M$54,2,TRUE),I51))</f>
        <v>70-100%</v>
      </c>
      <c r="F51" s="44">
        <f>IF(F35&lt;5,"N/A",IF(AND(F39&gt;0,F39&lt;5),VLOOKUP(J51,$L$51:$M$54,2,TRUE),J51))</f>
        <v>0.45</v>
      </c>
      <c r="G51" s="44"/>
      <c r="H51" s="44">
        <f>ROUND(D51*(1-I51),0)</f>
        <v>2</v>
      </c>
      <c r="I51" s="45">
        <f>F48</f>
        <v>0.9</v>
      </c>
      <c r="J51" s="45">
        <f>F41</f>
        <v>0.45</v>
      </c>
      <c r="K51" s="44"/>
      <c r="L51" s="44">
        <v>0</v>
      </c>
      <c r="M51" s="44" t="s">
        <v>586</v>
      </c>
      <c r="N51" s="44"/>
      <c r="O51" s="24"/>
      <c r="P51" s="24"/>
    </row>
    <row r="52" spans="1:16" x14ac:dyDescent="0.25">
      <c r="A52" s="24"/>
      <c r="B52" s="22"/>
      <c r="C52" s="41" t="s">
        <v>424</v>
      </c>
      <c r="D52" s="44">
        <f>IF(AND(J35&gt;0,J35&lt;5),"&lt;5",J35)</f>
        <v>23</v>
      </c>
      <c r="E52" s="46">
        <f>IF(J35&lt;5,"N/A",IF(AND(H52&gt;0,H52&lt;5),VLOOKUP(I52,$L$51:$M$54,2,TRUE),I52))</f>
        <v>1</v>
      </c>
      <c r="F52" s="44">
        <f>IF(J35&lt;5,"N/A",IF(AND(J39&gt;0,J39&lt;5),VLOOKUP(J52,$L$51:$M$54,2,TRUE),J52))</f>
        <v>0.34782608695652173</v>
      </c>
      <c r="G52" s="44"/>
      <c r="H52" s="44">
        <f>ROUND(D52*(1-I52),0)</f>
        <v>0</v>
      </c>
      <c r="I52" s="45">
        <f>J48</f>
        <v>1</v>
      </c>
      <c r="J52" s="45">
        <f>J41</f>
        <v>0.34782608695652173</v>
      </c>
      <c r="K52" s="44"/>
      <c r="L52" s="44">
        <v>0.35</v>
      </c>
      <c r="M52" s="44" t="s">
        <v>587</v>
      </c>
      <c r="N52" s="44"/>
      <c r="O52" s="24"/>
      <c r="P52" s="22"/>
    </row>
    <row r="53" spans="1:16" x14ac:dyDescent="0.25">
      <c r="A53" s="24"/>
      <c r="B53" s="22"/>
      <c r="C53" s="41" t="s">
        <v>425</v>
      </c>
      <c r="D53" s="44">
        <f>IF(AND(N35&gt;0,N35&lt;5),"&lt;5",N35)</f>
        <v>21</v>
      </c>
      <c r="E53" s="46" t="str">
        <f>IF(N35&lt;5,"N/A",IF(AND(H53&gt;0,H53&lt;5),VLOOKUP(I53,$L$51:$M$54,2,TRUE),I53))</f>
        <v>70-100%</v>
      </c>
      <c r="F53" s="44">
        <f>IF(N35&lt;5,"N/A",IF(AND(N39&gt;0,N39&lt;5),VLOOKUP(J53,$L$51:$M$54,2,TRUE),J53))</f>
        <v>0.30769230769230771</v>
      </c>
      <c r="G53" s="44"/>
      <c r="H53" s="44">
        <f>ROUND(D53*(1-I53),0)</f>
        <v>1</v>
      </c>
      <c r="I53" s="45">
        <f>N48</f>
        <v>0.95238095238095233</v>
      </c>
      <c r="J53" s="45">
        <f>N41</f>
        <v>0.30769230769230771</v>
      </c>
      <c r="K53" s="44"/>
      <c r="L53" s="44">
        <v>0.7</v>
      </c>
      <c r="M53" s="44" t="s">
        <v>588</v>
      </c>
      <c r="N53" s="44"/>
      <c r="O53" s="24"/>
      <c r="P53" s="22"/>
    </row>
    <row r="54" spans="1:16" x14ac:dyDescent="0.25">
      <c r="A54" s="24"/>
      <c r="B54" s="22"/>
      <c r="C54" s="44"/>
      <c r="D54" s="44"/>
      <c r="E54" s="44"/>
      <c r="F54" s="44"/>
      <c r="G54" s="44"/>
      <c r="H54" s="44"/>
      <c r="I54" s="44"/>
      <c r="J54" s="44"/>
      <c r="K54" s="44"/>
      <c r="L54" s="44">
        <v>1</v>
      </c>
      <c r="M54" s="44" t="s">
        <v>588</v>
      </c>
      <c r="N54" s="44"/>
      <c r="O54" s="24"/>
      <c r="P54" s="22"/>
    </row>
    <row r="55" spans="1:16" x14ac:dyDescent="0.25">
      <c r="A55" s="24"/>
      <c r="B55" s="24"/>
      <c r="C55" s="24"/>
      <c r="D55" s="24"/>
      <c r="E55" s="24"/>
      <c r="F55" s="24"/>
      <c r="G55" s="24"/>
      <c r="H55" s="24"/>
      <c r="I55" s="24"/>
      <c r="J55" s="24"/>
      <c r="K55" s="24"/>
      <c r="L55" s="24"/>
      <c r="M55" s="24"/>
      <c r="N55" s="24"/>
      <c r="O55" s="24"/>
      <c r="P55" s="22"/>
    </row>
    <row r="56" spans="1:16" x14ac:dyDescent="0.25">
      <c r="A56" s="24"/>
      <c r="B56" s="24"/>
      <c r="C56" s="24"/>
      <c r="D56" s="24"/>
      <c r="E56" s="24"/>
      <c r="F56" s="24"/>
      <c r="G56" s="24"/>
      <c r="H56" s="24"/>
      <c r="I56" s="24"/>
      <c r="J56" s="24"/>
      <c r="K56" s="24"/>
      <c r="L56" s="24"/>
      <c r="M56" s="24"/>
      <c r="N56" s="24"/>
      <c r="O56" s="24"/>
      <c r="P56" s="22"/>
    </row>
    <row r="57" spans="1:16" x14ac:dyDescent="0.25">
      <c r="A57" s="24"/>
      <c r="B57" s="24"/>
      <c r="C57" s="24"/>
      <c r="D57" s="24"/>
      <c r="E57" s="24"/>
      <c r="F57" s="24"/>
      <c r="G57" s="24"/>
      <c r="H57" s="24"/>
      <c r="I57" s="24"/>
      <c r="J57" s="24"/>
      <c r="K57" s="24"/>
      <c r="L57" s="24"/>
      <c r="M57" s="24"/>
      <c r="N57" s="24"/>
      <c r="O57" s="24"/>
      <c r="P57" s="22"/>
    </row>
    <row r="58" spans="1:16" x14ac:dyDescent="0.25">
      <c r="A58" s="24"/>
      <c r="B58" s="24"/>
      <c r="C58" s="24"/>
      <c r="D58" s="24"/>
      <c r="E58" s="24"/>
      <c r="F58" s="24"/>
      <c r="G58" s="24"/>
      <c r="H58" s="24"/>
      <c r="I58" s="24"/>
      <c r="J58" s="24"/>
      <c r="K58" s="24"/>
      <c r="L58" s="24"/>
      <c r="M58" s="24"/>
      <c r="N58" s="24"/>
      <c r="O58" s="24"/>
      <c r="P58" s="22"/>
    </row>
    <row r="59" spans="1:16" x14ac:dyDescent="0.25">
      <c r="A59" s="24"/>
      <c r="B59" s="24"/>
      <c r="C59" s="24"/>
      <c r="D59" s="24"/>
      <c r="E59" s="24"/>
      <c r="F59" s="24">
        <v>5</v>
      </c>
      <c r="G59" s="24"/>
      <c r="H59" s="24"/>
      <c r="I59" s="24"/>
      <c r="J59" s="24"/>
      <c r="K59" s="24"/>
      <c r="L59" s="24"/>
      <c r="M59" s="24"/>
      <c r="N59" s="24"/>
      <c r="O59" s="24"/>
      <c r="P59" s="22"/>
    </row>
    <row r="60" spans="1:16" x14ac:dyDescent="0.25">
      <c r="A60" s="24"/>
      <c r="B60" s="24"/>
      <c r="C60" s="24"/>
      <c r="D60" s="24"/>
      <c r="E60" s="24">
        <v>0</v>
      </c>
      <c r="F60" s="24">
        <f t="shared" ref="F60:F68" si="21">E60/F$59</f>
        <v>0</v>
      </c>
      <c r="G60" s="24"/>
      <c r="H60" s="24" t="s">
        <v>586</v>
      </c>
      <c r="I60" s="24"/>
      <c r="J60" s="24"/>
      <c r="K60" s="24"/>
      <c r="L60" s="24"/>
      <c r="M60" s="24"/>
      <c r="N60" s="24"/>
      <c r="O60" s="24"/>
      <c r="P60" s="22"/>
    </row>
    <row r="61" spans="1:16" x14ac:dyDescent="0.25">
      <c r="A61" s="24"/>
      <c r="B61" s="24"/>
      <c r="C61" s="24"/>
      <c r="D61" s="24"/>
      <c r="E61" s="24">
        <v>1</v>
      </c>
      <c r="F61" s="24">
        <f t="shared" si="21"/>
        <v>0.2</v>
      </c>
      <c r="G61" s="24"/>
      <c r="H61" s="24" t="s">
        <v>586</v>
      </c>
      <c r="I61" s="24"/>
      <c r="J61" s="24"/>
      <c r="K61" s="24"/>
      <c r="L61" s="24"/>
      <c r="M61" s="24"/>
      <c r="N61" s="24"/>
      <c r="O61" s="24"/>
      <c r="P61" s="22"/>
    </row>
    <row r="62" spans="1:16" x14ac:dyDescent="0.25">
      <c r="A62" s="24"/>
      <c r="B62" s="24"/>
      <c r="C62" s="24"/>
      <c r="D62" s="24"/>
      <c r="E62" s="24">
        <v>2</v>
      </c>
      <c r="F62" s="24">
        <f t="shared" si="21"/>
        <v>0.4</v>
      </c>
      <c r="G62" s="24"/>
      <c r="H62" s="24" t="s">
        <v>586</v>
      </c>
      <c r="I62" s="24"/>
      <c r="J62" s="24"/>
      <c r="K62" s="24"/>
      <c r="L62" s="24"/>
      <c r="M62" s="24"/>
      <c r="N62" s="24"/>
      <c r="O62" s="24"/>
      <c r="P62" s="22"/>
    </row>
    <row r="63" spans="1:16" x14ac:dyDescent="0.25">
      <c r="A63" s="24"/>
      <c r="B63" s="24"/>
      <c r="C63" s="24"/>
      <c r="D63" s="24"/>
      <c r="E63" s="24">
        <v>3</v>
      </c>
      <c r="F63" s="24">
        <f t="shared" si="21"/>
        <v>0.6</v>
      </c>
      <c r="G63" s="24"/>
      <c r="H63" s="24" t="s">
        <v>587</v>
      </c>
      <c r="I63" s="24"/>
      <c r="J63" s="24"/>
      <c r="K63" s="24"/>
      <c r="L63" s="24"/>
      <c r="M63" s="24"/>
      <c r="N63" s="24"/>
      <c r="O63" s="24"/>
      <c r="P63" s="22"/>
    </row>
    <row r="64" spans="1:16" x14ac:dyDescent="0.25">
      <c r="A64" s="24"/>
      <c r="B64" s="24"/>
      <c r="C64" s="24"/>
      <c r="D64" s="24"/>
      <c r="E64" s="24">
        <v>4</v>
      </c>
      <c r="F64" s="24">
        <f t="shared" si="21"/>
        <v>0.8</v>
      </c>
      <c r="G64" s="24"/>
      <c r="H64" s="24" t="s">
        <v>587</v>
      </c>
      <c r="I64" s="24"/>
      <c r="J64" s="24"/>
      <c r="K64" s="24"/>
      <c r="L64" s="24"/>
      <c r="M64" s="24"/>
      <c r="N64" s="24"/>
      <c r="O64" s="24"/>
      <c r="P64" s="22"/>
    </row>
    <row r="65" spans="1:16" x14ac:dyDescent="0.25">
      <c r="A65" s="24"/>
      <c r="B65" s="24"/>
      <c r="C65" s="24"/>
      <c r="D65" s="24"/>
      <c r="E65" s="24">
        <v>5</v>
      </c>
      <c r="F65" s="24">
        <f t="shared" si="21"/>
        <v>1</v>
      </c>
      <c r="G65" s="24"/>
      <c r="H65" s="24" t="s">
        <v>588</v>
      </c>
      <c r="I65" s="24"/>
      <c r="J65" s="24"/>
      <c r="K65" s="24"/>
      <c r="L65" s="24"/>
      <c r="M65" s="24"/>
      <c r="N65" s="24"/>
      <c r="O65" s="24"/>
      <c r="P65" s="22"/>
    </row>
    <row r="66" spans="1:16" x14ac:dyDescent="0.25">
      <c r="A66" s="24"/>
      <c r="B66" s="24"/>
      <c r="C66" s="24"/>
      <c r="D66" s="24"/>
      <c r="E66" s="24">
        <v>6</v>
      </c>
      <c r="F66" s="24">
        <f t="shared" si="21"/>
        <v>1.2</v>
      </c>
      <c r="G66" s="24"/>
      <c r="H66" s="24" t="s">
        <v>588</v>
      </c>
      <c r="I66" s="24"/>
      <c r="J66" s="24"/>
      <c r="K66" s="24"/>
      <c r="L66" s="24"/>
      <c r="M66" s="24"/>
      <c r="N66" s="24"/>
      <c r="O66" s="24"/>
      <c r="P66" s="22"/>
    </row>
    <row r="67" spans="1:16" x14ac:dyDescent="0.25">
      <c r="A67" s="24"/>
      <c r="B67" s="24"/>
      <c r="C67" s="24"/>
      <c r="D67" s="24"/>
      <c r="E67" s="24">
        <v>7</v>
      </c>
      <c r="F67" s="24">
        <f t="shared" si="21"/>
        <v>1.4</v>
      </c>
      <c r="G67" s="24"/>
      <c r="H67" s="24"/>
      <c r="I67" s="24"/>
      <c r="J67" s="24"/>
      <c r="K67" s="24"/>
      <c r="L67" s="24"/>
      <c r="M67" s="24"/>
      <c r="N67" s="24"/>
      <c r="O67" s="24"/>
      <c r="P67" s="22"/>
    </row>
    <row r="68" spans="1:16" x14ac:dyDescent="0.25">
      <c r="A68" s="24"/>
      <c r="B68" s="24"/>
      <c r="C68" s="24"/>
      <c r="D68" s="24"/>
      <c r="E68" s="24">
        <f>E67+1</f>
        <v>8</v>
      </c>
      <c r="F68" s="24">
        <f t="shared" si="21"/>
        <v>1.6</v>
      </c>
      <c r="G68" s="24"/>
      <c r="H68" s="24"/>
      <c r="I68" s="24"/>
      <c r="J68" s="24"/>
      <c r="K68" s="24"/>
      <c r="L68" s="24"/>
      <c r="M68" s="24"/>
      <c r="N68" s="24"/>
      <c r="O68" s="24"/>
      <c r="P68" s="22"/>
    </row>
    <row r="71" spans="1:16" x14ac:dyDescent="0.25">
      <c r="A71" s="48" t="s">
        <v>441</v>
      </c>
      <c r="B71" s="24"/>
      <c r="C71" s="24"/>
      <c r="D71" s="24"/>
      <c r="E71" s="24"/>
      <c r="F71" s="24"/>
      <c r="G71" s="24"/>
      <c r="H71" s="24"/>
      <c r="I71" s="24"/>
      <c r="J71" s="24"/>
      <c r="K71" s="24"/>
      <c r="L71" s="24"/>
      <c r="M71" s="24"/>
      <c r="N71" s="24"/>
    </row>
    <row r="72" spans="1:16" x14ac:dyDescent="0.25">
      <c r="A72" s="24"/>
      <c r="B72" s="24"/>
      <c r="C72" s="24"/>
      <c r="D72" s="24"/>
      <c r="E72" s="24"/>
      <c r="F72" s="24"/>
      <c r="G72" s="24"/>
      <c r="H72" s="24"/>
      <c r="I72" s="24"/>
      <c r="J72" s="24"/>
      <c r="K72" s="24"/>
      <c r="L72" s="24"/>
      <c r="M72" s="24"/>
      <c r="N72" s="24"/>
    </row>
    <row r="73" spans="1:16" x14ac:dyDescent="0.25">
      <c r="A73" s="24"/>
      <c r="B73" s="24"/>
      <c r="C73" s="85">
        <v>2020</v>
      </c>
      <c r="D73" s="85"/>
      <c r="E73" s="84">
        <v>2021</v>
      </c>
      <c r="F73" s="84"/>
      <c r="G73" s="84"/>
      <c r="H73" s="84"/>
      <c r="I73" s="84">
        <v>2022</v>
      </c>
      <c r="J73" s="84"/>
      <c r="K73" s="84"/>
      <c r="L73" s="84"/>
      <c r="M73" s="84">
        <v>2023</v>
      </c>
      <c r="N73" s="84"/>
    </row>
    <row r="74" spans="1:16" x14ac:dyDescent="0.25">
      <c r="A74" s="24"/>
      <c r="B74" s="24"/>
      <c r="C74" s="35" t="s">
        <v>126</v>
      </c>
      <c r="D74" s="35" t="s">
        <v>207</v>
      </c>
      <c r="E74" s="35" t="s">
        <v>125</v>
      </c>
      <c r="F74" s="35" t="s">
        <v>206</v>
      </c>
      <c r="G74" s="35" t="s">
        <v>126</v>
      </c>
      <c r="H74" s="35" t="s">
        <v>207</v>
      </c>
      <c r="I74" s="35" t="s">
        <v>125</v>
      </c>
      <c r="J74" s="35" t="s">
        <v>206</v>
      </c>
      <c r="K74" s="35" t="s">
        <v>126</v>
      </c>
      <c r="L74" s="35" t="s">
        <v>207</v>
      </c>
      <c r="M74" s="35" t="s">
        <v>125</v>
      </c>
      <c r="N74" s="35" t="s">
        <v>206</v>
      </c>
    </row>
    <row r="75" spans="1:16" x14ac:dyDescent="0.25">
      <c r="A75" s="24"/>
      <c r="B75" s="42" t="s">
        <v>336</v>
      </c>
      <c r="C75" s="24">
        <f>VLOOKUP('LL Revasc Quarterly Report'!$C$5,'LL Revasc Quarterly Results'!$A:$BV,6,FALSE)</f>
        <v>13</v>
      </c>
      <c r="D75" s="24">
        <f>VLOOKUP('LL Revasc Quarterly Report'!$C$5,'LL Revasc Quarterly Results'!$A:$BV,12,FALSE)</f>
        <v>10</v>
      </c>
      <c r="E75" s="24">
        <f>VLOOKUP('LL Revasc Quarterly Report'!$C$5,'LL Revasc Quarterly Results'!$A:$BV,18,FALSE)</f>
        <v>11</v>
      </c>
      <c r="F75" s="24">
        <f>VLOOKUP('LL Revasc Quarterly Report'!$C$5,'LL Revasc Quarterly Results'!$A:$BV,24,FALSE)</f>
        <v>7</v>
      </c>
      <c r="G75" s="24">
        <f>VLOOKUP('LL Revasc Quarterly Report'!$C$5,'LL Revasc Quarterly Results'!$A:$BV,30,FALSE)</f>
        <v>8</v>
      </c>
      <c r="H75" s="24">
        <f>VLOOKUP('LL Revasc Quarterly Report'!$C$5,'LL Revasc Quarterly Results'!$A:$BV,36,FALSE)</f>
        <v>20</v>
      </c>
      <c r="I75" s="24">
        <f>VLOOKUP('LL Revasc Quarterly Report'!$C$5,'LL Revasc Quarterly Results'!$A:$BV,42,FALSE)</f>
        <v>18</v>
      </c>
      <c r="J75" s="24">
        <f>VLOOKUP('LL Revasc Quarterly Report'!$C$5,'LL Revasc Quarterly Results'!$A:$BV,48,FALSE)</f>
        <v>7</v>
      </c>
      <c r="K75" s="24">
        <f>VLOOKUP('LL Revasc Quarterly Report'!$C$5,'LL Revasc Quarterly Results'!$A:$BV,54,FALSE)</f>
        <v>10</v>
      </c>
      <c r="L75" s="24">
        <f>VLOOKUP('LL Revasc Quarterly Report'!$C$5,'LL Revasc Quarterly Results'!$A:$BV,60,FALSE)</f>
        <v>5</v>
      </c>
      <c r="M75" s="24">
        <f>VLOOKUP('LL Revasc Quarterly Report'!$C$5,'LL Revasc Quarterly Results'!$A:$BV,66,FALSE)</f>
        <v>2</v>
      </c>
      <c r="N75" s="24">
        <f>VLOOKUP('LL Revasc Quarterly Report'!$C$5,'LL Revasc Quarterly Results'!$A:$BV,72,FALSE)</f>
        <v>0</v>
      </c>
    </row>
    <row r="76" spans="1:16" x14ac:dyDescent="0.25">
      <c r="A76" s="24"/>
      <c r="B76" s="42" t="s">
        <v>520</v>
      </c>
      <c r="C76" s="38">
        <f>VLOOKUP('LL Revasc Quarterly Report'!$C$5,'LL Revasc Quarterly Results'!$A:$BV,8,FALSE)</f>
        <v>0.23</v>
      </c>
      <c r="D76" s="38">
        <f>VLOOKUP('LL Revasc Quarterly Report'!$C$5,'LL Revasc Quarterly Results'!$A:$BV,14,FALSE)</f>
        <v>0.5</v>
      </c>
      <c r="E76" s="38">
        <f>VLOOKUP('LL Revasc Quarterly Report'!$C$5,'LL Revasc Quarterly Results'!$A:$BV,20,FALSE)</f>
        <v>0.45</v>
      </c>
      <c r="F76" s="38">
        <f>VLOOKUP('LL Revasc Quarterly Report'!$C$5,'LL Revasc Quarterly Results'!$A:$BV,26,FALSE)</f>
        <v>0.43</v>
      </c>
      <c r="G76" s="38">
        <f>VLOOKUP('LL Revasc Quarterly Report'!$C$5,'LL Revasc Quarterly Results'!$A:$BV,32,FALSE)</f>
        <v>0.63</v>
      </c>
      <c r="H76" s="38">
        <f>VLOOKUP('LL Revasc Quarterly Report'!$C$5,'LL Revasc Quarterly Results'!$A:$BV,38,FALSE)</f>
        <v>0.55000000000000004</v>
      </c>
      <c r="I76" s="38">
        <f>VLOOKUP('LL Revasc Quarterly Report'!$C$5,'LL Revasc Quarterly Results'!$A:$BV,44,FALSE)</f>
        <v>0.28000000000000003</v>
      </c>
      <c r="J76" s="38">
        <f>VLOOKUP('LL Revasc Quarterly Report'!$C$5,'LL Revasc Quarterly Results'!$A:$BV,50,FALSE)</f>
        <v>0.56999999999999995</v>
      </c>
      <c r="K76" s="38">
        <f>VLOOKUP('LL Revasc Quarterly Report'!$C$5,'LL Revasc Quarterly Results'!$A:$BV,56,FALSE)</f>
        <v>0.5</v>
      </c>
      <c r="L76" s="38">
        <f>VLOOKUP('LL Revasc Quarterly Report'!$C$5,'LL Revasc Quarterly Results'!$A:$BV,62,FALSE)</f>
        <v>0</v>
      </c>
      <c r="M76" s="38">
        <f>VLOOKUP('LL Revasc Quarterly Report'!$C$5,'LL Revasc Quarterly Results'!$A:$BV,68,FALSE)</f>
        <v>0.5</v>
      </c>
      <c r="N76" s="38" t="str">
        <f>VLOOKUP('LL Revasc Quarterly Report'!$C$5,'LL Revasc Quarterly Results'!$A:$BV,74,FALSE)</f>
        <v>N/A</v>
      </c>
    </row>
    <row r="77" spans="1:16" x14ac:dyDescent="0.25">
      <c r="A77" s="24"/>
      <c r="B77" s="37" t="s">
        <v>333</v>
      </c>
      <c r="C77" s="24">
        <f>VLOOKUP('LL Revasc Quarterly Report'!$C$5,'LL Revasc Quarterly Results'!$A:$BV,3,FALSE)</f>
        <v>40</v>
      </c>
      <c r="D77" s="24">
        <f>VLOOKUP('LL Revasc Quarterly Report'!$C$5,'LL Revasc Quarterly Results'!$A:$BV,9,FALSE)</f>
        <v>32</v>
      </c>
      <c r="E77" s="24">
        <f>VLOOKUP('LL Revasc Quarterly Report'!$C$5,'LL Revasc Quarterly Results'!$A:$BV,15,FALSE)</f>
        <v>27</v>
      </c>
      <c r="F77" s="24">
        <f>VLOOKUP('LL Revasc Quarterly Report'!$C$5,'LL Revasc Quarterly Results'!$A:$BV,21,FALSE)</f>
        <v>33</v>
      </c>
      <c r="G77" s="24">
        <f>VLOOKUP('LL Revasc Quarterly Report'!$C$5,'LL Revasc Quarterly Results'!$A:$BV,27,FALSE)</f>
        <v>43</v>
      </c>
      <c r="H77" s="24">
        <f>VLOOKUP('LL Revasc Quarterly Report'!$C$5,'LL Revasc Quarterly Results'!$A:$BV,33,FALSE)</f>
        <v>24</v>
      </c>
      <c r="I77" s="24">
        <f>VLOOKUP('LL Revasc Quarterly Report'!$C$5,'LL Revasc Quarterly Results'!$A:$BV,39,FALSE)</f>
        <v>31</v>
      </c>
      <c r="J77" s="24">
        <f>VLOOKUP('LL Revasc Quarterly Report'!$C$5,'LL Revasc Quarterly Results'!$A:$BV,45,FALSE)</f>
        <v>35</v>
      </c>
      <c r="K77" s="24">
        <f>VLOOKUP('LL Revasc Quarterly Report'!$C$5,'LL Revasc Quarterly Results'!$A:$BV,51,FALSE)</f>
        <v>32</v>
      </c>
      <c r="L77" s="24">
        <f>VLOOKUP('LL Revasc Quarterly Report'!$C$5,'LL Revasc Quarterly Results'!$A:$BV,57,FALSE)</f>
        <v>16</v>
      </c>
      <c r="M77" s="24">
        <f>VLOOKUP('LL Revasc Quarterly Report'!$C$5,'LL Revasc Quarterly Results'!$A:$BV,64,FALSE)</f>
        <v>5</v>
      </c>
      <c r="N77" s="24">
        <f>VLOOKUP('LL Revasc Quarterly Report'!$C$5,'LL Revasc Quarterly Results'!$A:$BV,69,FALSE)</f>
        <v>1</v>
      </c>
    </row>
    <row r="78" spans="1:16" x14ac:dyDescent="0.25">
      <c r="A78" s="24"/>
      <c r="B78" s="37" t="s">
        <v>334</v>
      </c>
      <c r="C78" s="24">
        <f>VLOOKUP('LL Revasc Quarterly Report'!$C$5,'LL Revasc Quarterly Results'!$A:$BV,4,FALSE)</f>
        <v>7</v>
      </c>
      <c r="D78" s="24">
        <f>VLOOKUP('LL Revasc Quarterly Report'!$C$5,'LL Revasc Quarterly Results'!$A:$BV,11,FALSE)</f>
        <v>0</v>
      </c>
      <c r="E78" s="24">
        <f>VLOOKUP('LL Revasc Quarterly Report'!$C$5,'LL Revasc Quarterly Results'!$A:$BV,16,FALSE)</f>
        <v>8</v>
      </c>
      <c r="F78" s="24">
        <f>VLOOKUP('LL Revasc Quarterly Report'!$C$5,'LL Revasc Quarterly Results'!$A:$BV,22,FALSE)</f>
        <v>10</v>
      </c>
      <c r="G78" s="24">
        <f>VLOOKUP('LL Revasc Quarterly Report'!$C$5,'LL Revasc Quarterly Results'!$A:$BV,28,FALSE)</f>
        <v>3</v>
      </c>
      <c r="H78" s="24">
        <f>VLOOKUP('LL Revasc Quarterly Report'!$C$5,'LL Revasc Quarterly Results'!$A:$BV,34,FALSE)</f>
        <v>10</v>
      </c>
      <c r="I78" s="24">
        <f>VLOOKUP('LL Revasc Quarterly Report'!$C$5,'LL Revasc Quarterly Results'!$A:$BV,40,FALSE)</f>
        <v>6</v>
      </c>
      <c r="J78" s="24">
        <f>VLOOKUP('LL Revasc Quarterly Report'!$C$5,'LL Revasc Quarterly Results'!$A:$BV,46,FALSE)</f>
        <v>6</v>
      </c>
      <c r="K78" s="24">
        <f>VLOOKUP('LL Revasc Quarterly Report'!$C$5,'LL Revasc Quarterly Results'!$A:$BV,52,FALSE)</f>
        <v>6</v>
      </c>
      <c r="L78" s="24">
        <f>VLOOKUP('LL Revasc Quarterly Report'!$C$5,'LL Revasc Quarterly Results'!$A:$BV,58,FALSE)</f>
        <v>6</v>
      </c>
      <c r="M78" s="24">
        <f>VLOOKUP('LL Revasc Quarterly Report'!$C$5,'LL Revasc Quarterly Results'!$A:$BV,65,FALSE)</f>
        <v>0</v>
      </c>
      <c r="N78" s="24">
        <f>VLOOKUP('LL Revasc Quarterly Report'!$C$5,'LL Revasc Quarterly Results'!$A:$BV,70,FALSE)</f>
        <v>13</v>
      </c>
    </row>
    <row r="79" spans="1:16" x14ac:dyDescent="0.25">
      <c r="A79" s="24"/>
      <c r="B79" s="37" t="s">
        <v>335</v>
      </c>
      <c r="C79" s="24">
        <f>VLOOKUP('LL Revasc Quarterly Report'!$C$5,'LL Revasc Quarterly Results'!$A:$BV,5,FALSE)</f>
        <v>0</v>
      </c>
      <c r="D79" s="24">
        <f>VLOOKUP('LL Revasc Quarterly Report'!$C$5,'LL Revasc Quarterly Results'!$A:$BV,5,FALSE)</f>
        <v>0</v>
      </c>
      <c r="E79" s="24">
        <f>VLOOKUP('LL Revasc Quarterly Report'!$C$5,'LL Revasc Quarterly Results'!$A:$BV,17,FALSE)</f>
        <v>0</v>
      </c>
      <c r="F79" s="24">
        <f>VLOOKUP('LL Revasc Quarterly Report'!$C$5,'LL Revasc Quarterly Results'!$A:$BV,23,FALSE)</f>
        <v>1</v>
      </c>
      <c r="G79" s="24">
        <f>VLOOKUP('LL Revasc Quarterly Report'!$C$5,'LL Revasc Quarterly Results'!$A:$BV,29,FALSE)</f>
        <v>1</v>
      </c>
      <c r="H79" s="24">
        <f>VLOOKUP('LL Revasc Quarterly Report'!$C$5,'LL Revasc Quarterly Results'!$A:$BV,35,FALSE)</f>
        <v>5</v>
      </c>
      <c r="I79" s="24">
        <f>VLOOKUP('LL Revasc Quarterly Report'!$C$5,'LL Revasc Quarterly Results'!$A:$BV,41,FALSE)</f>
        <v>4</v>
      </c>
      <c r="J79" s="24">
        <f>VLOOKUP('LL Revasc Quarterly Report'!$C$5,'LL Revasc Quarterly Results'!$A:$BV,47,FALSE)</f>
        <v>5</v>
      </c>
      <c r="K79" s="24">
        <f>VLOOKUP('LL Revasc Quarterly Report'!$C$5,'LL Revasc Quarterly Results'!$A:$BV,53,FALSE)</f>
        <v>2</v>
      </c>
      <c r="L79" s="24">
        <f>VLOOKUP('LL Revasc Quarterly Report'!$C$5,'LL Revasc Quarterly Results'!$A:$BV,59,FALSE)</f>
        <v>0</v>
      </c>
      <c r="M79" s="24">
        <f>VLOOKUP('LL Revasc Quarterly Report'!$C$5,'LL Revasc Quarterly Results'!$A:$BV,66,FALSE)</f>
        <v>2</v>
      </c>
      <c r="N79" s="24">
        <f>VLOOKUP('LL Revasc Quarterly Report'!$C$5,'LL Revasc Quarterly Results'!$A:$BV,72,FALSE)</f>
        <v>0</v>
      </c>
    </row>
    <row r="80" spans="1:16" x14ac:dyDescent="0.25">
      <c r="A80" s="24"/>
      <c r="B80" s="24"/>
      <c r="C80" s="24"/>
      <c r="D80" s="24"/>
      <c r="E80" s="24"/>
      <c r="F80" s="24"/>
      <c r="G80" s="24"/>
      <c r="H80" s="24"/>
      <c r="I80" s="24"/>
      <c r="J80" s="24"/>
      <c r="K80" s="24"/>
      <c r="L80" s="24"/>
      <c r="M80" s="24"/>
      <c r="N80" s="24"/>
    </row>
    <row r="81" spans="1:14" x14ac:dyDescent="0.25">
      <c r="A81" s="24"/>
      <c r="B81" s="37" t="s">
        <v>404</v>
      </c>
      <c r="C81" s="24"/>
      <c r="D81" s="24">
        <f t="shared" ref="D81:M81" si="22">SUM(B75:E75)</f>
        <v>34</v>
      </c>
      <c r="E81" s="24">
        <f t="shared" si="22"/>
        <v>41</v>
      </c>
      <c r="F81" s="24">
        <f t="shared" si="22"/>
        <v>36</v>
      </c>
      <c r="G81" s="24">
        <f t="shared" si="22"/>
        <v>46</v>
      </c>
      <c r="H81" s="24">
        <f t="shared" si="22"/>
        <v>53</v>
      </c>
      <c r="I81" s="24">
        <f t="shared" si="22"/>
        <v>53</v>
      </c>
      <c r="J81" s="24">
        <f t="shared" si="22"/>
        <v>55</v>
      </c>
      <c r="K81" s="24">
        <f t="shared" si="22"/>
        <v>40</v>
      </c>
      <c r="L81" s="24">
        <f t="shared" si="22"/>
        <v>24</v>
      </c>
      <c r="M81" s="24">
        <f t="shared" si="22"/>
        <v>17</v>
      </c>
      <c r="N81" s="24">
        <f>SUM(L75:N75)</f>
        <v>7</v>
      </c>
    </row>
    <row r="82" spans="1:14" x14ac:dyDescent="0.25">
      <c r="A82" s="24"/>
      <c r="B82" s="37" t="s">
        <v>405</v>
      </c>
      <c r="C82" s="24"/>
      <c r="D82" s="24">
        <f t="shared" ref="D82:L82" si="23">(SUM(C75:F75)+D81)/2</f>
        <v>37.5</v>
      </c>
      <c r="E82" s="24">
        <f t="shared" si="23"/>
        <v>38.5</v>
      </c>
      <c r="F82" s="24">
        <f t="shared" si="23"/>
        <v>41</v>
      </c>
      <c r="G82" s="24">
        <f t="shared" si="23"/>
        <v>49.5</v>
      </c>
      <c r="H82" s="24">
        <f t="shared" si="23"/>
        <v>53</v>
      </c>
      <c r="I82" s="24">
        <f t="shared" si="23"/>
        <v>54</v>
      </c>
      <c r="J82" s="24">
        <f t="shared" si="23"/>
        <v>47.5</v>
      </c>
      <c r="K82" s="24">
        <f t="shared" si="23"/>
        <v>32</v>
      </c>
      <c r="L82" s="24">
        <f t="shared" si="23"/>
        <v>20.5</v>
      </c>
      <c r="M82" s="24">
        <f>(SUM(L75:N75)+M81)/2</f>
        <v>12</v>
      </c>
      <c r="N82" s="24">
        <f>(SUM(M75:N75)+N81)/2</f>
        <v>4.5</v>
      </c>
    </row>
    <row r="83" spans="1:14" x14ac:dyDescent="0.25">
      <c r="A83" s="24"/>
      <c r="B83" s="37" t="s">
        <v>406</v>
      </c>
      <c r="C83" s="24">
        <f>VLOOKUP('LL Revasc Quarterly Report'!$C$5,'LL Revasc Quarterly Results'!$A:$BV,7,FALSE)</f>
        <v>3</v>
      </c>
      <c r="D83" s="24">
        <f>VLOOKUP('LL Revasc Quarterly Report'!$C$5,'LL Revasc Quarterly Results'!$A:$BV,13,FALSE)</f>
        <v>5</v>
      </c>
      <c r="E83" s="24">
        <f>VLOOKUP('LL Revasc Quarterly Report'!$C$5,'LL Revasc Quarterly Results'!$A:$BV,19,FALSE)</f>
        <v>5</v>
      </c>
      <c r="F83" s="24">
        <f>VLOOKUP('LL Revasc Quarterly Report'!$C$5,'LL Revasc Quarterly Results'!$A:$BV,25,FALSE)</f>
        <v>3</v>
      </c>
      <c r="G83" s="24">
        <f>VLOOKUP('LL Revasc Quarterly Report'!$C$5,'LL Revasc Quarterly Results'!$A:$BV,31,FALSE)</f>
        <v>5</v>
      </c>
      <c r="H83" s="24">
        <f>VLOOKUP('LL Revasc Quarterly Report'!$C$5,'LL Revasc Quarterly Results'!$A:$BV,37,FALSE)</f>
        <v>11</v>
      </c>
      <c r="I83" s="24">
        <f>VLOOKUP('LL Revasc Quarterly Report'!$C$5,'LL Revasc Quarterly Results'!$A:$BV,43,FALSE)</f>
        <v>5</v>
      </c>
      <c r="J83" s="24">
        <f>VLOOKUP('LL Revasc Quarterly Report'!$C$5,'LL Revasc Quarterly Results'!$A:$BV,49,FALSE)</f>
        <v>4</v>
      </c>
      <c r="K83" s="24">
        <f>VLOOKUP('LL Revasc Quarterly Report'!$C$5,'LL Revasc Quarterly Results'!$A:$BV,55,FALSE)</f>
        <v>5</v>
      </c>
      <c r="L83" s="24">
        <f>VLOOKUP('LL Revasc Quarterly Report'!$C$5,'LL Revasc Quarterly Results'!$A:$BV,61,FALSE)</f>
        <v>0</v>
      </c>
      <c r="M83" s="24">
        <f>VLOOKUP('LL Revasc Quarterly Report'!$C$5,'LL Revasc Quarterly Results'!$A:$BV,67,FALSE)</f>
        <v>1</v>
      </c>
      <c r="N83" s="24">
        <f>VLOOKUP('LL Revasc Quarterly Report'!$C$5,'LL Revasc Quarterly Results'!$A:$BV,73,FALSE)</f>
        <v>0</v>
      </c>
    </row>
    <row r="84" spans="1:14" x14ac:dyDescent="0.25">
      <c r="A84" s="24"/>
      <c r="B84" s="37" t="s">
        <v>407</v>
      </c>
      <c r="C84" s="24"/>
      <c r="D84" s="24">
        <f t="shared" ref="D84:M84" si="24">SUM(B83:E83)</f>
        <v>13</v>
      </c>
      <c r="E84" s="24">
        <f t="shared" si="24"/>
        <v>16</v>
      </c>
      <c r="F84" s="24">
        <f t="shared" si="24"/>
        <v>18</v>
      </c>
      <c r="G84" s="24">
        <f t="shared" si="24"/>
        <v>24</v>
      </c>
      <c r="H84" s="24">
        <f t="shared" si="24"/>
        <v>24</v>
      </c>
      <c r="I84" s="24">
        <f t="shared" si="24"/>
        <v>25</v>
      </c>
      <c r="J84" s="24">
        <f t="shared" si="24"/>
        <v>25</v>
      </c>
      <c r="K84" s="24">
        <f t="shared" si="24"/>
        <v>14</v>
      </c>
      <c r="L84" s="24">
        <f t="shared" si="24"/>
        <v>10</v>
      </c>
      <c r="M84" s="24">
        <f t="shared" si="24"/>
        <v>6</v>
      </c>
      <c r="N84" s="24">
        <f>SUM(L83:N83)</f>
        <v>1</v>
      </c>
    </row>
    <row r="85" spans="1:14" x14ac:dyDescent="0.25">
      <c r="A85" s="24"/>
      <c r="B85" s="37" t="s">
        <v>408</v>
      </c>
      <c r="C85" s="24"/>
      <c r="D85" s="24">
        <f t="shared" ref="D85:L85" si="25">(SUM(C83:F83)+D84)/2</f>
        <v>14.5</v>
      </c>
      <c r="E85" s="24">
        <f t="shared" si="25"/>
        <v>17</v>
      </c>
      <c r="F85" s="24">
        <f t="shared" si="25"/>
        <v>21</v>
      </c>
      <c r="G85" s="24">
        <f t="shared" si="25"/>
        <v>24</v>
      </c>
      <c r="H85" s="24">
        <f t="shared" si="25"/>
        <v>24.5</v>
      </c>
      <c r="I85" s="24">
        <f t="shared" si="25"/>
        <v>25</v>
      </c>
      <c r="J85" s="24">
        <f t="shared" si="25"/>
        <v>19.5</v>
      </c>
      <c r="K85" s="24">
        <f t="shared" si="25"/>
        <v>12</v>
      </c>
      <c r="L85" s="24">
        <f t="shared" si="25"/>
        <v>8</v>
      </c>
      <c r="M85" s="24">
        <f>(SUM(L83:N83)+M84)/2</f>
        <v>3.5</v>
      </c>
      <c r="N85" s="24">
        <f>(SUM(M83:N83)+N84)/2</f>
        <v>1</v>
      </c>
    </row>
    <row r="86" spans="1:14" x14ac:dyDescent="0.25">
      <c r="A86" s="24"/>
      <c r="B86" s="37" t="s">
        <v>409</v>
      </c>
      <c r="C86" s="24"/>
      <c r="D86" s="43">
        <f t="shared" ref="D86:N86" si="26">D84/D81</f>
        <v>0.38235294117647056</v>
      </c>
      <c r="E86" s="43">
        <f t="shared" si="26"/>
        <v>0.3902439024390244</v>
      </c>
      <c r="F86" s="43">
        <f t="shared" si="26"/>
        <v>0.5</v>
      </c>
      <c r="G86" s="43">
        <f t="shared" si="26"/>
        <v>0.52173913043478259</v>
      </c>
      <c r="H86" s="43">
        <f t="shared" si="26"/>
        <v>0.45283018867924529</v>
      </c>
      <c r="I86" s="43">
        <f t="shared" si="26"/>
        <v>0.47169811320754718</v>
      </c>
      <c r="J86" s="43">
        <f t="shared" si="26"/>
        <v>0.45454545454545453</v>
      </c>
      <c r="K86" s="43">
        <f t="shared" si="26"/>
        <v>0.35</v>
      </c>
      <c r="L86" s="43">
        <f t="shared" si="26"/>
        <v>0.41666666666666669</v>
      </c>
      <c r="M86" s="43">
        <f t="shared" si="26"/>
        <v>0.35294117647058826</v>
      </c>
      <c r="N86" s="43">
        <f t="shared" si="26"/>
        <v>0.14285714285714285</v>
      </c>
    </row>
    <row r="87" spans="1:14" x14ac:dyDescent="0.25">
      <c r="A87" s="24"/>
      <c r="B87" s="37" t="s">
        <v>393</v>
      </c>
      <c r="C87" s="24"/>
      <c r="D87" s="43">
        <f t="shared" ref="D87:N87" si="27">D85/D82</f>
        <v>0.38666666666666666</v>
      </c>
      <c r="E87" s="43">
        <f t="shared" si="27"/>
        <v>0.44155844155844154</v>
      </c>
      <c r="F87" s="43">
        <f t="shared" si="27"/>
        <v>0.51219512195121952</v>
      </c>
      <c r="G87" s="43">
        <f t="shared" si="27"/>
        <v>0.48484848484848486</v>
      </c>
      <c r="H87" s="43">
        <f t="shared" si="27"/>
        <v>0.46226415094339623</v>
      </c>
      <c r="I87" s="43">
        <f t="shared" si="27"/>
        <v>0.46296296296296297</v>
      </c>
      <c r="J87" s="43">
        <f t="shared" si="27"/>
        <v>0.41052631578947368</v>
      </c>
      <c r="K87" s="43">
        <f t="shared" si="27"/>
        <v>0.375</v>
      </c>
      <c r="L87" s="43">
        <f t="shared" si="27"/>
        <v>0.3902439024390244</v>
      </c>
      <c r="M87" s="43">
        <f t="shared" si="27"/>
        <v>0.29166666666666669</v>
      </c>
      <c r="N87" s="43">
        <f t="shared" si="27"/>
        <v>0.22222222222222221</v>
      </c>
    </row>
    <row r="88" spans="1:14" x14ac:dyDescent="0.25">
      <c r="A88" s="24"/>
      <c r="B88" s="39"/>
      <c r="C88" s="24"/>
      <c r="D88" s="24"/>
      <c r="E88" s="24"/>
      <c r="F88" s="24"/>
      <c r="G88" s="24"/>
      <c r="H88" s="24"/>
      <c r="I88" s="24"/>
      <c r="J88" s="24"/>
      <c r="K88" s="24"/>
      <c r="L88" s="24"/>
      <c r="M88" s="24"/>
      <c r="N88" s="24"/>
    </row>
    <row r="89" spans="1:14" x14ac:dyDescent="0.25">
      <c r="A89" s="24"/>
      <c r="B89" s="37" t="s">
        <v>535</v>
      </c>
      <c r="C89" s="38">
        <v>0.65</v>
      </c>
      <c r="D89" s="38">
        <v>0.65</v>
      </c>
      <c r="E89" s="38">
        <v>0.65</v>
      </c>
      <c r="F89" s="38">
        <v>0.65</v>
      </c>
      <c r="G89" s="38">
        <v>0.65</v>
      </c>
      <c r="H89" s="38">
        <v>0.65</v>
      </c>
      <c r="I89" s="38">
        <v>0.65</v>
      </c>
      <c r="J89" s="38">
        <v>0.65</v>
      </c>
      <c r="K89" s="38">
        <v>0.65</v>
      </c>
      <c r="L89" s="38">
        <v>0.65</v>
      </c>
      <c r="M89" s="38">
        <v>0.65</v>
      </c>
      <c r="N89" s="38">
        <v>0.65</v>
      </c>
    </row>
    <row r="90" spans="1:14" x14ac:dyDescent="0.25">
      <c r="A90" s="24"/>
      <c r="B90" s="42" t="s">
        <v>436</v>
      </c>
      <c r="C90" s="24">
        <f t="shared" ref="C90:N90" si="28">IF(AND(C75&gt;=1,C75&lt;5),NA(),C75)</f>
        <v>13</v>
      </c>
      <c r="D90" s="24">
        <f t="shared" si="28"/>
        <v>10</v>
      </c>
      <c r="E90" s="24">
        <f t="shared" si="28"/>
        <v>11</v>
      </c>
      <c r="F90" s="24">
        <f t="shared" si="28"/>
        <v>7</v>
      </c>
      <c r="G90" s="24">
        <f t="shared" si="28"/>
        <v>8</v>
      </c>
      <c r="H90" s="24">
        <f t="shared" si="28"/>
        <v>20</v>
      </c>
      <c r="I90" s="24">
        <f t="shared" si="28"/>
        <v>18</v>
      </c>
      <c r="J90" s="24">
        <f t="shared" si="28"/>
        <v>7</v>
      </c>
      <c r="K90" s="24">
        <f t="shared" si="28"/>
        <v>10</v>
      </c>
      <c r="L90" s="24">
        <f t="shared" si="28"/>
        <v>5</v>
      </c>
      <c r="M90" s="24" t="e">
        <f t="shared" si="28"/>
        <v>#N/A</v>
      </c>
      <c r="N90" s="24">
        <f t="shared" si="28"/>
        <v>0</v>
      </c>
    </row>
    <row r="91" spans="1:14" x14ac:dyDescent="0.25">
      <c r="A91" s="24"/>
      <c r="B91" s="42" t="s">
        <v>520</v>
      </c>
      <c r="C91" s="43" t="e">
        <f t="shared" ref="C91:N91" si="29">IF(ISNUMBER(C90),IF(AND(C83&gt;0,C83&lt;5),NA(),IF(ISNUMBER(C76),C76,NA())),NA())</f>
        <v>#N/A</v>
      </c>
      <c r="D91" s="43">
        <f t="shared" si="29"/>
        <v>0.5</v>
      </c>
      <c r="E91" s="43">
        <f t="shared" si="29"/>
        <v>0.45</v>
      </c>
      <c r="F91" s="43" t="e">
        <f t="shared" si="29"/>
        <v>#N/A</v>
      </c>
      <c r="G91" s="43">
        <f t="shared" si="29"/>
        <v>0.63</v>
      </c>
      <c r="H91" s="43">
        <f t="shared" si="29"/>
        <v>0.55000000000000004</v>
      </c>
      <c r="I91" s="43">
        <f t="shared" si="29"/>
        <v>0.28000000000000003</v>
      </c>
      <c r="J91" s="43" t="e">
        <f t="shared" si="29"/>
        <v>#N/A</v>
      </c>
      <c r="K91" s="43">
        <f t="shared" si="29"/>
        <v>0.5</v>
      </c>
      <c r="L91" s="43">
        <f t="shared" si="29"/>
        <v>0</v>
      </c>
      <c r="M91" s="43" t="e">
        <f t="shared" si="29"/>
        <v>#N/A</v>
      </c>
      <c r="N91" s="43" t="e">
        <f t="shared" si="29"/>
        <v>#N/A</v>
      </c>
    </row>
    <row r="92" spans="1:14" x14ac:dyDescent="0.25">
      <c r="A92" s="24"/>
      <c r="B92" s="37" t="s">
        <v>524</v>
      </c>
      <c r="C92" s="24"/>
      <c r="D92" s="38">
        <f t="shared" ref="D92:N92" si="30">IF(OR(D82&lt;5,D85&lt;5),NA(),D87)</f>
        <v>0.38666666666666666</v>
      </c>
      <c r="E92" s="38">
        <f t="shared" si="30"/>
        <v>0.44155844155844154</v>
      </c>
      <c r="F92" s="38">
        <f t="shared" si="30"/>
        <v>0.51219512195121952</v>
      </c>
      <c r="G92" s="38">
        <f t="shared" si="30"/>
        <v>0.48484848484848486</v>
      </c>
      <c r="H92" s="38">
        <f t="shared" si="30"/>
        <v>0.46226415094339623</v>
      </c>
      <c r="I92" s="38">
        <f t="shared" si="30"/>
        <v>0.46296296296296297</v>
      </c>
      <c r="J92" s="38">
        <f t="shared" si="30"/>
        <v>0.41052631578947368</v>
      </c>
      <c r="K92" s="38">
        <f t="shared" si="30"/>
        <v>0.375</v>
      </c>
      <c r="L92" s="38">
        <f t="shared" si="30"/>
        <v>0.3902439024390244</v>
      </c>
      <c r="M92" s="38" t="e">
        <f t="shared" si="30"/>
        <v>#N/A</v>
      </c>
      <c r="N92" s="38" t="e">
        <f t="shared" si="30"/>
        <v>#N/A</v>
      </c>
    </row>
    <row r="93" spans="1:14" x14ac:dyDescent="0.25">
      <c r="A93" s="24"/>
      <c r="B93" s="37" t="s">
        <v>536</v>
      </c>
      <c r="C93" s="38">
        <v>0.45</v>
      </c>
      <c r="D93" s="38">
        <v>0.45</v>
      </c>
      <c r="E93" s="38">
        <v>0.45</v>
      </c>
      <c r="F93" s="38">
        <v>0.45</v>
      </c>
      <c r="G93" s="38">
        <v>0.45</v>
      </c>
      <c r="H93" s="38">
        <v>0.45</v>
      </c>
      <c r="I93" s="38">
        <v>0.45</v>
      </c>
      <c r="J93" s="38">
        <v>0.45</v>
      </c>
      <c r="K93" s="38">
        <v>0.45</v>
      </c>
      <c r="L93" s="38">
        <v>0.45</v>
      </c>
      <c r="M93" s="38">
        <v>0.45</v>
      </c>
      <c r="N93" s="38">
        <v>0.45</v>
      </c>
    </row>
    <row r="98" spans="1:14" x14ac:dyDescent="0.25">
      <c r="A98" s="48" t="s">
        <v>589</v>
      </c>
      <c r="B98" s="24"/>
      <c r="C98" s="24"/>
      <c r="D98" s="24"/>
      <c r="E98" s="24"/>
      <c r="F98" s="24"/>
      <c r="G98" s="24"/>
      <c r="H98" s="24"/>
      <c r="I98" s="24"/>
      <c r="J98" s="24"/>
      <c r="K98" s="24"/>
      <c r="L98" s="24"/>
      <c r="M98" s="24"/>
      <c r="N98" s="24"/>
    </row>
    <row r="99" spans="1:14" x14ac:dyDescent="0.25">
      <c r="A99" s="24"/>
      <c r="B99" s="24"/>
      <c r="C99" s="85">
        <v>2020</v>
      </c>
      <c r="D99" s="85"/>
      <c r="E99" s="85">
        <v>2021</v>
      </c>
      <c r="F99" s="85"/>
      <c r="G99" s="85"/>
      <c r="H99" s="85"/>
      <c r="I99" s="84">
        <v>2022</v>
      </c>
      <c r="J99" s="84"/>
      <c r="K99" s="84"/>
      <c r="L99" s="84"/>
      <c r="M99" s="84">
        <v>2023</v>
      </c>
      <c r="N99" s="84"/>
    </row>
    <row r="100" spans="1:14" x14ac:dyDescent="0.25">
      <c r="A100" s="24"/>
      <c r="B100" s="24"/>
      <c r="C100" s="35" t="s">
        <v>126</v>
      </c>
      <c r="D100" s="35" t="s">
        <v>207</v>
      </c>
      <c r="E100" s="35" t="s">
        <v>125</v>
      </c>
      <c r="F100" s="35" t="s">
        <v>206</v>
      </c>
      <c r="G100" s="35" t="s">
        <v>126</v>
      </c>
      <c r="H100" s="35" t="s">
        <v>207</v>
      </c>
      <c r="I100" s="35" t="s">
        <v>125</v>
      </c>
      <c r="J100" s="35" t="s">
        <v>206</v>
      </c>
      <c r="K100" s="35" t="s">
        <v>126</v>
      </c>
      <c r="L100" s="35" t="s">
        <v>207</v>
      </c>
      <c r="M100" s="35" t="s">
        <v>125</v>
      </c>
      <c r="N100" s="35" t="s">
        <v>206</v>
      </c>
    </row>
    <row r="101" spans="1:14" x14ac:dyDescent="0.25">
      <c r="A101" s="24"/>
      <c r="B101" s="42" t="s">
        <v>357</v>
      </c>
      <c r="C101" s="24">
        <f>VLOOKUP('Major Amp Quarterly Report'!$C$5,'Maj Amp Quarterly Results'!$A:$AX,5,FALSE)</f>
        <v>6</v>
      </c>
      <c r="D101" s="24">
        <f>VLOOKUP('Major Amp Quarterly Report'!$C$5,'Maj Amp Quarterly Results'!$A:$AX,9,FALSE)</f>
        <v>13</v>
      </c>
      <c r="E101" s="24">
        <f>VLOOKUP('Major Amp Quarterly Report'!$C$5,'Maj Amp Quarterly Results'!$A:$AX,13,FALSE)</f>
        <v>7</v>
      </c>
      <c r="F101" s="24">
        <f>VLOOKUP('Major Amp Quarterly Report'!$C$5,'Maj Amp Quarterly Results'!$A:$AX,17,FALSE)</f>
        <v>6</v>
      </c>
      <c r="G101" s="24">
        <f>VLOOKUP('Major Amp Quarterly Report'!$C$5,'Maj Amp Quarterly Results'!$A:$AX,21,FALSE)</f>
        <v>7</v>
      </c>
      <c r="H101" s="24">
        <f>VLOOKUP('Major Amp Quarterly Report'!$C$5,'Maj Amp Quarterly Results'!$A:$AX,25,FALSE)</f>
        <v>12</v>
      </c>
      <c r="I101" s="24">
        <f>VLOOKUP('Major Amp Quarterly Report'!$C$5,'Maj Amp Quarterly Results'!$A:$AX,29,FALSE)</f>
        <v>10</v>
      </c>
      <c r="J101" s="24">
        <f>VLOOKUP('Major Amp Quarterly Report'!$C$5,'Maj Amp Quarterly Results'!$A:$AX,33,FALSE)</f>
        <v>5</v>
      </c>
      <c r="K101" s="24">
        <f>VLOOKUP('Major Amp Quarterly Report'!$C$5,'Maj Amp Quarterly Results'!$A:$AX,37,FALSE)</f>
        <v>8</v>
      </c>
      <c r="L101" s="24">
        <f>VLOOKUP('Major Amp Quarterly Report'!$C$5,'Maj Amp Quarterly Results'!$A:$AX,41,FALSE)</f>
        <v>8</v>
      </c>
      <c r="M101" s="24">
        <f>VLOOKUP('Major Amp Quarterly Report'!$C$5,'Maj Amp Quarterly Results'!$A:$AX,45,FALSE)</f>
        <v>4</v>
      </c>
      <c r="N101" s="24">
        <f>VLOOKUP('Major Amp Quarterly Report'!$C$5,'Maj Amp Quarterly Results'!$A:$AX,49,FALSE)</f>
        <v>3</v>
      </c>
    </row>
    <row r="102" spans="1:14" x14ac:dyDescent="0.25">
      <c r="A102" s="24"/>
      <c r="B102" s="42" t="s">
        <v>563</v>
      </c>
      <c r="C102" s="38">
        <f>VLOOKUP('Major Amp Quarterly Report'!$C$5,'Maj Amp Quarterly Results'!$A:$AX,6,FALSE)</f>
        <v>0.33333333333333331</v>
      </c>
      <c r="D102" s="38">
        <f>VLOOKUP('Major Amp Quarterly Report'!$C$5,'Maj Amp Quarterly Results'!$A:$AX,10,FALSE)</f>
        <v>0.30769230769230771</v>
      </c>
      <c r="E102" s="38">
        <f>VLOOKUP('Major Amp Quarterly Report'!$C$5,'Maj Amp Quarterly Results'!$A:$AX,14,FALSE)</f>
        <v>0.5714285714285714</v>
      </c>
      <c r="F102" s="38">
        <f>VLOOKUP('Major Amp Quarterly Report'!$C$5,'Maj Amp Quarterly Results'!$A:$AX,18,FALSE)</f>
        <v>0.16666666666666666</v>
      </c>
      <c r="G102" s="38">
        <f>VLOOKUP('Major Amp Quarterly Report'!$C$5,'Maj Amp Quarterly Results'!$A:$AX,22,FALSE)</f>
        <v>0.8571428571428571</v>
      </c>
      <c r="H102" s="38">
        <f>VLOOKUP('Major Amp Quarterly Report'!$C$5,'Maj Amp Quarterly Results'!$A:$AX,26,FALSE)</f>
        <v>0.33333333333333331</v>
      </c>
      <c r="I102" s="38">
        <f>VLOOKUP('Major Amp Quarterly Report'!$C$5,'Maj Amp Quarterly Results'!$A:$AX,30,FALSE)</f>
        <v>0.3</v>
      </c>
      <c r="J102" s="38">
        <f>VLOOKUP('Major Amp Quarterly Report'!$C$5,'Maj Amp Quarterly Results'!$A:$AX,34,FALSE)</f>
        <v>0</v>
      </c>
      <c r="K102" s="38">
        <f>VLOOKUP('Major Amp Quarterly Report'!$C$5,'Maj Amp Quarterly Results'!$A:$AX,38,FALSE)</f>
        <v>0.25</v>
      </c>
      <c r="L102" s="38">
        <f>VLOOKUP('Major Amp Quarterly Report'!$C$5,'Maj Amp Quarterly Results'!$A:$AX,42,FALSE)</f>
        <v>0.125</v>
      </c>
      <c r="M102" s="38">
        <f>VLOOKUP('Major Amp Quarterly Report'!$C$5,'Maj Amp Quarterly Results'!$A:$AX,46,FALSE)</f>
        <v>0.75</v>
      </c>
      <c r="N102" s="38">
        <f>VLOOKUP('Major Amp Quarterly Report'!$C$5,'Maj Amp Quarterly Results'!$A:$AX,50,FALSE)</f>
        <v>0.33333333333333331</v>
      </c>
    </row>
    <row r="103" spans="1:14" x14ac:dyDescent="0.25">
      <c r="A103" s="24"/>
      <c r="B103" s="37" t="s">
        <v>564</v>
      </c>
      <c r="C103" s="38">
        <v>0.5</v>
      </c>
      <c r="D103" s="38">
        <v>0.5</v>
      </c>
      <c r="E103" s="38">
        <v>0.5</v>
      </c>
      <c r="F103" s="38">
        <v>0.5</v>
      </c>
      <c r="G103" s="38">
        <v>0.5</v>
      </c>
      <c r="H103" s="38">
        <v>0.5</v>
      </c>
      <c r="I103" s="38">
        <v>0.5</v>
      </c>
      <c r="J103" s="38">
        <v>0.5</v>
      </c>
      <c r="K103" s="38">
        <v>0.5</v>
      </c>
      <c r="L103" s="38">
        <v>0.5</v>
      </c>
      <c r="M103" s="38">
        <v>0.5</v>
      </c>
      <c r="N103" s="38">
        <v>0.5</v>
      </c>
    </row>
    <row r="104" spans="1:14" x14ac:dyDescent="0.25">
      <c r="A104" s="24"/>
      <c r="B104" s="24"/>
      <c r="C104" s="24"/>
      <c r="D104" s="24"/>
      <c r="E104" s="24"/>
      <c r="F104" s="24"/>
      <c r="G104" s="24"/>
      <c r="H104" s="24"/>
      <c r="I104" s="24"/>
      <c r="J104" s="24"/>
      <c r="K104" s="24"/>
      <c r="L104" s="24"/>
      <c r="M104" s="24"/>
      <c r="N104" s="24"/>
    </row>
    <row r="105" spans="1:14" x14ac:dyDescent="0.25">
      <c r="A105" s="24"/>
      <c r="B105" s="37" t="s">
        <v>404</v>
      </c>
      <c r="C105" s="24"/>
      <c r="D105" s="24">
        <f t="shared" ref="D105:M105" si="31">SUM(B101:E101)</f>
        <v>26</v>
      </c>
      <c r="E105" s="24">
        <f t="shared" si="31"/>
        <v>32</v>
      </c>
      <c r="F105" s="24">
        <f t="shared" si="31"/>
        <v>33</v>
      </c>
      <c r="G105" s="24">
        <f t="shared" si="31"/>
        <v>32</v>
      </c>
      <c r="H105" s="24">
        <f t="shared" si="31"/>
        <v>35</v>
      </c>
      <c r="I105" s="24">
        <f t="shared" si="31"/>
        <v>34</v>
      </c>
      <c r="J105" s="24">
        <f t="shared" si="31"/>
        <v>35</v>
      </c>
      <c r="K105" s="24">
        <f t="shared" si="31"/>
        <v>31</v>
      </c>
      <c r="L105" s="24">
        <f t="shared" si="31"/>
        <v>25</v>
      </c>
      <c r="M105" s="24">
        <f t="shared" si="31"/>
        <v>23</v>
      </c>
      <c r="N105" s="24">
        <f>SUM(L101:N101)</f>
        <v>15</v>
      </c>
    </row>
    <row r="106" spans="1:14" x14ac:dyDescent="0.25">
      <c r="A106" s="24"/>
      <c r="B106" s="37" t="s">
        <v>565</v>
      </c>
      <c r="C106" s="24"/>
      <c r="D106" s="24">
        <f t="shared" ref="D106:L106" si="32">(SUM(C101:F101)+D105)/2</f>
        <v>29</v>
      </c>
      <c r="E106" s="24">
        <f t="shared" si="32"/>
        <v>32.5</v>
      </c>
      <c r="F106" s="24">
        <f t="shared" si="32"/>
        <v>32.5</v>
      </c>
      <c r="G106" s="24">
        <f t="shared" si="32"/>
        <v>33.5</v>
      </c>
      <c r="H106" s="24">
        <f t="shared" si="32"/>
        <v>34.5</v>
      </c>
      <c r="I106" s="24">
        <f t="shared" si="32"/>
        <v>34.5</v>
      </c>
      <c r="J106" s="24">
        <f t="shared" si="32"/>
        <v>33</v>
      </c>
      <c r="K106" s="24">
        <f t="shared" si="32"/>
        <v>28</v>
      </c>
      <c r="L106" s="24">
        <f t="shared" si="32"/>
        <v>24</v>
      </c>
      <c r="M106" s="24">
        <f>(SUM(L101:N101)+M105)/2</f>
        <v>19</v>
      </c>
      <c r="N106" s="24">
        <f>(SUM(M101:N101)+N105)/2</f>
        <v>11</v>
      </c>
    </row>
    <row r="107" spans="1:14" x14ac:dyDescent="0.25">
      <c r="A107" s="24"/>
      <c r="B107" s="37" t="s">
        <v>566</v>
      </c>
      <c r="C107" s="24">
        <f>VLOOKUP('Major Amp Quarterly Report'!$C$5,'Maj Amp Quarterly Results'!$A:$AX,4,FALSE)</f>
        <v>2</v>
      </c>
      <c r="D107" s="24">
        <f>VLOOKUP('Major Amp Quarterly Report'!$C$5,'Maj Amp Quarterly Results'!$A:$AX,8,FALSE)</f>
        <v>4</v>
      </c>
      <c r="E107" s="24">
        <f>VLOOKUP('Major Amp Quarterly Report'!$C$5,'Maj Amp Quarterly Results'!$A:$AX,12,FALSE)</f>
        <v>4</v>
      </c>
      <c r="F107" s="24">
        <f>VLOOKUP('Major Amp Quarterly Report'!$C$5,'Maj Amp Quarterly Results'!$A:$AX,16,FALSE)</f>
        <v>1</v>
      </c>
      <c r="G107" s="24">
        <f>VLOOKUP('Major Amp Quarterly Report'!$C$5,'Maj Amp Quarterly Results'!$A:$AX,20,FALSE)</f>
        <v>6</v>
      </c>
      <c r="H107" s="24">
        <f>VLOOKUP('Major Amp Quarterly Report'!$C$5,'Maj Amp Quarterly Results'!$A:$AX,24,FALSE)</f>
        <v>4</v>
      </c>
      <c r="I107" s="24">
        <f>VLOOKUP('Major Amp Quarterly Report'!$C$5,'Maj Amp Quarterly Results'!$A:$AX,28,FALSE)</f>
        <v>3</v>
      </c>
      <c r="J107" s="24">
        <f>VLOOKUP('Major Amp Quarterly Report'!$C$5,'Maj Amp Quarterly Results'!$A:$AX,32,FALSE)</f>
        <v>0</v>
      </c>
      <c r="K107" s="24">
        <f>VLOOKUP('Major Amp Quarterly Report'!$C$5,'Maj Amp Quarterly Results'!$A:$AX,36,FALSE)</f>
        <v>2</v>
      </c>
      <c r="L107" s="24">
        <f>VLOOKUP('Major Amp Quarterly Report'!$C$5,'Maj Amp Quarterly Results'!$A:$AX,40,FALSE)</f>
        <v>1</v>
      </c>
      <c r="M107" s="24">
        <f>VLOOKUP('Major Amp Quarterly Report'!$C$5,'Maj Amp Quarterly Results'!$A:$AX,44,FALSE)</f>
        <v>3</v>
      </c>
      <c r="N107" s="24">
        <f>VLOOKUP('Major Amp Quarterly Report'!$C$5,'Maj Amp Quarterly Results'!$A:$AX,48,FALSE)</f>
        <v>1</v>
      </c>
    </row>
    <row r="108" spans="1:14" x14ac:dyDescent="0.25">
      <c r="A108" s="24"/>
      <c r="B108" s="37" t="s">
        <v>567</v>
      </c>
      <c r="C108" s="24"/>
      <c r="D108" s="24">
        <f t="shared" ref="D108:M108" si="33">SUM(B107:E107)</f>
        <v>10</v>
      </c>
      <c r="E108" s="24">
        <f t="shared" si="33"/>
        <v>11</v>
      </c>
      <c r="F108" s="24">
        <f t="shared" si="33"/>
        <v>15</v>
      </c>
      <c r="G108" s="24">
        <f t="shared" si="33"/>
        <v>15</v>
      </c>
      <c r="H108" s="24">
        <f t="shared" si="33"/>
        <v>14</v>
      </c>
      <c r="I108" s="24">
        <f t="shared" si="33"/>
        <v>13</v>
      </c>
      <c r="J108" s="24">
        <f t="shared" si="33"/>
        <v>9</v>
      </c>
      <c r="K108" s="24">
        <f t="shared" si="33"/>
        <v>6</v>
      </c>
      <c r="L108" s="24">
        <f t="shared" si="33"/>
        <v>6</v>
      </c>
      <c r="M108" s="24">
        <f t="shared" si="33"/>
        <v>7</v>
      </c>
      <c r="N108" s="24">
        <f>SUM(L107:N107)</f>
        <v>5</v>
      </c>
    </row>
    <row r="109" spans="1:14" x14ac:dyDescent="0.25">
      <c r="A109" s="24"/>
      <c r="B109" s="37" t="s">
        <v>568</v>
      </c>
      <c r="C109" s="24"/>
      <c r="D109" s="24">
        <f t="shared" ref="D109:L109" si="34">(SUM(C107:F107)+D108)/2</f>
        <v>10.5</v>
      </c>
      <c r="E109" s="24">
        <f t="shared" si="34"/>
        <v>13</v>
      </c>
      <c r="F109" s="24">
        <f t="shared" si="34"/>
        <v>15</v>
      </c>
      <c r="G109" s="24">
        <f t="shared" si="34"/>
        <v>14.5</v>
      </c>
      <c r="H109" s="24">
        <f t="shared" si="34"/>
        <v>13.5</v>
      </c>
      <c r="I109" s="24">
        <f t="shared" si="34"/>
        <v>11</v>
      </c>
      <c r="J109" s="24">
        <f t="shared" si="34"/>
        <v>7.5</v>
      </c>
      <c r="K109" s="24">
        <f t="shared" si="34"/>
        <v>6</v>
      </c>
      <c r="L109" s="24">
        <f t="shared" si="34"/>
        <v>6.5</v>
      </c>
      <c r="M109" s="24">
        <f>(SUM(L107:N107)+M108)/2</f>
        <v>6</v>
      </c>
      <c r="N109" s="24">
        <f>(SUM(M107:N107)+N108)/2</f>
        <v>4.5</v>
      </c>
    </row>
    <row r="110" spans="1:14" x14ac:dyDescent="0.25">
      <c r="A110" s="24"/>
      <c r="B110" s="37" t="s">
        <v>569</v>
      </c>
      <c r="C110" s="24"/>
      <c r="D110" s="43">
        <f t="shared" ref="D110:N110" si="35">D108/D105</f>
        <v>0.38461538461538464</v>
      </c>
      <c r="E110" s="43">
        <f t="shared" si="35"/>
        <v>0.34375</v>
      </c>
      <c r="F110" s="43">
        <f t="shared" si="35"/>
        <v>0.45454545454545453</v>
      </c>
      <c r="G110" s="43">
        <f t="shared" si="35"/>
        <v>0.46875</v>
      </c>
      <c r="H110" s="43">
        <f t="shared" si="35"/>
        <v>0.4</v>
      </c>
      <c r="I110" s="43">
        <f t="shared" si="35"/>
        <v>0.38235294117647056</v>
      </c>
      <c r="J110" s="43">
        <f t="shared" si="35"/>
        <v>0.25714285714285712</v>
      </c>
      <c r="K110" s="43">
        <f t="shared" si="35"/>
        <v>0.19354838709677419</v>
      </c>
      <c r="L110" s="43">
        <f t="shared" si="35"/>
        <v>0.24</v>
      </c>
      <c r="M110" s="43">
        <f t="shared" si="35"/>
        <v>0.30434782608695654</v>
      </c>
      <c r="N110" s="43">
        <f t="shared" si="35"/>
        <v>0.33333333333333331</v>
      </c>
    </row>
    <row r="111" spans="1:14" x14ac:dyDescent="0.25">
      <c r="A111" s="24"/>
      <c r="B111" s="37" t="s">
        <v>393</v>
      </c>
      <c r="C111" s="24"/>
      <c r="D111" s="43">
        <f t="shared" ref="D111:N111" si="36">D109/D106</f>
        <v>0.36206896551724138</v>
      </c>
      <c r="E111" s="43">
        <f t="shared" si="36"/>
        <v>0.4</v>
      </c>
      <c r="F111" s="43">
        <f t="shared" si="36"/>
        <v>0.46153846153846156</v>
      </c>
      <c r="G111" s="43">
        <f t="shared" si="36"/>
        <v>0.43283582089552236</v>
      </c>
      <c r="H111" s="43">
        <f t="shared" si="36"/>
        <v>0.39130434782608697</v>
      </c>
      <c r="I111" s="43">
        <f t="shared" si="36"/>
        <v>0.3188405797101449</v>
      </c>
      <c r="J111" s="43">
        <f t="shared" si="36"/>
        <v>0.22727272727272727</v>
      </c>
      <c r="K111" s="43">
        <f t="shared" si="36"/>
        <v>0.21428571428571427</v>
      </c>
      <c r="L111" s="43">
        <f t="shared" si="36"/>
        <v>0.27083333333333331</v>
      </c>
      <c r="M111" s="43">
        <f t="shared" si="36"/>
        <v>0.31578947368421051</v>
      </c>
      <c r="N111" s="43">
        <f t="shared" si="36"/>
        <v>0.40909090909090912</v>
      </c>
    </row>
    <row r="112" spans="1:14" x14ac:dyDescent="0.25">
      <c r="A112" s="24"/>
      <c r="B112" s="39"/>
      <c r="C112" s="24"/>
      <c r="D112" s="24"/>
      <c r="E112" s="24"/>
      <c r="F112" s="24"/>
      <c r="G112" s="24"/>
      <c r="H112" s="24"/>
      <c r="I112" s="24"/>
      <c r="J112" s="24"/>
      <c r="K112" s="24"/>
      <c r="L112" s="24"/>
      <c r="M112" s="24"/>
      <c r="N112" s="24"/>
    </row>
    <row r="113" spans="1:14" x14ac:dyDescent="0.25">
      <c r="A113" s="24"/>
      <c r="B113" s="37" t="s">
        <v>570</v>
      </c>
      <c r="C113" s="38">
        <v>0.5</v>
      </c>
      <c r="D113" s="38">
        <v>0.5</v>
      </c>
      <c r="E113" s="38">
        <v>0.5</v>
      </c>
      <c r="F113" s="38">
        <v>0.5</v>
      </c>
      <c r="G113" s="38">
        <v>0.5</v>
      </c>
      <c r="H113" s="38">
        <v>0.5</v>
      </c>
      <c r="I113" s="38">
        <v>0.5</v>
      </c>
      <c r="J113" s="38">
        <v>0.5</v>
      </c>
      <c r="K113" s="38">
        <v>0.5</v>
      </c>
      <c r="L113" s="38">
        <v>0.5</v>
      </c>
      <c r="M113" s="38">
        <v>0.5</v>
      </c>
      <c r="N113" s="38">
        <v>0.5</v>
      </c>
    </row>
    <row r="114" spans="1:14" x14ac:dyDescent="0.25">
      <c r="A114" s="24"/>
      <c r="B114" s="42" t="s">
        <v>357</v>
      </c>
      <c r="C114" s="24">
        <f t="shared" ref="C114:N114" si="37">IF(AND(C101&gt;=1,C101&lt;5),NA(),C101)</f>
        <v>6</v>
      </c>
      <c r="D114" s="24">
        <f t="shared" si="37"/>
        <v>13</v>
      </c>
      <c r="E114" s="24">
        <f t="shared" si="37"/>
        <v>7</v>
      </c>
      <c r="F114" s="24">
        <f t="shared" si="37"/>
        <v>6</v>
      </c>
      <c r="G114" s="24">
        <f t="shared" si="37"/>
        <v>7</v>
      </c>
      <c r="H114" s="24">
        <f t="shared" si="37"/>
        <v>12</v>
      </c>
      <c r="I114" s="24">
        <f t="shared" si="37"/>
        <v>10</v>
      </c>
      <c r="J114" s="24">
        <f t="shared" si="37"/>
        <v>5</v>
      </c>
      <c r="K114" s="24">
        <f t="shared" si="37"/>
        <v>8</v>
      </c>
      <c r="L114" s="24">
        <f t="shared" si="37"/>
        <v>8</v>
      </c>
      <c r="M114" s="24" t="e">
        <f t="shared" si="37"/>
        <v>#N/A</v>
      </c>
      <c r="N114" s="24" t="e">
        <f t="shared" si="37"/>
        <v>#N/A</v>
      </c>
    </row>
    <row r="115" spans="1:14" x14ac:dyDescent="0.25">
      <c r="A115" s="24"/>
      <c r="B115" s="42" t="s">
        <v>552</v>
      </c>
      <c r="C115" s="43" t="e">
        <f t="shared" ref="C115:N115" si="38">IF(ISNUMBER(C114),IF(AND(C107&gt;0,C107&lt;5),NA(),IF(ISNUMBER(C102),C102,NA())),NA())</f>
        <v>#N/A</v>
      </c>
      <c r="D115" s="43" t="e">
        <f t="shared" si="38"/>
        <v>#N/A</v>
      </c>
      <c r="E115" s="43" t="e">
        <f t="shared" si="38"/>
        <v>#N/A</v>
      </c>
      <c r="F115" s="43" t="e">
        <f t="shared" si="38"/>
        <v>#N/A</v>
      </c>
      <c r="G115" s="43">
        <f t="shared" si="38"/>
        <v>0.8571428571428571</v>
      </c>
      <c r="H115" s="43" t="e">
        <f t="shared" si="38"/>
        <v>#N/A</v>
      </c>
      <c r="I115" s="43" t="e">
        <f t="shared" si="38"/>
        <v>#N/A</v>
      </c>
      <c r="J115" s="43">
        <f t="shared" si="38"/>
        <v>0</v>
      </c>
      <c r="K115" s="43" t="e">
        <f t="shared" si="38"/>
        <v>#N/A</v>
      </c>
      <c r="L115" s="43" t="e">
        <f t="shared" si="38"/>
        <v>#N/A</v>
      </c>
      <c r="M115" s="43" t="e">
        <f t="shared" si="38"/>
        <v>#N/A</v>
      </c>
      <c r="N115" s="43" t="e">
        <f t="shared" si="38"/>
        <v>#N/A</v>
      </c>
    </row>
    <row r="116" spans="1:14" x14ac:dyDescent="0.25">
      <c r="A116" s="24"/>
      <c r="B116" s="37" t="s">
        <v>583</v>
      </c>
      <c r="C116" s="24"/>
      <c r="D116" s="38">
        <f t="shared" ref="D116:N116" si="39">IF(OR(D106&lt;5,D109&lt;5),NA(),D111)</f>
        <v>0.36206896551724138</v>
      </c>
      <c r="E116" s="38">
        <f t="shared" si="39"/>
        <v>0.4</v>
      </c>
      <c r="F116" s="38">
        <f t="shared" si="39"/>
        <v>0.46153846153846156</v>
      </c>
      <c r="G116" s="38">
        <f t="shared" si="39"/>
        <v>0.43283582089552236</v>
      </c>
      <c r="H116" s="38">
        <f t="shared" si="39"/>
        <v>0.39130434782608697</v>
      </c>
      <c r="I116" s="38">
        <f t="shared" si="39"/>
        <v>0.3188405797101449</v>
      </c>
      <c r="J116" s="38">
        <f t="shared" si="39"/>
        <v>0.22727272727272727</v>
      </c>
      <c r="K116" s="38">
        <f t="shared" si="39"/>
        <v>0.21428571428571427</v>
      </c>
      <c r="L116" s="38">
        <f t="shared" si="39"/>
        <v>0.27083333333333331</v>
      </c>
      <c r="M116" s="38">
        <f t="shared" si="39"/>
        <v>0.31578947368421051</v>
      </c>
      <c r="N116" s="38" t="e">
        <f t="shared" si="39"/>
        <v>#N/A</v>
      </c>
    </row>
  </sheetData>
  <mergeCells count="16">
    <mergeCell ref="D4:E4"/>
    <mergeCell ref="F4:I4"/>
    <mergeCell ref="J4:M4"/>
    <mergeCell ref="N4:O4"/>
    <mergeCell ref="D27:E27"/>
    <mergeCell ref="F27:I27"/>
    <mergeCell ref="J27:M27"/>
    <mergeCell ref="N27:O27"/>
    <mergeCell ref="I73:L73"/>
    <mergeCell ref="M73:N73"/>
    <mergeCell ref="C73:D73"/>
    <mergeCell ref="E73:H73"/>
    <mergeCell ref="E99:H99"/>
    <mergeCell ref="I99:L99"/>
    <mergeCell ref="M99:N99"/>
    <mergeCell ref="C99:D9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BD67"/>
  <sheetViews>
    <sheetView topLeftCell="AQ1" workbookViewId="0">
      <selection activeCell="BA2" sqref="BA2"/>
    </sheetView>
  </sheetViews>
  <sheetFormatPr defaultRowHeight="15" x14ac:dyDescent="0.25"/>
  <cols>
    <col min="1" max="1" width="61" bestFit="1" customWidth="1"/>
    <col min="2" max="2" width="10" bestFit="1" customWidth="1"/>
    <col min="3" max="3" width="13.85546875" bestFit="1" customWidth="1"/>
    <col min="4" max="4" width="14.42578125" bestFit="1" customWidth="1"/>
    <col min="5" max="5" width="24.28515625" bestFit="1" customWidth="1"/>
    <col min="6" max="6" width="18.42578125" style="4" bestFit="1" customWidth="1"/>
    <col min="7" max="7" width="13.85546875" bestFit="1" customWidth="1"/>
    <col min="8" max="8" width="14.42578125" bestFit="1" customWidth="1"/>
    <col min="9" max="9" width="24.28515625" bestFit="1" customWidth="1"/>
    <col min="10" max="10" width="18.42578125" style="4" bestFit="1" customWidth="1"/>
    <col min="11" max="11" width="13.85546875" bestFit="1" customWidth="1"/>
    <col min="12" max="12" width="14.42578125" bestFit="1" customWidth="1"/>
    <col min="13" max="13" width="24.28515625" bestFit="1" customWidth="1"/>
    <col min="14" max="14" width="18.42578125" style="4" bestFit="1" customWidth="1"/>
    <col min="15" max="15" width="13.85546875" bestFit="1" customWidth="1"/>
    <col min="16" max="16" width="14.42578125" bestFit="1" customWidth="1"/>
    <col min="17" max="17" width="24.28515625" bestFit="1" customWidth="1"/>
    <col min="18" max="18" width="18.42578125" style="4" bestFit="1" customWidth="1"/>
    <col min="19" max="19" width="13.85546875" bestFit="1" customWidth="1"/>
    <col min="20" max="20" width="14.42578125" bestFit="1" customWidth="1"/>
    <col min="21" max="21" width="24.28515625" bestFit="1" customWidth="1"/>
    <col min="22" max="22" width="18.42578125" style="4" bestFit="1" customWidth="1"/>
    <col min="23" max="23" width="13.85546875" bestFit="1" customWidth="1"/>
    <col min="24" max="24" width="14.42578125" bestFit="1" customWidth="1"/>
    <col min="25" max="25" width="24.28515625" bestFit="1" customWidth="1"/>
    <col min="26" max="26" width="18.42578125" style="4" bestFit="1" customWidth="1"/>
    <col min="27" max="27" width="13.85546875" bestFit="1" customWidth="1"/>
    <col min="28" max="28" width="14.42578125" bestFit="1" customWidth="1"/>
    <col min="29" max="29" width="24.28515625" bestFit="1" customWidth="1"/>
    <col min="30" max="30" width="18.42578125" style="4" bestFit="1" customWidth="1"/>
    <col min="31" max="31" width="13.85546875" bestFit="1" customWidth="1"/>
    <col min="32" max="32" width="14.42578125" bestFit="1" customWidth="1"/>
    <col min="33" max="33" width="24.28515625" bestFit="1" customWidth="1"/>
    <col min="34" max="34" width="18.42578125" style="4" bestFit="1" customWidth="1"/>
    <col min="35" max="35" width="13.85546875" bestFit="1" customWidth="1"/>
    <col min="36" max="36" width="14.42578125" bestFit="1" customWidth="1"/>
    <col min="37" max="37" width="24.28515625" bestFit="1" customWidth="1"/>
    <col min="38" max="38" width="18.42578125" style="4" bestFit="1" customWidth="1"/>
    <col min="39" max="39" width="13.85546875" bestFit="1" customWidth="1"/>
    <col min="40" max="40" width="14.42578125" bestFit="1" customWidth="1"/>
    <col min="41" max="41" width="24.28515625" bestFit="1" customWidth="1"/>
    <col min="42" max="42" width="18.42578125" style="4" bestFit="1" customWidth="1"/>
    <col min="43" max="43" width="13.85546875" bestFit="1" customWidth="1"/>
    <col min="44" max="44" width="14.42578125" bestFit="1" customWidth="1"/>
    <col min="45" max="45" width="24.28515625" bestFit="1" customWidth="1"/>
    <col min="46" max="46" width="18.42578125" style="4" bestFit="1" customWidth="1"/>
    <col min="47" max="47" width="13.85546875" bestFit="1" customWidth="1"/>
    <col min="48" max="48" width="14.42578125" bestFit="1" customWidth="1"/>
    <col min="49" max="49" width="24.28515625" bestFit="1" customWidth="1"/>
    <col min="50" max="50" width="18.42578125" style="4" bestFit="1" customWidth="1"/>
    <col min="51" max="51" width="16" bestFit="1" customWidth="1"/>
    <col min="52" max="52" width="4.85546875" bestFit="1" customWidth="1"/>
    <col min="53" max="53" width="10.7109375" bestFit="1" customWidth="1"/>
    <col min="54" max="56" width="22.42578125" bestFit="1" customWidth="1"/>
  </cols>
  <sheetData>
    <row r="1" spans="1:56" x14ac:dyDescent="0.25">
      <c r="A1" s="9" t="s">
        <v>195</v>
      </c>
      <c r="B1" s="9" t="s">
        <v>164</v>
      </c>
      <c r="C1" s="9" t="s">
        <v>165</v>
      </c>
      <c r="D1" s="9" t="s">
        <v>166</v>
      </c>
      <c r="E1" s="9" t="s">
        <v>167</v>
      </c>
      <c r="F1" s="29" t="s">
        <v>196</v>
      </c>
      <c r="G1" s="9" t="s">
        <v>168</v>
      </c>
      <c r="H1" s="9" t="s">
        <v>169</v>
      </c>
      <c r="I1" s="9" t="s">
        <v>170</v>
      </c>
      <c r="J1" s="29" t="s">
        <v>197</v>
      </c>
      <c r="K1" s="9" t="s">
        <v>171</v>
      </c>
      <c r="L1" s="9" t="s">
        <v>172</v>
      </c>
      <c r="M1" s="9" t="s">
        <v>173</v>
      </c>
      <c r="N1" s="29" t="s">
        <v>198</v>
      </c>
      <c r="O1" s="9" t="s">
        <v>174</v>
      </c>
      <c r="P1" s="9" t="s">
        <v>175</v>
      </c>
      <c r="Q1" s="9" t="s">
        <v>176</v>
      </c>
      <c r="R1" s="29" t="s">
        <v>199</v>
      </c>
      <c r="S1" s="9" t="s">
        <v>177</v>
      </c>
      <c r="T1" s="9" t="s">
        <v>178</v>
      </c>
      <c r="U1" s="9" t="s">
        <v>179</v>
      </c>
      <c r="V1" s="29" t="s">
        <v>200</v>
      </c>
      <c r="W1" s="9" t="s">
        <v>180</v>
      </c>
      <c r="X1" s="9" t="s">
        <v>181</v>
      </c>
      <c r="Y1" s="9" t="s">
        <v>182</v>
      </c>
      <c r="Z1" s="29" t="s">
        <v>201</v>
      </c>
      <c r="AA1" s="9" t="s">
        <v>183</v>
      </c>
      <c r="AB1" s="9" t="s">
        <v>184</v>
      </c>
      <c r="AC1" s="9" t="s">
        <v>185</v>
      </c>
      <c r="AD1" s="29" t="s">
        <v>202</v>
      </c>
      <c r="AE1" s="9" t="s">
        <v>186</v>
      </c>
      <c r="AF1" s="9" t="s">
        <v>187</v>
      </c>
      <c r="AG1" s="9" t="s">
        <v>188</v>
      </c>
      <c r="AH1" s="29" t="s">
        <v>203</v>
      </c>
      <c r="AI1" s="9" t="s">
        <v>189</v>
      </c>
      <c r="AJ1" s="9" t="s">
        <v>190</v>
      </c>
      <c r="AK1" s="9" t="s">
        <v>191</v>
      </c>
      <c r="AL1" s="29" t="s">
        <v>204</v>
      </c>
      <c r="AM1" s="9" t="s">
        <v>192</v>
      </c>
      <c r="AN1" s="9" t="s">
        <v>193</v>
      </c>
      <c r="AO1" s="9" t="s">
        <v>194</v>
      </c>
      <c r="AP1" s="29" t="s">
        <v>205</v>
      </c>
      <c r="AQ1" s="9" t="s">
        <v>461</v>
      </c>
      <c r="AR1" s="9" t="s">
        <v>462</v>
      </c>
      <c r="AS1" s="9" t="s">
        <v>463</v>
      </c>
      <c r="AT1" s="29" t="s">
        <v>464</v>
      </c>
      <c r="AU1" s="9" t="s">
        <v>465</v>
      </c>
      <c r="AV1" s="9" t="s">
        <v>466</v>
      </c>
      <c r="AW1" s="9" t="s">
        <v>467</v>
      </c>
      <c r="AX1" s="29" t="s">
        <v>468</v>
      </c>
      <c r="AY1" s="9" t="s">
        <v>525</v>
      </c>
      <c r="AZ1" s="9" t="s">
        <v>529</v>
      </c>
      <c r="BA1" s="9" t="s">
        <v>530</v>
      </c>
      <c r="BB1" s="9" t="s">
        <v>537</v>
      </c>
      <c r="BC1" s="9" t="s">
        <v>538</v>
      </c>
      <c r="BD1" s="9" t="s">
        <v>539</v>
      </c>
    </row>
    <row r="2" spans="1:56" x14ac:dyDescent="0.25">
      <c r="A2" t="s">
        <v>127</v>
      </c>
      <c r="B2" t="s">
        <v>26</v>
      </c>
      <c r="C2">
        <v>10</v>
      </c>
      <c r="D2">
        <v>10</v>
      </c>
      <c r="E2">
        <v>4</v>
      </c>
      <c r="F2" s="4">
        <v>0.4</v>
      </c>
      <c r="G2">
        <v>8</v>
      </c>
      <c r="H2">
        <v>8</v>
      </c>
      <c r="I2">
        <v>4</v>
      </c>
      <c r="J2" s="4">
        <v>0.5</v>
      </c>
      <c r="K2">
        <v>10</v>
      </c>
      <c r="L2">
        <v>10</v>
      </c>
      <c r="M2">
        <v>4</v>
      </c>
      <c r="N2" s="4">
        <v>0.4</v>
      </c>
      <c r="O2">
        <v>8</v>
      </c>
      <c r="P2">
        <v>7</v>
      </c>
      <c r="Q2">
        <v>5</v>
      </c>
      <c r="R2" s="4">
        <v>0.71428570000000002</v>
      </c>
      <c r="S2">
        <v>4</v>
      </c>
      <c r="T2">
        <v>3</v>
      </c>
      <c r="U2">
        <v>0</v>
      </c>
      <c r="V2" s="4">
        <v>0</v>
      </c>
      <c r="W2">
        <v>9</v>
      </c>
      <c r="X2">
        <v>8</v>
      </c>
      <c r="Y2">
        <v>1</v>
      </c>
      <c r="Z2" s="4">
        <v>0.125</v>
      </c>
      <c r="AA2">
        <v>4</v>
      </c>
      <c r="AB2">
        <v>4</v>
      </c>
      <c r="AC2">
        <v>1</v>
      </c>
      <c r="AD2" s="4">
        <v>0.25</v>
      </c>
      <c r="AE2">
        <v>4</v>
      </c>
      <c r="AF2">
        <v>4</v>
      </c>
      <c r="AG2">
        <v>3</v>
      </c>
      <c r="AH2" s="4">
        <v>0.75</v>
      </c>
      <c r="AI2">
        <v>13</v>
      </c>
      <c r="AJ2">
        <v>13</v>
      </c>
      <c r="AK2">
        <v>4</v>
      </c>
      <c r="AL2" s="4">
        <v>0.30769229999999997</v>
      </c>
      <c r="AM2">
        <v>7</v>
      </c>
      <c r="AN2">
        <v>7</v>
      </c>
      <c r="AO2">
        <v>1</v>
      </c>
      <c r="AP2" s="4">
        <v>0.14285709999999999</v>
      </c>
      <c r="AQ2">
        <v>10</v>
      </c>
      <c r="AR2">
        <v>10</v>
      </c>
      <c r="AS2">
        <v>4</v>
      </c>
      <c r="AT2" s="4">
        <v>0.4</v>
      </c>
      <c r="AU2">
        <v>10</v>
      </c>
      <c r="AV2">
        <v>10</v>
      </c>
      <c r="AW2">
        <v>2</v>
      </c>
      <c r="AX2" s="4">
        <v>0.2</v>
      </c>
      <c r="AY2" t="s">
        <v>526</v>
      </c>
      <c r="AZ2" t="s">
        <v>540</v>
      </c>
      <c r="BA2" t="str">
        <f>AZ2&amp;" "&amp;AY2</f>
        <v>Proportion of patients treated within 14 days of symptoms within England</v>
      </c>
      <c r="BB2" s="4">
        <v>0.59712746858168764</v>
      </c>
      <c r="BC2" s="4">
        <v>0.5577350111028867</v>
      </c>
      <c r="BD2" s="4">
        <v>0.49857346647646222</v>
      </c>
    </row>
    <row r="3" spans="1:56" x14ac:dyDescent="0.25">
      <c r="A3" t="s">
        <v>8</v>
      </c>
      <c r="B3" t="s">
        <v>7</v>
      </c>
      <c r="C3">
        <v>8</v>
      </c>
      <c r="D3">
        <v>8</v>
      </c>
      <c r="E3">
        <v>8</v>
      </c>
      <c r="F3" s="4">
        <v>1</v>
      </c>
      <c r="G3">
        <v>3</v>
      </c>
      <c r="H3">
        <v>2</v>
      </c>
      <c r="I3">
        <v>1</v>
      </c>
      <c r="J3" s="4">
        <v>0.5</v>
      </c>
      <c r="K3">
        <v>4</v>
      </c>
      <c r="L3">
        <v>4</v>
      </c>
      <c r="M3">
        <v>4</v>
      </c>
      <c r="N3" s="4">
        <v>1</v>
      </c>
      <c r="O3">
        <v>11</v>
      </c>
      <c r="P3">
        <v>9</v>
      </c>
      <c r="Q3">
        <v>9</v>
      </c>
      <c r="R3" s="4">
        <v>1</v>
      </c>
      <c r="S3">
        <v>4</v>
      </c>
      <c r="T3">
        <v>4</v>
      </c>
      <c r="U3">
        <v>4</v>
      </c>
      <c r="V3" s="4">
        <v>1</v>
      </c>
      <c r="W3">
        <v>0</v>
      </c>
      <c r="X3">
        <v>0</v>
      </c>
      <c r="Y3">
        <v>0</v>
      </c>
      <c r="Z3" s="4" t="s">
        <v>122</v>
      </c>
      <c r="AA3">
        <v>11</v>
      </c>
      <c r="AB3">
        <v>9</v>
      </c>
      <c r="AC3">
        <v>8</v>
      </c>
      <c r="AD3" s="4">
        <v>0.88888889999999998</v>
      </c>
      <c r="AE3">
        <v>4</v>
      </c>
      <c r="AF3">
        <v>3</v>
      </c>
      <c r="AG3">
        <v>2</v>
      </c>
      <c r="AH3" s="4">
        <v>0.66666669999999995</v>
      </c>
      <c r="AI3">
        <v>3</v>
      </c>
      <c r="AJ3">
        <v>1</v>
      </c>
      <c r="AK3">
        <v>1</v>
      </c>
      <c r="AL3" s="4">
        <v>1</v>
      </c>
      <c r="AM3">
        <v>4</v>
      </c>
      <c r="AN3">
        <v>4</v>
      </c>
      <c r="AO3">
        <v>4</v>
      </c>
      <c r="AP3" s="4">
        <v>1</v>
      </c>
      <c r="AQ3">
        <v>8</v>
      </c>
      <c r="AR3">
        <v>6</v>
      </c>
      <c r="AS3">
        <v>1</v>
      </c>
      <c r="AT3" s="4">
        <v>0.1666667</v>
      </c>
      <c r="AU3">
        <v>8</v>
      </c>
      <c r="AV3">
        <v>5</v>
      </c>
      <c r="AW3">
        <v>2</v>
      </c>
      <c r="AX3" s="4">
        <v>0.4</v>
      </c>
      <c r="AY3" t="s">
        <v>526</v>
      </c>
      <c r="AZ3" t="s">
        <v>540</v>
      </c>
      <c r="BA3" t="str">
        <f t="shared" ref="BA3:BA66" si="0">AZ3&amp;" "&amp;AY3</f>
        <v>Proportion of patients treated within 14 days of symptoms within England</v>
      </c>
      <c r="BB3" s="4">
        <v>0.59712746858168764</v>
      </c>
      <c r="BC3" s="4">
        <v>0.5577350111028867</v>
      </c>
      <c r="BD3" s="4">
        <v>0.49857346647646222</v>
      </c>
    </row>
    <row r="4" spans="1:56" x14ac:dyDescent="0.25">
      <c r="A4" t="s">
        <v>152</v>
      </c>
      <c r="B4" t="s">
        <v>151</v>
      </c>
      <c r="C4">
        <v>14</v>
      </c>
      <c r="D4">
        <v>14</v>
      </c>
      <c r="E4">
        <v>8</v>
      </c>
      <c r="F4" s="4">
        <v>0.57142859999999995</v>
      </c>
      <c r="G4">
        <v>12</v>
      </c>
      <c r="H4">
        <v>11</v>
      </c>
      <c r="I4">
        <v>6</v>
      </c>
      <c r="J4" s="4">
        <v>0.54545460000000001</v>
      </c>
      <c r="K4">
        <v>14</v>
      </c>
      <c r="L4">
        <v>13</v>
      </c>
      <c r="M4">
        <v>4</v>
      </c>
      <c r="N4" s="4">
        <v>0.30769229999999997</v>
      </c>
      <c r="O4">
        <v>14</v>
      </c>
      <c r="P4">
        <v>14</v>
      </c>
      <c r="Q4">
        <v>6</v>
      </c>
      <c r="R4" s="4">
        <v>0.42857139999999999</v>
      </c>
      <c r="S4">
        <v>26</v>
      </c>
      <c r="T4">
        <v>22</v>
      </c>
      <c r="U4">
        <v>8</v>
      </c>
      <c r="V4" s="4">
        <v>0.36363640000000003</v>
      </c>
      <c r="W4">
        <v>15</v>
      </c>
      <c r="X4">
        <v>13</v>
      </c>
      <c r="Y4">
        <v>4</v>
      </c>
      <c r="Z4" s="4">
        <v>0.30769229999999997</v>
      </c>
      <c r="AA4">
        <v>10</v>
      </c>
      <c r="AB4">
        <v>9</v>
      </c>
      <c r="AC4">
        <v>4</v>
      </c>
      <c r="AD4" s="4">
        <v>0.44444440000000002</v>
      </c>
      <c r="AE4">
        <v>20</v>
      </c>
      <c r="AF4">
        <v>19</v>
      </c>
      <c r="AG4">
        <v>9</v>
      </c>
      <c r="AH4" s="4">
        <v>0.4736842</v>
      </c>
      <c r="AI4">
        <v>20</v>
      </c>
      <c r="AJ4">
        <v>14</v>
      </c>
      <c r="AK4">
        <v>5</v>
      </c>
      <c r="AL4" s="4">
        <v>0.35714289999999999</v>
      </c>
      <c r="AM4">
        <v>13</v>
      </c>
      <c r="AN4">
        <v>12</v>
      </c>
      <c r="AO4">
        <v>4</v>
      </c>
      <c r="AP4" s="4">
        <v>0.3333333</v>
      </c>
      <c r="AQ4">
        <v>19</v>
      </c>
      <c r="AR4">
        <v>19</v>
      </c>
      <c r="AS4">
        <v>7</v>
      </c>
      <c r="AT4" s="4">
        <v>0.368421</v>
      </c>
      <c r="AU4">
        <v>20</v>
      </c>
      <c r="AV4">
        <v>16</v>
      </c>
      <c r="AW4">
        <v>9</v>
      </c>
      <c r="AX4" s="4">
        <v>0.5625</v>
      </c>
      <c r="AY4" t="s">
        <v>526</v>
      </c>
      <c r="AZ4" t="s">
        <v>540</v>
      </c>
      <c r="BA4" t="str">
        <f t="shared" si="0"/>
        <v>Proportion of patients treated within 14 days of symptoms within England</v>
      </c>
      <c r="BB4" s="4">
        <v>0.59712746858168764</v>
      </c>
      <c r="BC4" s="4">
        <v>0.5577350111028867</v>
      </c>
      <c r="BD4" s="4">
        <v>0.49857346647646222</v>
      </c>
    </row>
    <row r="5" spans="1:56" x14ac:dyDescent="0.25">
      <c r="A5" t="s">
        <v>117</v>
      </c>
      <c r="B5" t="s">
        <v>116</v>
      </c>
      <c r="C5">
        <v>34</v>
      </c>
      <c r="D5">
        <v>34</v>
      </c>
      <c r="E5">
        <v>20</v>
      </c>
      <c r="F5" s="4">
        <v>0.58823530000000002</v>
      </c>
      <c r="G5">
        <v>29</v>
      </c>
      <c r="H5">
        <v>29</v>
      </c>
      <c r="I5">
        <v>16</v>
      </c>
      <c r="J5" s="4">
        <v>0.55172410000000005</v>
      </c>
      <c r="K5">
        <v>23</v>
      </c>
      <c r="L5">
        <v>23</v>
      </c>
      <c r="M5">
        <v>9</v>
      </c>
      <c r="N5" s="4">
        <v>0.39130429999999999</v>
      </c>
      <c r="O5">
        <v>36</v>
      </c>
      <c r="P5">
        <v>36</v>
      </c>
      <c r="Q5">
        <v>17</v>
      </c>
      <c r="R5" s="4">
        <v>0.47222219999999998</v>
      </c>
      <c r="S5">
        <v>22</v>
      </c>
      <c r="T5">
        <v>22</v>
      </c>
      <c r="U5">
        <v>14</v>
      </c>
      <c r="V5" s="4">
        <v>0.63636360000000003</v>
      </c>
      <c r="W5">
        <v>23</v>
      </c>
      <c r="X5">
        <v>23</v>
      </c>
      <c r="Y5">
        <v>7</v>
      </c>
      <c r="Z5" s="4">
        <v>0.3043478</v>
      </c>
      <c r="AA5">
        <v>25</v>
      </c>
      <c r="AB5">
        <v>25</v>
      </c>
      <c r="AC5">
        <v>10</v>
      </c>
      <c r="AD5" s="4">
        <v>0.4</v>
      </c>
      <c r="AE5">
        <v>29</v>
      </c>
      <c r="AF5">
        <v>29</v>
      </c>
      <c r="AG5">
        <v>12</v>
      </c>
      <c r="AH5" s="4">
        <v>0.41379310000000002</v>
      </c>
      <c r="AI5">
        <v>39</v>
      </c>
      <c r="AJ5">
        <v>39</v>
      </c>
      <c r="AK5">
        <v>17</v>
      </c>
      <c r="AL5" s="4">
        <v>0.43589739999999999</v>
      </c>
      <c r="AM5">
        <v>32</v>
      </c>
      <c r="AN5">
        <v>32</v>
      </c>
      <c r="AO5">
        <v>5</v>
      </c>
      <c r="AP5" s="4">
        <v>0.15625</v>
      </c>
      <c r="AQ5">
        <v>39</v>
      </c>
      <c r="AR5">
        <v>38</v>
      </c>
      <c r="AS5">
        <v>12</v>
      </c>
      <c r="AT5" s="4">
        <v>0.3157895</v>
      </c>
      <c r="AU5">
        <v>29</v>
      </c>
      <c r="AV5">
        <v>29</v>
      </c>
      <c r="AW5">
        <v>13</v>
      </c>
      <c r="AX5" s="4">
        <v>0.4482759</v>
      </c>
      <c r="AY5" t="s">
        <v>531</v>
      </c>
      <c r="AZ5" t="s">
        <v>540</v>
      </c>
      <c r="BA5" t="str">
        <f t="shared" si="0"/>
        <v>Proportion of patients treated within 14 days of symptoms within Northern Ireland</v>
      </c>
      <c r="BB5" s="4">
        <v>0.50819672131147542</v>
      </c>
      <c r="BC5" s="4">
        <v>0.43434343434343436</v>
      </c>
      <c r="BD5" s="4">
        <v>0.34057971014492755</v>
      </c>
    </row>
    <row r="6" spans="1:56" x14ac:dyDescent="0.25">
      <c r="A6" t="s">
        <v>1</v>
      </c>
      <c r="B6" t="s">
        <v>0</v>
      </c>
      <c r="C6">
        <v>8</v>
      </c>
      <c r="D6">
        <v>8</v>
      </c>
      <c r="E6">
        <v>1</v>
      </c>
      <c r="F6" s="4">
        <v>0.125</v>
      </c>
      <c r="G6">
        <v>6</v>
      </c>
      <c r="H6">
        <v>6</v>
      </c>
      <c r="I6">
        <v>4</v>
      </c>
      <c r="J6" s="4">
        <v>0.66666669999999995</v>
      </c>
      <c r="K6">
        <v>5</v>
      </c>
      <c r="L6">
        <v>5</v>
      </c>
      <c r="M6">
        <v>3</v>
      </c>
      <c r="N6" s="4">
        <v>0.6</v>
      </c>
      <c r="O6">
        <v>4</v>
      </c>
      <c r="P6">
        <v>4</v>
      </c>
      <c r="Q6">
        <v>3</v>
      </c>
      <c r="R6" s="4">
        <v>0.75</v>
      </c>
      <c r="S6">
        <v>13</v>
      </c>
      <c r="T6">
        <v>13</v>
      </c>
      <c r="U6">
        <v>7</v>
      </c>
      <c r="V6" s="4">
        <v>0.53846159999999998</v>
      </c>
      <c r="W6">
        <v>7</v>
      </c>
      <c r="X6">
        <v>7</v>
      </c>
      <c r="Y6">
        <v>5</v>
      </c>
      <c r="Z6" s="4">
        <v>0.71428570000000002</v>
      </c>
      <c r="AA6">
        <v>5</v>
      </c>
      <c r="AB6">
        <v>5</v>
      </c>
      <c r="AC6">
        <v>4</v>
      </c>
      <c r="AD6" s="4">
        <v>0.8</v>
      </c>
      <c r="AE6">
        <v>6</v>
      </c>
      <c r="AF6">
        <v>6</v>
      </c>
      <c r="AG6">
        <v>3</v>
      </c>
      <c r="AH6" s="4">
        <v>0.5</v>
      </c>
      <c r="AI6">
        <v>6</v>
      </c>
      <c r="AJ6">
        <v>6</v>
      </c>
      <c r="AK6">
        <v>2</v>
      </c>
      <c r="AL6" s="4">
        <v>0.3333333</v>
      </c>
      <c r="AM6">
        <v>5</v>
      </c>
      <c r="AN6">
        <v>5</v>
      </c>
      <c r="AO6">
        <v>4</v>
      </c>
      <c r="AP6" s="4">
        <v>0.8</v>
      </c>
      <c r="AQ6">
        <v>8</v>
      </c>
      <c r="AR6">
        <v>8</v>
      </c>
      <c r="AS6">
        <v>7</v>
      </c>
      <c r="AT6" s="4">
        <v>0.875</v>
      </c>
      <c r="AU6">
        <v>9</v>
      </c>
      <c r="AV6">
        <v>9</v>
      </c>
      <c r="AW6">
        <v>7</v>
      </c>
      <c r="AX6" s="4">
        <v>0.77777779999999996</v>
      </c>
      <c r="AY6" t="s">
        <v>527</v>
      </c>
      <c r="AZ6" t="s">
        <v>540</v>
      </c>
      <c r="BA6" t="str">
        <f t="shared" si="0"/>
        <v>Proportion of patients treated within 14 days of symptoms within Wales</v>
      </c>
      <c r="BB6" s="4">
        <v>0.61157024793388426</v>
      </c>
      <c r="BC6" s="4">
        <v>0.58914728682170547</v>
      </c>
      <c r="BD6" s="4">
        <v>0.55633802816901412</v>
      </c>
    </row>
    <row r="7" spans="1:56" x14ac:dyDescent="0.25">
      <c r="A7" t="s">
        <v>13</v>
      </c>
      <c r="B7" t="s">
        <v>12</v>
      </c>
      <c r="C7">
        <v>4</v>
      </c>
      <c r="D7">
        <v>4</v>
      </c>
      <c r="E7">
        <v>4</v>
      </c>
      <c r="F7" s="4">
        <v>1</v>
      </c>
      <c r="G7">
        <v>6</v>
      </c>
      <c r="H7">
        <v>6</v>
      </c>
      <c r="I7">
        <v>3</v>
      </c>
      <c r="J7" s="4">
        <v>0.5</v>
      </c>
      <c r="K7">
        <v>13</v>
      </c>
      <c r="L7">
        <v>13</v>
      </c>
      <c r="M7">
        <v>5</v>
      </c>
      <c r="N7" s="4">
        <v>0.3846154</v>
      </c>
      <c r="O7">
        <v>7</v>
      </c>
      <c r="P7">
        <v>7</v>
      </c>
      <c r="Q7">
        <v>4</v>
      </c>
      <c r="R7" s="4">
        <v>0.57142859999999995</v>
      </c>
      <c r="S7">
        <v>9</v>
      </c>
      <c r="T7">
        <v>9</v>
      </c>
      <c r="U7">
        <v>5</v>
      </c>
      <c r="V7" s="4">
        <v>0.55555560000000004</v>
      </c>
      <c r="W7">
        <v>13</v>
      </c>
      <c r="X7">
        <v>12</v>
      </c>
      <c r="Y7">
        <v>7</v>
      </c>
      <c r="Z7" s="4">
        <v>0.58333330000000005</v>
      </c>
      <c r="AA7">
        <v>11</v>
      </c>
      <c r="AB7">
        <v>11</v>
      </c>
      <c r="AC7">
        <v>5</v>
      </c>
      <c r="AD7" s="4">
        <v>0.45454549999999999</v>
      </c>
      <c r="AE7">
        <v>16</v>
      </c>
      <c r="AF7">
        <v>16</v>
      </c>
      <c r="AG7">
        <v>8</v>
      </c>
      <c r="AH7" s="4">
        <v>0.5</v>
      </c>
      <c r="AI7">
        <v>12</v>
      </c>
      <c r="AJ7">
        <v>12</v>
      </c>
      <c r="AK7">
        <v>7</v>
      </c>
      <c r="AL7" s="4">
        <v>0.58333330000000005</v>
      </c>
      <c r="AM7">
        <v>18</v>
      </c>
      <c r="AN7">
        <v>18</v>
      </c>
      <c r="AO7">
        <v>12</v>
      </c>
      <c r="AP7" s="4">
        <v>0.66666669999999995</v>
      </c>
      <c r="AQ7">
        <v>13</v>
      </c>
      <c r="AR7">
        <v>13</v>
      </c>
      <c r="AS7">
        <v>8</v>
      </c>
      <c r="AT7" s="4">
        <v>0.61538459999999995</v>
      </c>
      <c r="AU7">
        <v>13</v>
      </c>
      <c r="AV7">
        <v>13</v>
      </c>
      <c r="AW7">
        <v>3</v>
      </c>
      <c r="AX7" s="4">
        <v>0.23076920000000001</v>
      </c>
      <c r="AY7" t="s">
        <v>526</v>
      </c>
      <c r="AZ7" t="s">
        <v>540</v>
      </c>
      <c r="BA7" t="str">
        <f t="shared" si="0"/>
        <v>Proportion of patients treated within 14 days of symptoms within England</v>
      </c>
      <c r="BB7" s="4">
        <v>0.59712746858168764</v>
      </c>
      <c r="BC7" s="4">
        <v>0.5577350111028867</v>
      </c>
      <c r="BD7" s="4">
        <v>0.49857346647646222</v>
      </c>
    </row>
    <row r="8" spans="1:56" x14ac:dyDescent="0.25">
      <c r="A8" t="s">
        <v>30</v>
      </c>
      <c r="B8" t="s">
        <v>29</v>
      </c>
      <c r="C8">
        <v>21</v>
      </c>
      <c r="D8">
        <v>20</v>
      </c>
      <c r="E8">
        <v>2</v>
      </c>
      <c r="F8" s="4">
        <v>0.1</v>
      </c>
      <c r="G8">
        <v>17</v>
      </c>
      <c r="H8">
        <v>16</v>
      </c>
      <c r="I8">
        <v>5</v>
      </c>
      <c r="J8" s="4">
        <v>0.3125</v>
      </c>
      <c r="K8">
        <v>8</v>
      </c>
      <c r="L8">
        <v>8</v>
      </c>
      <c r="M8">
        <v>2</v>
      </c>
      <c r="N8" s="4">
        <v>0.25</v>
      </c>
      <c r="O8">
        <v>19</v>
      </c>
      <c r="P8">
        <v>19</v>
      </c>
      <c r="Q8">
        <v>4</v>
      </c>
      <c r="R8" s="4">
        <v>0.2105263</v>
      </c>
      <c r="S8">
        <v>26</v>
      </c>
      <c r="T8">
        <v>23</v>
      </c>
      <c r="U8">
        <v>8</v>
      </c>
      <c r="V8" s="4">
        <v>0.34782610000000003</v>
      </c>
      <c r="W8">
        <v>20</v>
      </c>
      <c r="X8">
        <v>18</v>
      </c>
      <c r="Y8">
        <v>5</v>
      </c>
      <c r="Z8" s="4">
        <v>0.27777780000000002</v>
      </c>
      <c r="AA8">
        <v>20</v>
      </c>
      <c r="AB8">
        <v>19</v>
      </c>
      <c r="AC8">
        <v>6</v>
      </c>
      <c r="AD8" s="4">
        <v>0.3157895</v>
      </c>
      <c r="AE8">
        <v>15</v>
      </c>
      <c r="AF8">
        <v>14</v>
      </c>
      <c r="AG8">
        <v>3</v>
      </c>
      <c r="AH8" s="4">
        <v>0.2142857</v>
      </c>
      <c r="AI8">
        <v>25</v>
      </c>
      <c r="AJ8">
        <v>24</v>
      </c>
      <c r="AK8">
        <v>9</v>
      </c>
      <c r="AL8" s="4">
        <v>0.375</v>
      </c>
      <c r="AM8">
        <v>20</v>
      </c>
      <c r="AN8">
        <v>19</v>
      </c>
      <c r="AO8">
        <v>6</v>
      </c>
      <c r="AP8" s="4">
        <v>0.3157895</v>
      </c>
      <c r="AQ8">
        <v>16</v>
      </c>
      <c r="AR8">
        <v>15</v>
      </c>
      <c r="AS8">
        <v>3</v>
      </c>
      <c r="AT8" s="4">
        <v>0.2</v>
      </c>
      <c r="AU8">
        <v>20</v>
      </c>
      <c r="AV8">
        <v>16</v>
      </c>
      <c r="AW8">
        <v>2</v>
      </c>
      <c r="AX8" s="4">
        <v>0.125</v>
      </c>
      <c r="AY8" t="s">
        <v>526</v>
      </c>
      <c r="AZ8" t="s">
        <v>540</v>
      </c>
      <c r="BA8" t="str">
        <f t="shared" si="0"/>
        <v>Proportion of patients treated within 14 days of symptoms within England</v>
      </c>
      <c r="BB8" s="4">
        <v>0.59712746858168764</v>
      </c>
      <c r="BC8" s="4">
        <v>0.5577350111028867</v>
      </c>
      <c r="BD8" s="4">
        <v>0.49857346647646222</v>
      </c>
    </row>
    <row r="9" spans="1:56" x14ac:dyDescent="0.25">
      <c r="A9" t="s">
        <v>4</v>
      </c>
      <c r="B9" t="s">
        <v>3</v>
      </c>
      <c r="C9">
        <v>1</v>
      </c>
      <c r="D9">
        <v>1</v>
      </c>
      <c r="E9">
        <v>1</v>
      </c>
      <c r="F9" s="4">
        <v>1</v>
      </c>
      <c r="G9">
        <v>11</v>
      </c>
      <c r="H9">
        <v>11</v>
      </c>
      <c r="I9">
        <v>8</v>
      </c>
      <c r="J9" s="4">
        <v>0.72727269999999999</v>
      </c>
      <c r="K9">
        <v>3</v>
      </c>
      <c r="L9">
        <v>3</v>
      </c>
      <c r="M9">
        <v>1</v>
      </c>
      <c r="N9" s="4">
        <v>0.3333333</v>
      </c>
      <c r="O9">
        <v>3</v>
      </c>
      <c r="P9">
        <v>3</v>
      </c>
      <c r="Q9">
        <v>3</v>
      </c>
      <c r="R9" s="4">
        <v>1</v>
      </c>
      <c r="S9">
        <v>1</v>
      </c>
      <c r="T9">
        <v>1</v>
      </c>
      <c r="U9">
        <v>1</v>
      </c>
      <c r="V9" s="4">
        <v>1</v>
      </c>
      <c r="W9">
        <v>4</v>
      </c>
      <c r="X9">
        <v>4</v>
      </c>
      <c r="Y9">
        <v>4</v>
      </c>
      <c r="Z9" s="4">
        <v>1</v>
      </c>
      <c r="AA9">
        <v>4</v>
      </c>
      <c r="AB9">
        <v>4</v>
      </c>
      <c r="AC9">
        <v>4</v>
      </c>
      <c r="AD9" s="4">
        <v>1</v>
      </c>
      <c r="AE9">
        <v>8</v>
      </c>
      <c r="AF9">
        <v>8</v>
      </c>
      <c r="AG9">
        <v>6</v>
      </c>
      <c r="AH9" s="4">
        <v>0.75</v>
      </c>
      <c r="AI9">
        <v>14</v>
      </c>
      <c r="AJ9">
        <v>14</v>
      </c>
      <c r="AK9">
        <v>10</v>
      </c>
      <c r="AL9" s="4">
        <v>0.71428570000000002</v>
      </c>
      <c r="AM9">
        <v>11</v>
      </c>
      <c r="AN9">
        <v>11</v>
      </c>
      <c r="AO9">
        <v>6</v>
      </c>
      <c r="AP9" s="4">
        <v>0.54545460000000001</v>
      </c>
      <c r="AQ9">
        <v>10</v>
      </c>
      <c r="AR9">
        <v>10</v>
      </c>
      <c r="AS9">
        <v>5</v>
      </c>
      <c r="AT9" s="4">
        <v>0.5</v>
      </c>
      <c r="AU9">
        <v>15</v>
      </c>
      <c r="AV9">
        <v>15</v>
      </c>
      <c r="AW9">
        <v>9</v>
      </c>
      <c r="AX9" s="4">
        <v>0.6</v>
      </c>
      <c r="AY9" t="s">
        <v>527</v>
      </c>
      <c r="AZ9" t="s">
        <v>540</v>
      </c>
      <c r="BA9" t="str">
        <f t="shared" si="0"/>
        <v>Proportion of patients treated within 14 days of symptoms within Wales</v>
      </c>
      <c r="BB9" s="4">
        <v>0.61157024793388426</v>
      </c>
      <c r="BC9" s="4">
        <v>0.58914728682170547</v>
      </c>
      <c r="BD9" s="4">
        <v>0.55633802816901412</v>
      </c>
    </row>
    <row r="10" spans="1:56" x14ac:dyDescent="0.25">
      <c r="A10" t="s">
        <v>45</v>
      </c>
      <c r="B10" t="s">
        <v>44</v>
      </c>
      <c r="C10">
        <v>16</v>
      </c>
      <c r="D10">
        <v>16</v>
      </c>
      <c r="E10">
        <v>5</v>
      </c>
      <c r="F10" s="4">
        <v>0.3125</v>
      </c>
      <c r="G10">
        <v>19</v>
      </c>
      <c r="H10">
        <v>19</v>
      </c>
      <c r="I10">
        <v>8</v>
      </c>
      <c r="J10" s="4">
        <v>0.4210526</v>
      </c>
      <c r="K10">
        <v>10</v>
      </c>
      <c r="L10">
        <v>10</v>
      </c>
      <c r="M10">
        <v>3</v>
      </c>
      <c r="N10" s="4">
        <v>0.3</v>
      </c>
      <c r="O10">
        <v>14</v>
      </c>
      <c r="P10">
        <v>14</v>
      </c>
      <c r="Q10">
        <v>6</v>
      </c>
      <c r="R10" s="4">
        <v>0.42857139999999999</v>
      </c>
      <c r="S10">
        <v>20</v>
      </c>
      <c r="T10">
        <v>20</v>
      </c>
      <c r="U10">
        <v>3</v>
      </c>
      <c r="V10" s="4">
        <v>0.15</v>
      </c>
      <c r="W10">
        <v>20</v>
      </c>
      <c r="X10">
        <v>19</v>
      </c>
      <c r="Y10">
        <v>8</v>
      </c>
      <c r="Z10" s="4">
        <v>0.4210526</v>
      </c>
      <c r="AA10">
        <v>18</v>
      </c>
      <c r="AB10">
        <v>17</v>
      </c>
      <c r="AC10">
        <v>5</v>
      </c>
      <c r="AD10" s="4">
        <v>0.29411769999999998</v>
      </c>
      <c r="AE10">
        <v>18</v>
      </c>
      <c r="AF10">
        <v>17</v>
      </c>
      <c r="AG10">
        <v>3</v>
      </c>
      <c r="AH10" s="4">
        <v>0.17647060000000001</v>
      </c>
      <c r="AI10">
        <v>22</v>
      </c>
      <c r="AJ10">
        <v>22</v>
      </c>
      <c r="AK10">
        <v>9</v>
      </c>
      <c r="AL10" s="4">
        <v>0.40909089999999998</v>
      </c>
      <c r="AM10">
        <v>22</v>
      </c>
      <c r="AN10">
        <v>22</v>
      </c>
      <c r="AO10">
        <v>10</v>
      </c>
      <c r="AP10" s="4">
        <v>0.45454549999999999</v>
      </c>
      <c r="AQ10">
        <v>28</v>
      </c>
      <c r="AR10">
        <v>28</v>
      </c>
      <c r="AS10">
        <v>9</v>
      </c>
      <c r="AT10" s="4">
        <v>0.32142860000000001</v>
      </c>
      <c r="AU10">
        <v>29</v>
      </c>
      <c r="AV10">
        <v>28</v>
      </c>
      <c r="AW10">
        <v>16</v>
      </c>
      <c r="AX10" s="4">
        <v>0.57142859999999995</v>
      </c>
      <c r="AY10" t="s">
        <v>526</v>
      </c>
      <c r="AZ10" t="s">
        <v>540</v>
      </c>
      <c r="BA10" t="str">
        <f t="shared" si="0"/>
        <v>Proportion of patients treated within 14 days of symptoms within England</v>
      </c>
      <c r="BB10" s="4">
        <v>0.59712746858168764</v>
      </c>
      <c r="BC10" s="4">
        <v>0.5577350111028867</v>
      </c>
      <c r="BD10" s="4">
        <v>0.49857346647646222</v>
      </c>
    </row>
    <row r="11" spans="1:56" x14ac:dyDescent="0.25">
      <c r="A11" t="s">
        <v>128</v>
      </c>
      <c r="B11" t="s">
        <v>57</v>
      </c>
      <c r="C11">
        <v>13</v>
      </c>
      <c r="D11">
        <v>13</v>
      </c>
      <c r="E11">
        <v>6</v>
      </c>
      <c r="F11" s="4">
        <v>0.46153850000000002</v>
      </c>
      <c r="G11">
        <v>4</v>
      </c>
      <c r="H11">
        <v>4</v>
      </c>
      <c r="I11">
        <v>2</v>
      </c>
      <c r="J11" s="4">
        <v>0.5</v>
      </c>
      <c r="K11">
        <v>14</v>
      </c>
      <c r="L11">
        <v>14</v>
      </c>
      <c r="M11">
        <v>11</v>
      </c>
      <c r="N11" s="4">
        <v>0.78571429999999998</v>
      </c>
      <c r="O11">
        <v>16</v>
      </c>
      <c r="P11">
        <v>16</v>
      </c>
      <c r="Q11">
        <v>10</v>
      </c>
      <c r="R11" s="4">
        <v>0.625</v>
      </c>
      <c r="S11">
        <v>9</v>
      </c>
      <c r="T11">
        <v>9</v>
      </c>
      <c r="U11">
        <v>2</v>
      </c>
      <c r="V11" s="4">
        <v>0.22222220000000001</v>
      </c>
      <c r="W11">
        <v>9</v>
      </c>
      <c r="X11">
        <v>9</v>
      </c>
      <c r="Y11">
        <v>5</v>
      </c>
      <c r="Z11" s="4">
        <v>0.55555560000000004</v>
      </c>
      <c r="AA11">
        <v>11</v>
      </c>
      <c r="AB11">
        <v>11</v>
      </c>
      <c r="AC11">
        <v>9</v>
      </c>
      <c r="AD11" s="4">
        <v>0.81818179999999996</v>
      </c>
      <c r="AE11">
        <v>6</v>
      </c>
      <c r="AF11">
        <v>6</v>
      </c>
      <c r="AG11">
        <v>5</v>
      </c>
      <c r="AH11" s="4">
        <v>0.83333330000000005</v>
      </c>
      <c r="AI11">
        <v>8</v>
      </c>
      <c r="AJ11">
        <v>8</v>
      </c>
      <c r="AK11">
        <v>3</v>
      </c>
      <c r="AL11" s="4">
        <v>0.375</v>
      </c>
      <c r="AM11">
        <v>14</v>
      </c>
      <c r="AN11">
        <v>12</v>
      </c>
      <c r="AO11">
        <v>8</v>
      </c>
      <c r="AP11" s="4">
        <v>0.66666669999999995</v>
      </c>
      <c r="AQ11">
        <v>10</v>
      </c>
      <c r="AR11">
        <v>10</v>
      </c>
      <c r="AS11">
        <v>3</v>
      </c>
      <c r="AT11" s="4">
        <v>0.3</v>
      </c>
      <c r="AU11">
        <v>6</v>
      </c>
      <c r="AV11">
        <v>5</v>
      </c>
      <c r="AW11">
        <v>2</v>
      </c>
      <c r="AX11" s="4">
        <v>0.4</v>
      </c>
      <c r="AY11" t="s">
        <v>526</v>
      </c>
      <c r="AZ11" t="s">
        <v>540</v>
      </c>
      <c r="BA11" t="str">
        <f t="shared" si="0"/>
        <v>Proportion of patients treated within 14 days of symptoms within England</v>
      </c>
      <c r="BB11" s="4">
        <v>0.59712746858168764</v>
      </c>
      <c r="BC11" s="4">
        <v>0.5577350111028867</v>
      </c>
      <c r="BD11" s="4">
        <v>0.49857346647646222</v>
      </c>
    </row>
    <row r="12" spans="1:56" x14ac:dyDescent="0.25">
      <c r="A12" t="s">
        <v>89</v>
      </c>
      <c r="B12" t="s">
        <v>88</v>
      </c>
      <c r="C12">
        <v>9</v>
      </c>
      <c r="D12">
        <v>8</v>
      </c>
      <c r="E12">
        <v>7</v>
      </c>
      <c r="F12" s="4">
        <v>0.875</v>
      </c>
      <c r="G12">
        <v>12</v>
      </c>
      <c r="H12">
        <v>11</v>
      </c>
      <c r="I12">
        <v>8</v>
      </c>
      <c r="J12" s="4">
        <v>0.72727269999999999</v>
      </c>
      <c r="K12">
        <v>5</v>
      </c>
      <c r="L12">
        <v>5</v>
      </c>
      <c r="M12">
        <v>4</v>
      </c>
      <c r="N12" s="4">
        <v>0.8</v>
      </c>
      <c r="O12">
        <v>5</v>
      </c>
      <c r="P12">
        <v>2</v>
      </c>
      <c r="Q12">
        <v>1</v>
      </c>
      <c r="R12" s="4">
        <v>0.5</v>
      </c>
      <c r="S12">
        <v>8</v>
      </c>
      <c r="T12">
        <v>8</v>
      </c>
      <c r="U12">
        <v>6</v>
      </c>
      <c r="V12" s="4">
        <v>0.75</v>
      </c>
      <c r="W12">
        <v>7</v>
      </c>
      <c r="X12">
        <v>7</v>
      </c>
      <c r="Y12">
        <v>6</v>
      </c>
      <c r="Z12" s="4">
        <v>0.85714290000000004</v>
      </c>
      <c r="AA12">
        <v>8</v>
      </c>
      <c r="AB12">
        <v>8</v>
      </c>
      <c r="AC12">
        <v>5</v>
      </c>
      <c r="AD12" s="4">
        <v>0.625</v>
      </c>
      <c r="AE12">
        <v>7</v>
      </c>
      <c r="AF12">
        <v>7</v>
      </c>
      <c r="AG12">
        <v>6</v>
      </c>
      <c r="AH12" s="4">
        <v>0.85714290000000004</v>
      </c>
      <c r="AI12">
        <v>6</v>
      </c>
      <c r="AJ12">
        <v>6</v>
      </c>
      <c r="AK12">
        <v>3</v>
      </c>
      <c r="AL12" s="4">
        <v>0.5</v>
      </c>
      <c r="AM12">
        <v>9</v>
      </c>
      <c r="AN12">
        <v>8</v>
      </c>
      <c r="AO12">
        <v>5</v>
      </c>
      <c r="AP12" s="4">
        <v>0.625</v>
      </c>
      <c r="AQ12">
        <v>8</v>
      </c>
      <c r="AR12">
        <v>8</v>
      </c>
      <c r="AS12">
        <v>5</v>
      </c>
      <c r="AT12" s="4">
        <v>0.625</v>
      </c>
      <c r="AU12">
        <v>5</v>
      </c>
      <c r="AV12">
        <v>5</v>
      </c>
      <c r="AW12">
        <v>4</v>
      </c>
      <c r="AX12" s="4">
        <v>0.8</v>
      </c>
      <c r="AY12" t="s">
        <v>526</v>
      </c>
      <c r="AZ12" t="s">
        <v>540</v>
      </c>
      <c r="BA12" t="str">
        <f t="shared" si="0"/>
        <v>Proportion of patients treated within 14 days of symptoms within England</v>
      </c>
      <c r="BB12" s="4">
        <v>0.59712746858168764</v>
      </c>
      <c r="BC12" s="4">
        <v>0.5577350111028867</v>
      </c>
      <c r="BD12" s="4">
        <v>0.49857346647646222</v>
      </c>
    </row>
    <row r="13" spans="1:56" x14ac:dyDescent="0.25">
      <c r="A13" t="s">
        <v>81</v>
      </c>
      <c r="B13" t="s">
        <v>80</v>
      </c>
      <c r="C13">
        <v>13</v>
      </c>
      <c r="D13">
        <v>11</v>
      </c>
      <c r="E13">
        <v>9</v>
      </c>
      <c r="F13" s="4">
        <v>0.81818179999999996</v>
      </c>
      <c r="G13">
        <v>16</v>
      </c>
      <c r="H13">
        <v>16</v>
      </c>
      <c r="I13">
        <v>8</v>
      </c>
      <c r="J13" s="4">
        <v>0.5</v>
      </c>
      <c r="K13">
        <v>16</v>
      </c>
      <c r="L13">
        <v>16</v>
      </c>
      <c r="M13">
        <v>12</v>
      </c>
      <c r="N13" s="4">
        <v>0.75</v>
      </c>
      <c r="O13">
        <v>18</v>
      </c>
      <c r="P13">
        <v>15</v>
      </c>
      <c r="Q13">
        <v>11</v>
      </c>
      <c r="R13" s="4">
        <v>0.73333329999999997</v>
      </c>
      <c r="S13">
        <v>9</v>
      </c>
      <c r="T13">
        <v>9</v>
      </c>
      <c r="U13">
        <v>8</v>
      </c>
      <c r="V13" s="4">
        <v>0.88888889999999998</v>
      </c>
      <c r="W13">
        <v>14</v>
      </c>
      <c r="X13">
        <v>12</v>
      </c>
      <c r="Y13">
        <v>10</v>
      </c>
      <c r="Z13" s="4">
        <v>0.83333330000000005</v>
      </c>
      <c r="AA13">
        <v>12</v>
      </c>
      <c r="AB13">
        <v>10</v>
      </c>
      <c r="AC13">
        <v>8</v>
      </c>
      <c r="AD13" s="4">
        <v>0.8</v>
      </c>
      <c r="AE13">
        <v>12</v>
      </c>
      <c r="AF13">
        <v>12</v>
      </c>
      <c r="AG13">
        <v>8</v>
      </c>
      <c r="AH13" s="4">
        <v>0.66666669999999995</v>
      </c>
      <c r="AI13">
        <v>12</v>
      </c>
      <c r="AJ13">
        <v>11</v>
      </c>
      <c r="AK13">
        <v>6</v>
      </c>
      <c r="AL13" s="4">
        <v>0.54545460000000001</v>
      </c>
      <c r="AM13">
        <v>7</v>
      </c>
      <c r="AN13">
        <v>5</v>
      </c>
      <c r="AO13">
        <v>4</v>
      </c>
      <c r="AP13" s="4">
        <v>0.8</v>
      </c>
      <c r="AQ13">
        <v>10</v>
      </c>
      <c r="AR13">
        <v>9</v>
      </c>
      <c r="AS13">
        <v>8</v>
      </c>
      <c r="AT13" s="4">
        <v>0.88888889999999998</v>
      </c>
      <c r="AU13">
        <v>14</v>
      </c>
      <c r="AV13">
        <v>13</v>
      </c>
      <c r="AW13">
        <v>5</v>
      </c>
      <c r="AX13" s="4">
        <v>0.3846154</v>
      </c>
      <c r="AY13" t="s">
        <v>526</v>
      </c>
      <c r="AZ13" t="s">
        <v>540</v>
      </c>
      <c r="BA13" t="str">
        <f t="shared" si="0"/>
        <v>Proportion of patients treated within 14 days of symptoms within England</v>
      </c>
      <c r="BB13" s="4">
        <v>0.59712746858168764</v>
      </c>
      <c r="BC13" s="4">
        <v>0.5577350111028867</v>
      </c>
      <c r="BD13" s="4">
        <v>0.49857346647646222</v>
      </c>
    </row>
    <row r="14" spans="1:56" x14ac:dyDescent="0.25">
      <c r="A14" t="s">
        <v>97</v>
      </c>
      <c r="B14" t="s">
        <v>96</v>
      </c>
      <c r="C14">
        <v>12</v>
      </c>
      <c r="D14">
        <v>12</v>
      </c>
      <c r="E14">
        <v>9</v>
      </c>
      <c r="F14" s="4">
        <v>0.75</v>
      </c>
      <c r="G14">
        <v>18</v>
      </c>
      <c r="H14">
        <v>17</v>
      </c>
      <c r="I14">
        <v>13</v>
      </c>
      <c r="J14" s="4">
        <v>0.76470590000000005</v>
      </c>
      <c r="K14">
        <v>11</v>
      </c>
      <c r="L14">
        <v>11</v>
      </c>
      <c r="M14">
        <v>8</v>
      </c>
      <c r="N14" s="4">
        <v>0.72727269999999999</v>
      </c>
      <c r="O14">
        <v>7</v>
      </c>
      <c r="P14">
        <v>6</v>
      </c>
      <c r="Q14">
        <v>1</v>
      </c>
      <c r="R14" s="4">
        <v>0.1666667</v>
      </c>
      <c r="S14">
        <v>7</v>
      </c>
      <c r="T14">
        <v>7</v>
      </c>
      <c r="U14">
        <v>5</v>
      </c>
      <c r="V14" s="4">
        <v>0.71428570000000002</v>
      </c>
      <c r="W14">
        <v>15</v>
      </c>
      <c r="X14">
        <v>13</v>
      </c>
      <c r="Y14">
        <v>5</v>
      </c>
      <c r="Z14" s="4">
        <v>0.3846154</v>
      </c>
      <c r="AA14">
        <v>2</v>
      </c>
      <c r="AB14">
        <v>1</v>
      </c>
      <c r="AC14">
        <v>0</v>
      </c>
      <c r="AD14" s="4">
        <v>0</v>
      </c>
      <c r="AE14">
        <v>10</v>
      </c>
      <c r="AF14">
        <v>10</v>
      </c>
      <c r="AG14">
        <v>4</v>
      </c>
      <c r="AH14" s="4">
        <v>0.4</v>
      </c>
      <c r="AI14">
        <v>13</v>
      </c>
      <c r="AJ14">
        <v>12</v>
      </c>
      <c r="AK14">
        <v>4</v>
      </c>
      <c r="AL14" s="4">
        <v>0.3333333</v>
      </c>
      <c r="AM14">
        <v>13</v>
      </c>
      <c r="AN14">
        <v>11</v>
      </c>
      <c r="AO14">
        <v>5</v>
      </c>
      <c r="AP14" s="4">
        <v>0.45454549999999999</v>
      </c>
      <c r="AQ14">
        <v>9</v>
      </c>
      <c r="AR14">
        <v>9</v>
      </c>
      <c r="AS14">
        <v>7</v>
      </c>
      <c r="AT14" s="4">
        <v>0.77777779999999996</v>
      </c>
      <c r="AU14">
        <v>5</v>
      </c>
      <c r="AV14">
        <v>4</v>
      </c>
      <c r="AW14">
        <v>1</v>
      </c>
      <c r="AX14" s="4">
        <v>0.25</v>
      </c>
      <c r="AY14" t="s">
        <v>526</v>
      </c>
      <c r="AZ14" t="s">
        <v>540</v>
      </c>
      <c r="BA14" t="str">
        <f t="shared" si="0"/>
        <v>Proportion of patients treated within 14 days of symptoms within England</v>
      </c>
      <c r="BB14" s="4">
        <v>0.59712746858168764</v>
      </c>
      <c r="BC14" s="4">
        <v>0.5577350111028867</v>
      </c>
      <c r="BD14" s="4">
        <v>0.49857346647646222</v>
      </c>
    </row>
    <row r="15" spans="1:56" x14ac:dyDescent="0.25">
      <c r="A15" t="s">
        <v>121</v>
      </c>
      <c r="B15" t="s">
        <v>20</v>
      </c>
      <c r="C15">
        <v>18</v>
      </c>
      <c r="D15">
        <v>18</v>
      </c>
      <c r="E15">
        <v>10</v>
      </c>
      <c r="F15" s="4">
        <v>0.55555560000000004</v>
      </c>
      <c r="G15">
        <v>16</v>
      </c>
      <c r="H15">
        <v>15</v>
      </c>
      <c r="I15">
        <v>10</v>
      </c>
      <c r="J15" s="4">
        <v>0.66666669999999995</v>
      </c>
      <c r="K15">
        <v>4</v>
      </c>
      <c r="L15">
        <v>4</v>
      </c>
      <c r="M15">
        <v>4</v>
      </c>
      <c r="N15" s="4">
        <v>1</v>
      </c>
      <c r="O15">
        <v>9</v>
      </c>
      <c r="P15">
        <v>9</v>
      </c>
      <c r="Q15">
        <v>3</v>
      </c>
      <c r="R15" s="4">
        <v>0.3333333</v>
      </c>
      <c r="S15">
        <v>12</v>
      </c>
      <c r="T15">
        <v>12</v>
      </c>
      <c r="U15">
        <v>5</v>
      </c>
      <c r="V15" s="4">
        <v>0.4166667</v>
      </c>
      <c r="W15">
        <v>11</v>
      </c>
      <c r="X15">
        <v>11</v>
      </c>
      <c r="Y15">
        <v>3</v>
      </c>
      <c r="Z15" s="4">
        <v>0.27272730000000001</v>
      </c>
      <c r="AA15">
        <v>11</v>
      </c>
      <c r="AB15">
        <v>11</v>
      </c>
      <c r="AC15">
        <v>5</v>
      </c>
      <c r="AD15" s="4">
        <v>0.45454549999999999</v>
      </c>
      <c r="AE15">
        <v>11</v>
      </c>
      <c r="AF15">
        <v>10</v>
      </c>
      <c r="AG15">
        <v>5</v>
      </c>
      <c r="AH15" s="4">
        <v>0.5</v>
      </c>
      <c r="AI15">
        <v>14</v>
      </c>
      <c r="AJ15">
        <v>13</v>
      </c>
      <c r="AK15">
        <v>8</v>
      </c>
      <c r="AL15" s="4">
        <v>0.61538459999999995</v>
      </c>
      <c r="AM15">
        <v>15</v>
      </c>
      <c r="AN15">
        <v>15</v>
      </c>
      <c r="AO15">
        <v>2</v>
      </c>
      <c r="AP15" s="4">
        <v>0.13333329999999999</v>
      </c>
      <c r="AQ15">
        <v>17</v>
      </c>
      <c r="AR15">
        <v>15</v>
      </c>
      <c r="AS15">
        <v>4</v>
      </c>
      <c r="AT15" s="4">
        <v>0.26666669999999998</v>
      </c>
      <c r="AU15">
        <v>9</v>
      </c>
      <c r="AV15">
        <v>9</v>
      </c>
      <c r="AW15">
        <v>3</v>
      </c>
      <c r="AX15" s="4">
        <v>0.3333333</v>
      </c>
      <c r="AY15" t="s">
        <v>526</v>
      </c>
      <c r="AZ15" t="s">
        <v>540</v>
      </c>
      <c r="BA15" t="str">
        <f t="shared" si="0"/>
        <v>Proportion of patients treated within 14 days of symptoms within England</v>
      </c>
      <c r="BB15" s="4">
        <v>0.59712746858168764</v>
      </c>
      <c r="BC15" s="4">
        <v>0.5577350111028867</v>
      </c>
      <c r="BD15" s="4">
        <v>0.49857346647646222</v>
      </c>
    </row>
    <row r="16" spans="1:56" x14ac:dyDescent="0.25">
      <c r="A16" t="s">
        <v>22</v>
      </c>
      <c r="B16" t="s">
        <v>21</v>
      </c>
      <c r="C16">
        <v>13</v>
      </c>
      <c r="D16">
        <v>13</v>
      </c>
      <c r="E16">
        <v>11</v>
      </c>
      <c r="F16" s="4">
        <v>0.84615390000000001</v>
      </c>
      <c r="G16">
        <v>10</v>
      </c>
      <c r="H16">
        <v>10</v>
      </c>
      <c r="I16">
        <v>9</v>
      </c>
      <c r="J16" s="4">
        <v>0.9</v>
      </c>
      <c r="K16">
        <v>11</v>
      </c>
      <c r="L16">
        <v>11</v>
      </c>
      <c r="M16">
        <v>11</v>
      </c>
      <c r="N16" s="4">
        <v>1</v>
      </c>
      <c r="O16">
        <v>10</v>
      </c>
      <c r="P16">
        <v>9</v>
      </c>
      <c r="Q16">
        <v>8</v>
      </c>
      <c r="R16" s="4">
        <v>0.88888889999999998</v>
      </c>
      <c r="S16">
        <v>11</v>
      </c>
      <c r="T16">
        <v>10</v>
      </c>
      <c r="U16">
        <v>9</v>
      </c>
      <c r="V16" s="4">
        <v>0.9</v>
      </c>
      <c r="W16">
        <v>6</v>
      </c>
      <c r="X16">
        <v>6</v>
      </c>
      <c r="Y16">
        <v>6</v>
      </c>
      <c r="Z16" s="4">
        <v>1</v>
      </c>
      <c r="AA16">
        <v>7</v>
      </c>
      <c r="AB16">
        <v>7</v>
      </c>
      <c r="AC16">
        <v>5</v>
      </c>
      <c r="AD16" s="4">
        <v>0.71428570000000002</v>
      </c>
      <c r="AE16">
        <v>10</v>
      </c>
      <c r="AF16">
        <v>8</v>
      </c>
      <c r="AG16">
        <v>5</v>
      </c>
      <c r="AH16" s="4">
        <v>0.625</v>
      </c>
      <c r="AI16">
        <v>9</v>
      </c>
      <c r="AJ16">
        <v>9</v>
      </c>
      <c r="AK16">
        <v>8</v>
      </c>
      <c r="AL16" s="4">
        <v>0.88888889999999998</v>
      </c>
      <c r="AM16">
        <v>16</v>
      </c>
      <c r="AN16">
        <v>15</v>
      </c>
      <c r="AO16">
        <v>13</v>
      </c>
      <c r="AP16" s="4">
        <v>0.86666670000000001</v>
      </c>
      <c r="AQ16">
        <v>11</v>
      </c>
      <c r="AR16">
        <v>10</v>
      </c>
      <c r="AS16">
        <v>8</v>
      </c>
      <c r="AT16" s="4">
        <v>0.8</v>
      </c>
      <c r="AU16">
        <v>10</v>
      </c>
      <c r="AV16">
        <v>10</v>
      </c>
      <c r="AW16">
        <v>7</v>
      </c>
      <c r="AX16" s="4">
        <v>0.7</v>
      </c>
      <c r="AY16" t="s">
        <v>526</v>
      </c>
      <c r="AZ16" t="s">
        <v>540</v>
      </c>
      <c r="BA16" t="str">
        <f t="shared" si="0"/>
        <v>Proportion of patients treated within 14 days of symptoms within England</v>
      </c>
      <c r="BB16" s="4">
        <v>0.59712746858168764</v>
      </c>
      <c r="BC16" s="4">
        <v>0.5577350111028867</v>
      </c>
      <c r="BD16" s="4">
        <v>0.49857346647646222</v>
      </c>
    </row>
    <row r="17" spans="1:56" x14ac:dyDescent="0.25">
      <c r="A17" t="s">
        <v>73</v>
      </c>
      <c r="B17" t="s">
        <v>72</v>
      </c>
      <c r="C17">
        <v>15</v>
      </c>
      <c r="D17">
        <v>14</v>
      </c>
      <c r="E17">
        <v>5</v>
      </c>
      <c r="F17" s="4">
        <v>0.35714289999999999</v>
      </c>
      <c r="G17">
        <v>13</v>
      </c>
      <c r="H17">
        <v>11</v>
      </c>
      <c r="I17">
        <v>6</v>
      </c>
      <c r="J17" s="4">
        <v>0.54545460000000001</v>
      </c>
      <c r="K17">
        <v>15</v>
      </c>
      <c r="L17">
        <v>15</v>
      </c>
      <c r="M17">
        <v>3</v>
      </c>
      <c r="N17" s="4">
        <v>0.2</v>
      </c>
      <c r="O17">
        <v>30</v>
      </c>
      <c r="P17">
        <v>26</v>
      </c>
      <c r="Q17">
        <v>9</v>
      </c>
      <c r="R17" s="4">
        <v>0.34615390000000001</v>
      </c>
      <c r="S17">
        <v>13</v>
      </c>
      <c r="T17">
        <v>12</v>
      </c>
      <c r="U17">
        <v>6</v>
      </c>
      <c r="V17" s="4">
        <v>0.5</v>
      </c>
      <c r="W17">
        <v>10</v>
      </c>
      <c r="X17">
        <v>10</v>
      </c>
      <c r="Y17">
        <v>5</v>
      </c>
      <c r="Z17" s="4">
        <v>0.5</v>
      </c>
      <c r="AA17">
        <v>12</v>
      </c>
      <c r="AB17">
        <v>11</v>
      </c>
      <c r="AC17">
        <v>3</v>
      </c>
      <c r="AD17" s="4">
        <v>0.27272730000000001</v>
      </c>
      <c r="AE17">
        <v>14</v>
      </c>
      <c r="AF17">
        <v>13</v>
      </c>
      <c r="AG17">
        <v>8</v>
      </c>
      <c r="AH17" s="4">
        <v>0.61538459999999995</v>
      </c>
      <c r="AI17">
        <v>13</v>
      </c>
      <c r="AJ17">
        <v>10</v>
      </c>
      <c r="AK17">
        <v>7</v>
      </c>
      <c r="AL17" s="4">
        <v>0.7</v>
      </c>
      <c r="AM17">
        <v>12</v>
      </c>
      <c r="AN17">
        <v>9</v>
      </c>
      <c r="AO17">
        <v>6</v>
      </c>
      <c r="AP17" s="4">
        <v>0.66666669999999995</v>
      </c>
      <c r="AQ17">
        <v>19</v>
      </c>
      <c r="AR17">
        <v>15</v>
      </c>
      <c r="AS17">
        <v>7</v>
      </c>
      <c r="AT17" s="4">
        <v>0.46666669999999999</v>
      </c>
      <c r="AU17">
        <v>15</v>
      </c>
      <c r="AV17">
        <v>11</v>
      </c>
      <c r="AW17">
        <v>3</v>
      </c>
      <c r="AX17" s="4">
        <v>0.27272730000000001</v>
      </c>
      <c r="AY17" t="s">
        <v>526</v>
      </c>
      <c r="AZ17" t="s">
        <v>540</v>
      </c>
      <c r="BA17" t="str">
        <f t="shared" si="0"/>
        <v>Proportion of patients treated within 14 days of symptoms within England</v>
      </c>
      <c r="BB17" s="4">
        <v>0.59712746858168764</v>
      </c>
      <c r="BC17" s="4">
        <v>0.5577350111028867</v>
      </c>
      <c r="BD17" s="4">
        <v>0.49857346647646222</v>
      </c>
    </row>
    <row r="18" spans="1:56" x14ac:dyDescent="0.25">
      <c r="A18" t="s">
        <v>39</v>
      </c>
      <c r="B18" t="s">
        <v>38</v>
      </c>
      <c r="C18">
        <v>10</v>
      </c>
      <c r="D18">
        <v>10</v>
      </c>
      <c r="E18">
        <v>4</v>
      </c>
      <c r="F18" s="4">
        <v>0.4</v>
      </c>
      <c r="G18">
        <v>10</v>
      </c>
      <c r="H18">
        <v>10</v>
      </c>
      <c r="I18">
        <v>6</v>
      </c>
      <c r="J18" s="4">
        <v>0.6</v>
      </c>
      <c r="K18">
        <v>2</v>
      </c>
      <c r="L18">
        <v>2</v>
      </c>
      <c r="M18">
        <v>2</v>
      </c>
      <c r="N18" s="4">
        <v>1</v>
      </c>
      <c r="O18">
        <v>9</v>
      </c>
      <c r="P18">
        <v>8</v>
      </c>
      <c r="Q18">
        <v>6</v>
      </c>
      <c r="R18" s="4">
        <v>0.75</v>
      </c>
      <c r="S18">
        <v>6</v>
      </c>
      <c r="T18">
        <v>4</v>
      </c>
      <c r="U18">
        <v>2</v>
      </c>
      <c r="V18" s="4">
        <v>0.5</v>
      </c>
      <c r="W18">
        <v>9</v>
      </c>
      <c r="X18">
        <v>8</v>
      </c>
      <c r="Y18">
        <v>4</v>
      </c>
      <c r="Z18" s="4">
        <v>0.5</v>
      </c>
      <c r="AA18">
        <v>8</v>
      </c>
      <c r="AB18">
        <v>8</v>
      </c>
      <c r="AC18">
        <v>2</v>
      </c>
      <c r="AD18" s="4">
        <v>0.25</v>
      </c>
      <c r="AE18">
        <v>8</v>
      </c>
      <c r="AF18">
        <v>7</v>
      </c>
      <c r="AG18">
        <v>4</v>
      </c>
      <c r="AH18" s="4">
        <v>0.57142859999999995</v>
      </c>
      <c r="AI18">
        <v>5</v>
      </c>
      <c r="AJ18">
        <v>5</v>
      </c>
      <c r="AK18">
        <v>2</v>
      </c>
      <c r="AL18" s="4">
        <v>0.4</v>
      </c>
      <c r="AM18">
        <v>9</v>
      </c>
      <c r="AN18">
        <v>8</v>
      </c>
      <c r="AO18">
        <v>0</v>
      </c>
      <c r="AP18" s="4">
        <v>0</v>
      </c>
      <c r="AQ18">
        <v>10</v>
      </c>
      <c r="AR18">
        <v>8</v>
      </c>
      <c r="AS18">
        <v>2</v>
      </c>
      <c r="AT18" s="4">
        <v>0.25</v>
      </c>
      <c r="AU18">
        <v>7</v>
      </c>
      <c r="AV18">
        <v>6</v>
      </c>
      <c r="AW18">
        <v>4</v>
      </c>
      <c r="AX18" s="4">
        <v>0.66666669999999995</v>
      </c>
      <c r="AY18" t="s">
        <v>526</v>
      </c>
      <c r="AZ18" t="s">
        <v>540</v>
      </c>
      <c r="BA18" t="str">
        <f t="shared" si="0"/>
        <v>Proportion of patients treated within 14 days of symptoms within England</v>
      </c>
      <c r="BB18" s="4">
        <v>0.59712746858168764</v>
      </c>
      <c r="BC18" s="4">
        <v>0.5577350111028867</v>
      </c>
      <c r="BD18" s="4">
        <v>0.49857346647646222</v>
      </c>
    </row>
    <row r="19" spans="1:56" x14ac:dyDescent="0.25">
      <c r="A19" t="s">
        <v>129</v>
      </c>
      <c r="B19" t="s">
        <v>82</v>
      </c>
      <c r="C19">
        <v>14</v>
      </c>
      <c r="D19">
        <v>14</v>
      </c>
      <c r="E19">
        <v>7</v>
      </c>
      <c r="F19" s="4">
        <v>0.5</v>
      </c>
      <c r="G19">
        <v>12</v>
      </c>
      <c r="H19">
        <v>12</v>
      </c>
      <c r="I19">
        <v>11</v>
      </c>
      <c r="J19" s="4">
        <v>0.91666669999999995</v>
      </c>
      <c r="K19">
        <v>18</v>
      </c>
      <c r="L19">
        <v>17</v>
      </c>
      <c r="M19">
        <v>11</v>
      </c>
      <c r="N19" s="4">
        <v>0.64705880000000005</v>
      </c>
      <c r="O19">
        <v>14</v>
      </c>
      <c r="P19">
        <v>13</v>
      </c>
      <c r="Q19">
        <v>10</v>
      </c>
      <c r="R19" s="4">
        <v>0.76923079999999999</v>
      </c>
      <c r="S19">
        <v>18</v>
      </c>
      <c r="T19">
        <v>18</v>
      </c>
      <c r="U19">
        <v>11</v>
      </c>
      <c r="V19" s="4">
        <v>0.61111110000000002</v>
      </c>
      <c r="W19">
        <v>15</v>
      </c>
      <c r="X19">
        <v>14</v>
      </c>
      <c r="Y19">
        <v>8</v>
      </c>
      <c r="Z19" s="4">
        <v>0.57142859999999995</v>
      </c>
      <c r="AA19">
        <v>8</v>
      </c>
      <c r="AB19">
        <v>7</v>
      </c>
      <c r="AC19">
        <v>4</v>
      </c>
      <c r="AD19" s="4">
        <v>0.57142859999999995</v>
      </c>
      <c r="AE19">
        <v>17</v>
      </c>
      <c r="AF19">
        <v>17</v>
      </c>
      <c r="AG19">
        <v>11</v>
      </c>
      <c r="AH19" s="4">
        <v>0.64705880000000005</v>
      </c>
      <c r="AI19">
        <v>18</v>
      </c>
      <c r="AJ19">
        <v>18</v>
      </c>
      <c r="AK19">
        <v>13</v>
      </c>
      <c r="AL19" s="4">
        <v>0.72222220000000004</v>
      </c>
      <c r="AM19">
        <v>21</v>
      </c>
      <c r="AN19">
        <v>21</v>
      </c>
      <c r="AO19">
        <v>6</v>
      </c>
      <c r="AP19" s="4">
        <v>0.28571429999999998</v>
      </c>
      <c r="AQ19">
        <v>19</v>
      </c>
      <c r="AR19">
        <v>19</v>
      </c>
      <c r="AS19">
        <v>6</v>
      </c>
      <c r="AT19" s="4">
        <v>0.3157895</v>
      </c>
      <c r="AU19">
        <v>15</v>
      </c>
      <c r="AV19">
        <v>14</v>
      </c>
      <c r="AW19">
        <v>4</v>
      </c>
      <c r="AX19" s="4">
        <v>0.28571429999999998</v>
      </c>
      <c r="AY19" t="s">
        <v>526</v>
      </c>
      <c r="AZ19" t="s">
        <v>540</v>
      </c>
      <c r="BA19" t="str">
        <f t="shared" si="0"/>
        <v>Proportion of patients treated within 14 days of symptoms within England</v>
      </c>
      <c r="BB19" s="4">
        <v>0.59712746858168764</v>
      </c>
      <c r="BC19" s="4">
        <v>0.5577350111028867</v>
      </c>
      <c r="BD19" s="4">
        <v>0.49857346647646222</v>
      </c>
    </row>
    <row r="20" spans="1:56" x14ac:dyDescent="0.25">
      <c r="A20" t="s">
        <v>101</v>
      </c>
      <c r="B20" t="s">
        <v>100</v>
      </c>
      <c r="C20">
        <v>10</v>
      </c>
      <c r="D20">
        <v>9</v>
      </c>
      <c r="E20">
        <v>6</v>
      </c>
      <c r="F20" s="4">
        <v>0.66666669999999995</v>
      </c>
      <c r="G20">
        <v>19</v>
      </c>
      <c r="H20">
        <v>13</v>
      </c>
      <c r="I20">
        <v>6</v>
      </c>
      <c r="J20" s="4">
        <v>0.46153850000000002</v>
      </c>
      <c r="K20">
        <v>8</v>
      </c>
      <c r="L20">
        <v>8</v>
      </c>
      <c r="M20">
        <v>8</v>
      </c>
      <c r="N20" s="4">
        <v>1</v>
      </c>
      <c r="O20">
        <v>13</v>
      </c>
      <c r="P20">
        <v>10</v>
      </c>
      <c r="Q20">
        <v>6</v>
      </c>
      <c r="R20" s="4">
        <v>0.6</v>
      </c>
      <c r="S20">
        <v>14</v>
      </c>
      <c r="T20">
        <v>11</v>
      </c>
      <c r="U20">
        <v>8</v>
      </c>
      <c r="V20" s="4">
        <v>0.72727269999999999</v>
      </c>
      <c r="W20">
        <v>15</v>
      </c>
      <c r="X20">
        <v>14</v>
      </c>
      <c r="Y20">
        <v>9</v>
      </c>
      <c r="Z20" s="4">
        <v>0.64285709999999996</v>
      </c>
      <c r="AA20">
        <v>11</v>
      </c>
      <c r="AB20">
        <v>9</v>
      </c>
      <c r="AC20">
        <v>6</v>
      </c>
      <c r="AD20" s="4">
        <v>0.66666669999999995</v>
      </c>
      <c r="AE20">
        <v>18</v>
      </c>
      <c r="AF20">
        <v>15</v>
      </c>
      <c r="AG20">
        <v>5</v>
      </c>
      <c r="AH20" s="4">
        <v>0.3333333</v>
      </c>
      <c r="AI20">
        <v>6</v>
      </c>
      <c r="AJ20">
        <v>6</v>
      </c>
      <c r="AK20">
        <v>1</v>
      </c>
      <c r="AL20" s="4">
        <v>0.1666667</v>
      </c>
      <c r="AM20">
        <v>12</v>
      </c>
      <c r="AN20">
        <v>8</v>
      </c>
      <c r="AO20">
        <v>5</v>
      </c>
      <c r="AP20" s="4">
        <v>0.625</v>
      </c>
      <c r="AQ20">
        <v>12</v>
      </c>
      <c r="AR20">
        <v>12</v>
      </c>
      <c r="AS20">
        <v>4</v>
      </c>
      <c r="AT20" s="4">
        <v>0.3333333</v>
      </c>
      <c r="AU20">
        <v>15</v>
      </c>
      <c r="AV20">
        <v>10</v>
      </c>
      <c r="AW20">
        <v>4</v>
      </c>
      <c r="AX20" s="4">
        <v>0.4</v>
      </c>
      <c r="AY20" t="s">
        <v>526</v>
      </c>
      <c r="AZ20" t="s">
        <v>540</v>
      </c>
      <c r="BA20" t="str">
        <f t="shared" si="0"/>
        <v>Proportion of patients treated within 14 days of symptoms within England</v>
      </c>
      <c r="BB20" s="4">
        <v>0.59712746858168764</v>
      </c>
      <c r="BC20" s="4">
        <v>0.5577350111028867</v>
      </c>
      <c r="BD20" s="4">
        <v>0.49857346647646222</v>
      </c>
    </row>
    <row r="21" spans="1:56" x14ac:dyDescent="0.25">
      <c r="A21" t="s">
        <v>47</v>
      </c>
      <c r="B21" t="s">
        <v>46</v>
      </c>
      <c r="C21">
        <v>19</v>
      </c>
      <c r="D21">
        <v>16</v>
      </c>
      <c r="E21">
        <v>6</v>
      </c>
      <c r="F21" s="4">
        <v>0.375</v>
      </c>
      <c r="G21">
        <v>24</v>
      </c>
      <c r="H21">
        <v>21</v>
      </c>
      <c r="I21">
        <v>14</v>
      </c>
      <c r="J21" s="4">
        <v>0.66666669999999995</v>
      </c>
      <c r="K21">
        <v>21</v>
      </c>
      <c r="L21">
        <v>21</v>
      </c>
      <c r="M21">
        <v>11</v>
      </c>
      <c r="N21" s="4">
        <v>0.52380959999999999</v>
      </c>
      <c r="O21">
        <v>23</v>
      </c>
      <c r="P21">
        <v>22</v>
      </c>
      <c r="Q21">
        <v>10</v>
      </c>
      <c r="R21" s="4">
        <v>0.45454549999999999</v>
      </c>
      <c r="S21">
        <v>23</v>
      </c>
      <c r="T21">
        <v>20</v>
      </c>
      <c r="U21">
        <v>8</v>
      </c>
      <c r="V21" s="4">
        <v>0.4</v>
      </c>
      <c r="W21">
        <v>15</v>
      </c>
      <c r="X21">
        <v>13</v>
      </c>
      <c r="Y21">
        <v>6</v>
      </c>
      <c r="Z21" s="4">
        <v>0.46153850000000002</v>
      </c>
      <c r="AA21">
        <v>21</v>
      </c>
      <c r="AB21">
        <v>20</v>
      </c>
      <c r="AC21">
        <v>10</v>
      </c>
      <c r="AD21" s="4">
        <v>0.5</v>
      </c>
      <c r="AE21">
        <v>14</v>
      </c>
      <c r="AF21">
        <v>13</v>
      </c>
      <c r="AG21">
        <v>7</v>
      </c>
      <c r="AH21" s="4">
        <v>0.53846159999999998</v>
      </c>
      <c r="AI21">
        <v>18</v>
      </c>
      <c r="AJ21">
        <v>18</v>
      </c>
      <c r="AK21">
        <v>6</v>
      </c>
      <c r="AL21" s="4">
        <v>0.3333333</v>
      </c>
      <c r="AM21">
        <v>17</v>
      </c>
      <c r="AN21">
        <v>17</v>
      </c>
      <c r="AO21">
        <v>6</v>
      </c>
      <c r="AP21" s="4">
        <v>0.35294120000000001</v>
      </c>
      <c r="AQ21">
        <v>14</v>
      </c>
      <c r="AR21">
        <v>13</v>
      </c>
      <c r="AS21">
        <v>5</v>
      </c>
      <c r="AT21" s="4">
        <v>0.3846154</v>
      </c>
      <c r="AU21">
        <v>22</v>
      </c>
      <c r="AV21">
        <v>22</v>
      </c>
      <c r="AW21">
        <v>8</v>
      </c>
      <c r="AX21" s="4">
        <v>0.36363640000000003</v>
      </c>
      <c r="AY21" t="s">
        <v>526</v>
      </c>
      <c r="AZ21" t="s">
        <v>540</v>
      </c>
      <c r="BA21" t="str">
        <f t="shared" si="0"/>
        <v>Proportion of patients treated within 14 days of symptoms within England</v>
      </c>
      <c r="BB21" s="4">
        <v>0.59712746858168764</v>
      </c>
      <c r="BC21" s="4">
        <v>0.5577350111028867</v>
      </c>
      <c r="BD21" s="4">
        <v>0.49857346647646222</v>
      </c>
    </row>
    <row r="22" spans="1:56" x14ac:dyDescent="0.25">
      <c r="A22" t="s">
        <v>95</v>
      </c>
      <c r="B22" t="s">
        <v>94</v>
      </c>
      <c r="C22">
        <v>14</v>
      </c>
      <c r="D22">
        <v>14</v>
      </c>
      <c r="E22">
        <v>4</v>
      </c>
      <c r="F22" s="4">
        <v>0.28571429999999998</v>
      </c>
      <c r="G22">
        <v>26</v>
      </c>
      <c r="H22">
        <v>25</v>
      </c>
      <c r="I22">
        <v>10</v>
      </c>
      <c r="J22" s="4">
        <v>0.4</v>
      </c>
      <c r="K22">
        <v>21</v>
      </c>
      <c r="L22">
        <v>20</v>
      </c>
      <c r="M22">
        <v>6</v>
      </c>
      <c r="N22" s="4">
        <v>0.3</v>
      </c>
      <c r="O22">
        <v>11</v>
      </c>
      <c r="P22">
        <v>11</v>
      </c>
      <c r="Q22">
        <v>3</v>
      </c>
      <c r="R22" s="4">
        <v>0.27272730000000001</v>
      </c>
      <c r="S22">
        <v>23</v>
      </c>
      <c r="T22">
        <v>23</v>
      </c>
      <c r="U22">
        <v>7</v>
      </c>
      <c r="V22" s="4">
        <v>0.3043478</v>
      </c>
      <c r="W22">
        <v>22</v>
      </c>
      <c r="X22">
        <v>22</v>
      </c>
      <c r="Y22">
        <v>11</v>
      </c>
      <c r="Z22" s="4">
        <v>0.5</v>
      </c>
      <c r="AA22">
        <v>16</v>
      </c>
      <c r="AB22">
        <v>15</v>
      </c>
      <c r="AC22">
        <v>3</v>
      </c>
      <c r="AD22" s="4">
        <v>0.2</v>
      </c>
      <c r="AE22">
        <v>16</v>
      </c>
      <c r="AF22">
        <v>16</v>
      </c>
      <c r="AG22">
        <v>7</v>
      </c>
      <c r="AH22" s="4">
        <v>0.4375</v>
      </c>
      <c r="AI22">
        <v>22</v>
      </c>
      <c r="AJ22">
        <v>22</v>
      </c>
      <c r="AK22">
        <v>3</v>
      </c>
      <c r="AL22" s="4">
        <v>0.1363636</v>
      </c>
      <c r="AM22">
        <v>34</v>
      </c>
      <c r="AN22">
        <v>34</v>
      </c>
      <c r="AO22">
        <v>6</v>
      </c>
      <c r="AP22" s="4">
        <v>0.17647060000000001</v>
      </c>
      <c r="AQ22">
        <v>26</v>
      </c>
      <c r="AR22">
        <v>26</v>
      </c>
      <c r="AS22">
        <v>9</v>
      </c>
      <c r="AT22" s="4">
        <v>0.34615390000000001</v>
      </c>
      <c r="AU22">
        <v>16</v>
      </c>
      <c r="AV22">
        <v>16</v>
      </c>
      <c r="AW22">
        <v>5</v>
      </c>
      <c r="AX22" s="4">
        <v>0.3125</v>
      </c>
      <c r="AY22" t="s">
        <v>526</v>
      </c>
      <c r="AZ22" t="s">
        <v>540</v>
      </c>
      <c r="BA22" t="str">
        <f t="shared" si="0"/>
        <v>Proportion of patients treated within 14 days of symptoms within England</v>
      </c>
      <c r="BB22" s="4">
        <v>0.59712746858168764</v>
      </c>
      <c r="BC22" s="4">
        <v>0.5577350111028867</v>
      </c>
      <c r="BD22" s="4">
        <v>0.49857346647646222</v>
      </c>
    </row>
    <row r="23" spans="1:56" x14ac:dyDescent="0.25">
      <c r="A23" t="s">
        <v>63</v>
      </c>
      <c r="B23" t="s">
        <v>62</v>
      </c>
      <c r="C23">
        <v>18</v>
      </c>
      <c r="D23">
        <v>18</v>
      </c>
      <c r="E23">
        <v>15</v>
      </c>
      <c r="F23" s="4">
        <v>0.83333330000000005</v>
      </c>
      <c r="G23">
        <v>13</v>
      </c>
      <c r="H23">
        <v>13</v>
      </c>
      <c r="I23">
        <v>10</v>
      </c>
      <c r="J23" s="4">
        <v>0.76923079999999999</v>
      </c>
      <c r="K23">
        <v>15</v>
      </c>
      <c r="L23">
        <v>15</v>
      </c>
      <c r="M23">
        <v>11</v>
      </c>
      <c r="N23" s="4">
        <v>0.73333329999999997</v>
      </c>
      <c r="O23">
        <v>9</v>
      </c>
      <c r="P23">
        <v>9</v>
      </c>
      <c r="Q23">
        <v>8</v>
      </c>
      <c r="R23" s="4">
        <v>0.88888889999999998</v>
      </c>
      <c r="S23">
        <v>9</v>
      </c>
      <c r="T23">
        <v>9</v>
      </c>
      <c r="U23">
        <v>7</v>
      </c>
      <c r="V23" s="4">
        <v>0.77777779999999996</v>
      </c>
      <c r="W23">
        <v>16</v>
      </c>
      <c r="X23">
        <v>16</v>
      </c>
      <c r="Y23">
        <v>10</v>
      </c>
      <c r="Z23" s="4">
        <v>0.625</v>
      </c>
      <c r="AA23">
        <v>9</v>
      </c>
      <c r="AB23">
        <v>9</v>
      </c>
      <c r="AC23">
        <v>6</v>
      </c>
      <c r="AD23" s="4">
        <v>0.66666669999999995</v>
      </c>
      <c r="AE23">
        <v>11</v>
      </c>
      <c r="AF23">
        <v>11</v>
      </c>
      <c r="AG23">
        <v>5</v>
      </c>
      <c r="AH23" s="4">
        <v>0.45454549999999999</v>
      </c>
      <c r="AI23">
        <v>5</v>
      </c>
      <c r="AJ23">
        <v>5</v>
      </c>
      <c r="AK23">
        <v>2</v>
      </c>
      <c r="AL23" s="4">
        <v>0.4</v>
      </c>
      <c r="AM23">
        <v>12</v>
      </c>
      <c r="AN23">
        <v>12</v>
      </c>
      <c r="AO23">
        <v>6</v>
      </c>
      <c r="AP23" s="4">
        <v>0.5</v>
      </c>
      <c r="AQ23">
        <v>9</v>
      </c>
      <c r="AR23">
        <v>9</v>
      </c>
      <c r="AS23">
        <v>4</v>
      </c>
      <c r="AT23" s="4">
        <v>0.44444440000000002</v>
      </c>
      <c r="AU23">
        <v>11</v>
      </c>
      <c r="AV23">
        <v>11</v>
      </c>
      <c r="AW23">
        <v>4</v>
      </c>
      <c r="AX23" s="4">
        <v>0.36363640000000003</v>
      </c>
      <c r="AY23" t="s">
        <v>526</v>
      </c>
      <c r="AZ23" t="s">
        <v>540</v>
      </c>
      <c r="BA23" t="str">
        <f t="shared" si="0"/>
        <v>Proportion of patients treated within 14 days of symptoms within England</v>
      </c>
      <c r="BB23" s="4">
        <v>0.59712746858168764</v>
      </c>
      <c r="BC23" s="4">
        <v>0.5577350111028867</v>
      </c>
      <c r="BD23" s="4">
        <v>0.49857346647646222</v>
      </c>
    </row>
    <row r="24" spans="1:56" x14ac:dyDescent="0.25">
      <c r="A24" t="s">
        <v>130</v>
      </c>
      <c r="B24" t="s">
        <v>25</v>
      </c>
      <c r="C24">
        <v>25</v>
      </c>
      <c r="D24">
        <v>25</v>
      </c>
      <c r="E24">
        <v>18</v>
      </c>
      <c r="F24" s="4">
        <v>0.72</v>
      </c>
      <c r="G24">
        <v>20</v>
      </c>
      <c r="H24">
        <v>20</v>
      </c>
      <c r="I24">
        <v>7</v>
      </c>
      <c r="J24" s="4">
        <v>0.35</v>
      </c>
      <c r="K24">
        <v>20</v>
      </c>
      <c r="L24">
        <v>20</v>
      </c>
      <c r="M24">
        <v>9</v>
      </c>
      <c r="N24" s="4">
        <v>0.45</v>
      </c>
      <c r="O24">
        <v>26</v>
      </c>
      <c r="P24">
        <v>26</v>
      </c>
      <c r="Q24">
        <v>14</v>
      </c>
      <c r="R24" s="4">
        <v>0.53846159999999998</v>
      </c>
      <c r="S24">
        <v>20</v>
      </c>
      <c r="T24">
        <v>20</v>
      </c>
      <c r="U24">
        <v>7</v>
      </c>
      <c r="V24" s="4">
        <v>0.35</v>
      </c>
      <c r="W24">
        <v>25</v>
      </c>
      <c r="X24">
        <v>25</v>
      </c>
      <c r="Y24">
        <v>7</v>
      </c>
      <c r="Z24" s="4">
        <v>0.28000000000000003</v>
      </c>
      <c r="AA24">
        <v>24</v>
      </c>
      <c r="AB24">
        <v>23</v>
      </c>
      <c r="AC24">
        <v>7</v>
      </c>
      <c r="AD24" s="4">
        <v>0.3043478</v>
      </c>
      <c r="AE24">
        <v>29</v>
      </c>
      <c r="AF24">
        <v>29</v>
      </c>
      <c r="AG24">
        <v>13</v>
      </c>
      <c r="AH24" s="4">
        <v>0.4482759</v>
      </c>
      <c r="AI24">
        <v>29</v>
      </c>
      <c r="AJ24">
        <v>28</v>
      </c>
      <c r="AK24">
        <v>5</v>
      </c>
      <c r="AL24" s="4">
        <v>0.17857139999999999</v>
      </c>
      <c r="AM24">
        <v>23</v>
      </c>
      <c r="AN24">
        <v>23</v>
      </c>
      <c r="AO24">
        <v>7</v>
      </c>
      <c r="AP24" s="4">
        <v>0.3043478</v>
      </c>
      <c r="AQ24">
        <v>34</v>
      </c>
      <c r="AR24">
        <v>32</v>
      </c>
      <c r="AS24">
        <v>8</v>
      </c>
      <c r="AT24" s="4">
        <v>0.25</v>
      </c>
      <c r="AU24">
        <v>29</v>
      </c>
      <c r="AV24">
        <v>28</v>
      </c>
      <c r="AW24">
        <v>9</v>
      </c>
      <c r="AX24" s="4">
        <v>0.32142860000000001</v>
      </c>
      <c r="AY24" t="s">
        <v>526</v>
      </c>
      <c r="AZ24" t="s">
        <v>540</v>
      </c>
      <c r="BA24" t="str">
        <f t="shared" si="0"/>
        <v>Proportion of patients treated within 14 days of symptoms within England</v>
      </c>
      <c r="BB24" s="4">
        <v>0.59712746858168764</v>
      </c>
      <c r="BC24" s="4">
        <v>0.5577350111028867</v>
      </c>
      <c r="BD24" s="4">
        <v>0.49857346647646222</v>
      </c>
    </row>
    <row r="25" spans="1:56" x14ac:dyDescent="0.25">
      <c r="A25" t="s">
        <v>131</v>
      </c>
      <c r="B25" t="s">
        <v>9</v>
      </c>
      <c r="C25">
        <v>7</v>
      </c>
      <c r="D25">
        <v>6</v>
      </c>
      <c r="E25">
        <v>5</v>
      </c>
      <c r="F25" s="4">
        <v>0.83333330000000005</v>
      </c>
      <c r="G25">
        <v>13</v>
      </c>
      <c r="H25">
        <v>13</v>
      </c>
      <c r="I25">
        <v>11</v>
      </c>
      <c r="J25" s="4">
        <v>0.84615390000000001</v>
      </c>
      <c r="K25">
        <v>5</v>
      </c>
      <c r="L25">
        <v>5</v>
      </c>
      <c r="M25">
        <v>4</v>
      </c>
      <c r="N25" s="4">
        <v>0.8</v>
      </c>
      <c r="O25">
        <v>5</v>
      </c>
      <c r="P25">
        <v>4</v>
      </c>
      <c r="Q25">
        <v>3</v>
      </c>
      <c r="R25" s="4">
        <v>0.75</v>
      </c>
      <c r="S25">
        <v>7</v>
      </c>
      <c r="T25">
        <v>7</v>
      </c>
      <c r="U25">
        <v>6</v>
      </c>
      <c r="V25" s="4">
        <v>0.85714290000000004</v>
      </c>
      <c r="W25">
        <v>9</v>
      </c>
      <c r="X25">
        <v>9</v>
      </c>
      <c r="Y25">
        <v>9</v>
      </c>
      <c r="Z25" s="4">
        <v>1</v>
      </c>
      <c r="AA25">
        <v>11</v>
      </c>
      <c r="AB25">
        <v>10</v>
      </c>
      <c r="AC25">
        <v>10</v>
      </c>
      <c r="AD25" s="4">
        <v>1</v>
      </c>
      <c r="AE25">
        <v>10</v>
      </c>
      <c r="AF25">
        <v>8</v>
      </c>
      <c r="AG25">
        <v>8</v>
      </c>
      <c r="AH25" s="4">
        <v>1</v>
      </c>
      <c r="AI25">
        <v>12</v>
      </c>
      <c r="AJ25">
        <v>10</v>
      </c>
      <c r="AK25">
        <v>10</v>
      </c>
      <c r="AL25" s="4">
        <v>1</v>
      </c>
      <c r="AM25">
        <v>17</v>
      </c>
      <c r="AN25">
        <v>16</v>
      </c>
      <c r="AO25">
        <v>15</v>
      </c>
      <c r="AP25" s="4">
        <v>0.9375</v>
      </c>
      <c r="AQ25">
        <v>13</v>
      </c>
      <c r="AR25">
        <v>13</v>
      </c>
      <c r="AS25">
        <v>9</v>
      </c>
      <c r="AT25" s="4">
        <v>0.69230769999999997</v>
      </c>
      <c r="AU25">
        <v>14</v>
      </c>
      <c r="AV25">
        <v>13</v>
      </c>
      <c r="AW25">
        <v>9</v>
      </c>
      <c r="AX25" s="4">
        <v>0.69230769999999997</v>
      </c>
      <c r="AY25" t="s">
        <v>526</v>
      </c>
      <c r="AZ25" t="s">
        <v>540</v>
      </c>
      <c r="BA25" t="str">
        <f t="shared" si="0"/>
        <v>Proportion of patients treated within 14 days of symptoms within England</v>
      </c>
      <c r="BB25" s="4">
        <v>0.59712746858168764</v>
      </c>
      <c r="BC25" s="4">
        <v>0.5577350111028867</v>
      </c>
      <c r="BD25" s="4">
        <v>0.49857346647646222</v>
      </c>
    </row>
    <row r="26" spans="1:56" x14ac:dyDescent="0.25">
      <c r="A26" t="s">
        <v>6</v>
      </c>
      <c r="B26" t="s">
        <v>5</v>
      </c>
      <c r="C26">
        <v>22</v>
      </c>
      <c r="D26">
        <v>21</v>
      </c>
      <c r="E26">
        <v>13</v>
      </c>
      <c r="F26" s="4">
        <v>0.61904760000000003</v>
      </c>
      <c r="G26">
        <v>25</v>
      </c>
      <c r="H26">
        <v>24</v>
      </c>
      <c r="I26">
        <v>11</v>
      </c>
      <c r="J26" s="4">
        <v>0.4583333</v>
      </c>
      <c r="K26">
        <v>25</v>
      </c>
      <c r="L26">
        <v>25</v>
      </c>
      <c r="M26">
        <v>16</v>
      </c>
      <c r="N26" s="4">
        <v>0.64</v>
      </c>
      <c r="O26">
        <v>35</v>
      </c>
      <c r="P26">
        <v>33</v>
      </c>
      <c r="Q26">
        <v>20</v>
      </c>
      <c r="R26" s="4">
        <v>0.60606059999999995</v>
      </c>
      <c r="S26">
        <v>24</v>
      </c>
      <c r="T26">
        <v>24</v>
      </c>
      <c r="U26">
        <v>9</v>
      </c>
      <c r="V26" s="4">
        <v>0.375</v>
      </c>
      <c r="W26">
        <v>23</v>
      </c>
      <c r="X26">
        <v>20</v>
      </c>
      <c r="Y26">
        <v>8</v>
      </c>
      <c r="Z26" s="4">
        <v>0.4</v>
      </c>
      <c r="AA26">
        <v>29</v>
      </c>
      <c r="AB26">
        <v>24</v>
      </c>
      <c r="AC26">
        <v>6</v>
      </c>
      <c r="AD26" s="4">
        <v>0.25</v>
      </c>
      <c r="AE26">
        <v>20</v>
      </c>
      <c r="AF26">
        <v>13</v>
      </c>
      <c r="AG26">
        <v>3</v>
      </c>
      <c r="AH26" s="4">
        <v>0.23076920000000001</v>
      </c>
      <c r="AI26">
        <v>18</v>
      </c>
      <c r="AJ26">
        <v>14</v>
      </c>
      <c r="AK26">
        <v>1</v>
      </c>
      <c r="AL26" s="4">
        <v>7.1428599999999995E-2</v>
      </c>
      <c r="AM26">
        <v>30</v>
      </c>
      <c r="AN26">
        <v>27</v>
      </c>
      <c r="AO26">
        <v>8</v>
      </c>
      <c r="AP26" s="4">
        <v>0.29629630000000001</v>
      </c>
      <c r="AQ26">
        <v>23</v>
      </c>
      <c r="AR26">
        <v>21</v>
      </c>
      <c r="AS26">
        <v>6</v>
      </c>
      <c r="AT26" s="4">
        <v>0.28571429999999998</v>
      </c>
      <c r="AU26">
        <v>20</v>
      </c>
      <c r="AV26">
        <v>19</v>
      </c>
      <c r="AW26">
        <v>5</v>
      </c>
      <c r="AX26" s="4">
        <v>0.2631579</v>
      </c>
      <c r="AY26" t="s">
        <v>526</v>
      </c>
      <c r="AZ26" t="s">
        <v>540</v>
      </c>
      <c r="BA26" t="str">
        <f t="shared" si="0"/>
        <v>Proportion of patients treated within 14 days of symptoms within England</v>
      </c>
      <c r="BB26" s="4">
        <v>0.59712746858168764</v>
      </c>
      <c r="BC26" s="4">
        <v>0.5577350111028867</v>
      </c>
      <c r="BD26" s="4">
        <v>0.49857346647646222</v>
      </c>
    </row>
    <row r="27" spans="1:56" x14ac:dyDescent="0.25">
      <c r="A27" t="s">
        <v>59</v>
      </c>
      <c r="B27" t="s">
        <v>58</v>
      </c>
      <c r="C27">
        <v>1</v>
      </c>
      <c r="D27">
        <v>1</v>
      </c>
      <c r="E27">
        <v>0</v>
      </c>
      <c r="F27" s="4">
        <v>0</v>
      </c>
      <c r="G27">
        <v>3</v>
      </c>
      <c r="H27">
        <v>3</v>
      </c>
      <c r="I27">
        <v>0</v>
      </c>
      <c r="J27" s="4">
        <v>0</v>
      </c>
      <c r="K27">
        <v>0</v>
      </c>
      <c r="L27">
        <v>0</v>
      </c>
      <c r="M27">
        <v>0</v>
      </c>
      <c r="N27" s="4" t="s">
        <v>122</v>
      </c>
      <c r="O27">
        <v>1</v>
      </c>
      <c r="P27">
        <v>1</v>
      </c>
      <c r="Q27">
        <v>0</v>
      </c>
      <c r="R27" s="4">
        <v>0</v>
      </c>
      <c r="S27">
        <v>5</v>
      </c>
      <c r="T27">
        <v>3</v>
      </c>
      <c r="U27">
        <v>0</v>
      </c>
      <c r="V27" s="4">
        <v>0</v>
      </c>
      <c r="W27">
        <v>0</v>
      </c>
      <c r="X27">
        <v>0</v>
      </c>
      <c r="Y27">
        <v>0</v>
      </c>
      <c r="Z27" s="4" t="s">
        <v>122</v>
      </c>
      <c r="AA27">
        <v>1</v>
      </c>
      <c r="AB27">
        <v>1</v>
      </c>
      <c r="AC27">
        <v>1</v>
      </c>
      <c r="AD27" s="4">
        <v>1</v>
      </c>
      <c r="AE27">
        <v>0</v>
      </c>
      <c r="AF27">
        <v>0</v>
      </c>
      <c r="AG27">
        <v>0</v>
      </c>
      <c r="AH27" s="4" t="s">
        <v>122</v>
      </c>
      <c r="AI27">
        <v>2</v>
      </c>
      <c r="AJ27">
        <v>2</v>
      </c>
      <c r="AK27">
        <v>0</v>
      </c>
      <c r="AL27" s="4">
        <v>0</v>
      </c>
      <c r="AM27">
        <v>2</v>
      </c>
      <c r="AN27">
        <v>2</v>
      </c>
      <c r="AO27">
        <v>0</v>
      </c>
      <c r="AP27" s="4">
        <v>0</v>
      </c>
      <c r="AQ27">
        <v>1</v>
      </c>
      <c r="AR27">
        <v>1</v>
      </c>
      <c r="AS27">
        <v>0</v>
      </c>
      <c r="AT27" s="4">
        <v>0</v>
      </c>
      <c r="AU27">
        <v>0</v>
      </c>
      <c r="AV27">
        <v>0</v>
      </c>
      <c r="AW27">
        <v>0</v>
      </c>
      <c r="AX27" s="4" t="s">
        <v>122</v>
      </c>
      <c r="AY27" t="s">
        <v>526</v>
      </c>
      <c r="AZ27" t="s">
        <v>540</v>
      </c>
      <c r="BA27" t="str">
        <f t="shared" si="0"/>
        <v>Proportion of patients treated within 14 days of symptoms within England</v>
      </c>
      <c r="BB27" s="4">
        <v>0.59712746858168764</v>
      </c>
      <c r="BC27" s="4">
        <v>0.5577350111028867</v>
      </c>
      <c r="BD27" s="4">
        <v>0.49857346647646222</v>
      </c>
    </row>
    <row r="28" spans="1:56" x14ac:dyDescent="0.25">
      <c r="A28" t="s">
        <v>141</v>
      </c>
      <c r="B28" t="s">
        <v>14</v>
      </c>
      <c r="C28">
        <v>15</v>
      </c>
      <c r="D28">
        <v>13</v>
      </c>
      <c r="E28">
        <v>8</v>
      </c>
      <c r="F28" s="4">
        <v>0.61538459999999995</v>
      </c>
      <c r="G28">
        <v>23</v>
      </c>
      <c r="H28">
        <v>21</v>
      </c>
      <c r="I28">
        <v>19</v>
      </c>
      <c r="J28" s="4">
        <v>0.90476190000000001</v>
      </c>
      <c r="K28">
        <v>9</v>
      </c>
      <c r="L28">
        <v>8</v>
      </c>
      <c r="M28">
        <v>5</v>
      </c>
      <c r="N28" s="4">
        <v>0.625</v>
      </c>
      <c r="O28">
        <v>27</v>
      </c>
      <c r="P28">
        <v>26</v>
      </c>
      <c r="Q28">
        <v>11</v>
      </c>
      <c r="R28" s="4">
        <v>0.42307689999999998</v>
      </c>
      <c r="S28">
        <v>21</v>
      </c>
      <c r="T28">
        <v>19</v>
      </c>
      <c r="U28">
        <v>12</v>
      </c>
      <c r="V28" s="4">
        <v>0.63157890000000005</v>
      </c>
      <c r="W28">
        <v>18</v>
      </c>
      <c r="X28">
        <v>17</v>
      </c>
      <c r="Y28">
        <v>9</v>
      </c>
      <c r="Z28" s="4">
        <v>0.52941179999999999</v>
      </c>
      <c r="AA28">
        <v>21</v>
      </c>
      <c r="AB28">
        <v>21</v>
      </c>
      <c r="AC28">
        <v>15</v>
      </c>
      <c r="AD28" s="4">
        <v>0.71428570000000002</v>
      </c>
      <c r="AE28">
        <v>24</v>
      </c>
      <c r="AF28">
        <v>24</v>
      </c>
      <c r="AG28">
        <v>14</v>
      </c>
      <c r="AH28" s="4">
        <v>0.58333330000000005</v>
      </c>
      <c r="AI28">
        <v>13</v>
      </c>
      <c r="AJ28">
        <v>12</v>
      </c>
      <c r="AK28">
        <v>8</v>
      </c>
      <c r="AL28" s="4">
        <v>0.66666669999999995</v>
      </c>
      <c r="AM28">
        <v>14</v>
      </c>
      <c r="AN28">
        <v>12</v>
      </c>
      <c r="AO28">
        <v>11</v>
      </c>
      <c r="AP28" s="4">
        <v>0.91666669999999995</v>
      </c>
      <c r="AQ28">
        <v>18</v>
      </c>
      <c r="AR28">
        <v>11</v>
      </c>
      <c r="AS28">
        <v>7</v>
      </c>
      <c r="AT28" s="4">
        <v>0.63636360000000003</v>
      </c>
      <c r="AU28">
        <v>18</v>
      </c>
      <c r="AV28">
        <v>15</v>
      </c>
      <c r="AW28">
        <v>11</v>
      </c>
      <c r="AX28" s="4">
        <v>0.73333329999999997</v>
      </c>
      <c r="AY28" t="s">
        <v>526</v>
      </c>
      <c r="AZ28" t="s">
        <v>540</v>
      </c>
      <c r="BA28" t="str">
        <f t="shared" si="0"/>
        <v>Proportion of patients treated within 14 days of symptoms within England</v>
      </c>
      <c r="BB28" s="4">
        <v>0.59712746858168764</v>
      </c>
      <c r="BC28" s="4">
        <v>0.5577350111028867</v>
      </c>
      <c r="BD28" s="4">
        <v>0.49857346647646222</v>
      </c>
    </row>
    <row r="29" spans="1:56" x14ac:dyDescent="0.25">
      <c r="A29" t="s">
        <v>71</v>
      </c>
      <c r="B29" t="s">
        <v>70</v>
      </c>
      <c r="C29">
        <v>27</v>
      </c>
      <c r="D29">
        <v>22</v>
      </c>
      <c r="E29">
        <v>13</v>
      </c>
      <c r="F29" s="4">
        <v>0.59090909999999996</v>
      </c>
      <c r="G29">
        <v>20</v>
      </c>
      <c r="H29">
        <v>18</v>
      </c>
      <c r="I29">
        <v>5</v>
      </c>
      <c r="J29" s="4">
        <v>0.27777780000000002</v>
      </c>
      <c r="K29">
        <v>28</v>
      </c>
      <c r="L29">
        <v>26</v>
      </c>
      <c r="M29">
        <v>15</v>
      </c>
      <c r="N29" s="4">
        <v>0.57692310000000002</v>
      </c>
      <c r="O29">
        <v>26</v>
      </c>
      <c r="P29">
        <v>23</v>
      </c>
      <c r="Q29">
        <v>12</v>
      </c>
      <c r="R29" s="4">
        <v>0.52173910000000001</v>
      </c>
      <c r="S29">
        <v>25</v>
      </c>
      <c r="T29">
        <v>24</v>
      </c>
      <c r="U29">
        <v>15</v>
      </c>
      <c r="V29" s="4">
        <v>0.625</v>
      </c>
      <c r="W29">
        <v>16</v>
      </c>
      <c r="X29">
        <v>15</v>
      </c>
      <c r="Y29">
        <v>6</v>
      </c>
      <c r="Z29" s="4">
        <v>0.4</v>
      </c>
      <c r="AA29">
        <v>12</v>
      </c>
      <c r="AB29">
        <v>12</v>
      </c>
      <c r="AC29">
        <v>7</v>
      </c>
      <c r="AD29" s="4">
        <v>0.58333330000000005</v>
      </c>
      <c r="AE29">
        <v>20</v>
      </c>
      <c r="AF29">
        <v>18</v>
      </c>
      <c r="AG29">
        <v>11</v>
      </c>
      <c r="AH29" s="4">
        <v>0.61111110000000002</v>
      </c>
      <c r="AI29">
        <v>19</v>
      </c>
      <c r="AJ29">
        <v>15</v>
      </c>
      <c r="AK29">
        <v>7</v>
      </c>
      <c r="AL29" s="4">
        <v>0.46666669999999999</v>
      </c>
      <c r="AM29">
        <v>22</v>
      </c>
      <c r="AN29">
        <v>22</v>
      </c>
      <c r="AO29">
        <v>13</v>
      </c>
      <c r="AP29" s="4">
        <v>0.59090909999999996</v>
      </c>
      <c r="AQ29">
        <v>25</v>
      </c>
      <c r="AR29">
        <v>24</v>
      </c>
      <c r="AS29">
        <v>13</v>
      </c>
      <c r="AT29" s="4">
        <v>0.54166669999999995</v>
      </c>
      <c r="AU29">
        <v>18</v>
      </c>
      <c r="AV29">
        <v>18</v>
      </c>
      <c r="AW29">
        <v>9</v>
      </c>
      <c r="AX29" s="4">
        <v>0.5</v>
      </c>
      <c r="AY29" t="s">
        <v>526</v>
      </c>
      <c r="AZ29" t="s">
        <v>540</v>
      </c>
      <c r="BA29" t="str">
        <f t="shared" si="0"/>
        <v>Proportion of patients treated within 14 days of symptoms within England</v>
      </c>
      <c r="BB29" s="4">
        <v>0.59712746858168764</v>
      </c>
      <c r="BC29" s="4">
        <v>0.5577350111028867</v>
      </c>
      <c r="BD29" s="4">
        <v>0.49857346647646222</v>
      </c>
    </row>
    <row r="30" spans="1:56" x14ac:dyDescent="0.25">
      <c r="A30" t="s">
        <v>109</v>
      </c>
      <c r="B30" t="s">
        <v>108</v>
      </c>
      <c r="C30">
        <v>5</v>
      </c>
      <c r="D30">
        <v>5</v>
      </c>
      <c r="E30">
        <v>3</v>
      </c>
      <c r="F30" s="4">
        <v>0.6</v>
      </c>
      <c r="G30">
        <v>5</v>
      </c>
      <c r="H30">
        <v>5</v>
      </c>
      <c r="I30">
        <v>5</v>
      </c>
      <c r="J30" s="4">
        <v>1</v>
      </c>
      <c r="K30">
        <v>2</v>
      </c>
      <c r="L30">
        <v>2</v>
      </c>
      <c r="M30">
        <v>2</v>
      </c>
      <c r="N30" s="4">
        <v>1</v>
      </c>
      <c r="O30">
        <v>9</v>
      </c>
      <c r="P30">
        <v>8</v>
      </c>
      <c r="Q30">
        <v>4</v>
      </c>
      <c r="R30" s="4">
        <v>0.5</v>
      </c>
      <c r="S30">
        <v>2</v>
      </c>
      <c r="T30">
        <v>2</v>
      </c>
      <c r="U30">
        <v>1</v>
      </c>
      <c r="V30" s="4">
        <v>0.5</v>
      </c>
      <c r="W30">
        <v>1</v>
      </c>
      <c r="X30">
        <v>1</v>
      </c>
      <c r="Y30">
        <v>1</v>
      </c>
      <c r="Z30" s="4">
        <v>1</v>
      </c>
      <c r="AA30">
        <v>1</v>
      </c>
      <c r="AB30">
        <v>1</v>
      </c>
      <c r="AC30">
        <v>1</v>
      </c>
      <c r="AD30" s="4">
        <v>1</v>
      </c>
      <c r="AE30">
        <v>3</v>
      </c>
      <c r="AF30">
        <v>3</v>
      </c>
      <c r="AG30">
        <v>2</v>
      </c>
      <c r="AH30" s="4">
        <v>0.66666669999999995</v>
      </c>
      <c r="AI30">
        <v>3</v>
      </c>
      <c r="AJ30">
        <v>2</v>
      </c>
      <c r="AK30">
        <v>1</v>
      </c>
      <c r="AL30" s="4">
        <v>0.5</v>
      </c>
      <c r="AM30">
        <v>2</v>
      </c>
      <c r="AN30">
        <v>2</v>
      </c>
      <c r="AO30">
        <v>0</v>
      </c>
      <c r="AP30" s="4">
        <v>0</v>
      </c>
      <c r="AQ30">
        <v>3</v>
      </c>
      <c r="AR30">
        <v>2</v>
      </c>
      <c r="AS30">
        <v>2</v>
      </c>
      <c r="AT30" s="4">
        <v>1</v>
      </c>
      <c r="AU30">
        <v>3</v>
      </c>
      <c r="AV30">
        <v>3</v>
      </c>
      <c r="AW30">
        <v>2</v>
      </c>
      <c r="AX30" s="4">
        <v>0.66666669999999995</v>
      </c>
      <c r="AY30" t="s">
        <v>528</v>
      </c>
      <c r="AZ30" t="s">
        <v>540</v>
      </c>
      <c r="BA30" t="str">
        <f t="shared" si="0"/>
        <v>Proportion of patients treated within 14 days of symptoms within Scotland</v>
      </c>
      <c r="BB30" s="4">
        <v>0.5321100917431193</v>
      </c>
      <c r="BC30" s="4">
        <v>0.53398058252427183</v>
      </c>
      <c r="BD30" s="4">
        <v>0.53529411764705881</v>
      </c>
    </row>
    <row r="31" spans="1:56" x14ac:dyDescent="0.25">
      <c r="A31" t="s">
        <v>103</v>
      </c>
      <c r="B31" t="s">
        <v>102</v>
      </c>
      <c r="C31">
        <v>12</v>
      </c>
      <c r="D31">
        <v>12</v>
      </c>
      <c r="E31">
        <v>10</v>
      </c>
      <c r="F31" s="4">
        <v>0.83333330000000005</v>
      </c>
      <c r="G31">
        <v>13</v>
      </c>
      <c r="H31">
        <v>13</v>
      </c>
      <c r="I31">
        <v>10</v>
      </c>
      <c r="J31" s="4">
        <v>0.76923079999999999</v>
      </c>
      <c r="K31">
        <v>7</v>
      </c>
      <c r="L31">
        <v>7</v>
      </c>
      <c r="M31">
        <v>2</v>
      </c>
      <c r="N31" s="4">
        <v>0.28571429999999998</v>
      </c>
      <c r="O31">
        <v>13</v>
      </c>
      <c r="P31">
        <v>13</v>
      </c>
      <c r="Q31">
        <v>9</v>
      </c>
      <c r="R31" s="4">
        <v>0.69230769999999997</v>
      </c>
      <c r="S31">
        <v>11</v>
      </c>
      <c r="T31">
        <v>10</v>
      </c>
      <c r="U31">
        <v>5</v>
      </c>
      <c r="V31" s="4">
        <v>0.5</v>
      </c>
      <c r="W31">
        <v>10</v>
      </c>
      <c r="X31">
        <v>10</v>
      </c>
      <c r="Y31">
        <v>7</v>
      </c>
      <c r="Z31" s="4">
        <v>0.7</v>
      </c>
      <c r="AA31">
        <v>22</v>
      </c>
      <c r="AB31">
        <v>22</v>
      </c>
      <c r="AC31">
        <v>15</v>
      </c>
      <c r="AD31" s="4">
        <v>0.68181820000000004</v>
      </c>
      <c r="AE31">
        <v>10</v>
      </c>
      <c r="AF31">
        <v>10</v>
      </c>
      <c r="AG31">
        <v>9</v>
      </c>
      <c r="AH31" s="4">
        <v>0.9</v>
      </c>
      <c r="AI31">
        <v>6</v>
      </c>
      <c r="AJ31">
        <v>6</v>
      </c>
      <c r="AK31">
        <v>5</v>
      </c>
      <c r="AL31" s="4">
        <v>0.83333330000000005</v>
      </c>
      <c r="AM31">
        <v>10</v>
      </c>
      <c r="AN31">
        <v>10</v>
      </c>
      <c r="AO31">
        <v>8</v>
      </c>
      <c r="AP31" s="4">
        <v>0.8</v>
      </c>
      <c r="AQ31">
        <v>9</v>
      </c>
      <c r="AR31">
        <v>9</v>
      </c>
      <c r="AS31">
        <v>5</v>
      </c>
      <c r="AT31" s="4">
        <v>0.55555560000000004</v>
      </c>
      <c r="AU31">
        <v>5</v>
      </c>
      <c r="AV31">
        <v>5</v>
      </c>
      <c r="AW31">
        <v>1</v>
      </c>
      <c r="AX31" s="4">
        <v>0.2</v>
      </c>
      <c r="AY31" t="s">
        <v>528</v>
      </c>
      <c r="AZ31" t="s">
        <v>540</v>
      </c>
      <c r="BA31" t="str">
        <f t="shared" si="0"/>
        <v>Proportion of patients treated within 14 days of symptoms within Scotland</v>
      </c>
      <c r="BB31" s="4">
        <v>0.5321100917431193</v>
      </c>
      <c r="BC31" s="4">
        <v>0.53398058252427183</v>
      </c>
      <c r="BD31" s="4">
        <v>0.53529411764705881</v>
      </c>
    </row>
    <row r="32" spans="1:56" x14ac:dyDescent="0.25">
      <c r="A32" t="s">
        <v>105</v>
      </c>
      <c r="B32" t="s">
        <v>104</v>
      </c>
      <c r="C32">
        <v>6</v>
      </c>
      <c r="D32">
        <v>6</v>
      </c>
      <c r="E32">
        <v>2</v>
      </c>
      <c r="F32" s="4">
        <v>0.3333333</v>
      </c>
      <c r="G32">
        <v>11</v>
      </c>
      <c r="H32">
        <v>11</v>
      </c>
      <c r="I32">
        <v>0</v>
      </c>
      <c r="J32" s="4">
        <v>0</v>
      </c>
      <c r="K32">
        <v>6</v>
      </c>
      <c r="L32">
        <v>6</v>
      </c>
      <c r="M32">
        <v>2</v>
      </c>
      <c r="N32" s="4">
        <v>0.3333333</v>
      </c>
      <c r="O32">
        <v>10</v>
      </c>
      <c r="P32">
        <v>10</v>
      </c>
      <c r="Q32">
        <v>4</v>
      </c>
      <c r="R32" s="4">
        <v>0.4</v>
      </c>
      <c r="S32">
        <v>1</v>
      </c>
      <c r="T32">
        <v>1</v>
      </c>
      <c r="U32">
        <v>0</v>
      </c>
      <c r="V32" s="4">
        <v>0</v>
      </c>
      <c r="W32">
        <v>2</v>
      </c>
      <c r="X32">
        <v>2</v>
      </c>
      <c r="Y32">
        <v>2</v>
      </c>
      <c r="Z32" s="4">
        <v>1</v>
      </c>
      <c r="AA32">
        <v>4</v>
      </c>
      <c r="AB32">
        <v>4</v>
      </c>
      <c r="AC32">
        <v>1</v>
      </c>
      <c r="AD32" s="4">
        <v>0.25</v>
      </c>
      <c r="AE32">
        <v>5</v>
      </c>
      <c r="AF32">
        <v>5</v>
      </c>
      <c r="AG32">
        <v>2</v>
      </c>
      <c r="AH32" s="4">
        <v>0.4</v>
      </c>
      <c r="AI32">
        <v>4</v>
      </c>
      <c r="AJ32">
        <v>4</v>
      </c>
      <c r="AK32">
        <v>2</v>
      </c>
      <c r="AL32" s="4">
        <v>0.5</v>
      </c>
      <c r="AM32">
        <v>4</v>
      </c>
      <c r="AN32">
        <v>4</v>
      </c>
      <c r="AO32">
        <v>1</v>
      </c>
      <c r="AP32" s="4">
        <v>0.25</v>
      </c>
      <c r="AQ32">
        <v>5</v>
      </c>
      <c r="AR32">
        <v>5</v>
      </c>
      <c r="AS32">
        <v>2</v>
      </c>
      <c r="AT32" s="4">
        <v>0.4</v>
      </c>
      <c r="AU32">
        <v>4</v>
      </c>
      <c r="AV32">
        <v>4</v>
      </c>
      <c r="AW32">
        <v>1</v>
      </c>
      <c r="AX32" s="4">
        <v>0.25</v>
      </c>
      <c r="AY32" t="s">
        <v>528</v>
      </c>
      <c r="AZ32" t="s">
        <v>540</v>
      </c>
      <c r="BA32" t="str">
        <f t="shared" si="0"/>
        <v>Proportion of patients treated within 14 days of symptoms within Scotland</v>
      </c>
      <c r="BB32" s="4">
        <v>0.5321100917431193</v>
      </c>
      <c r="BC32" s="4">
        <v>0.53398058252427183</v>
      </c>
      <c r="BD32" s="4">
        <v>0.53529411764705881</v>
      </c>
    </row>
    <row r="33" spans="1:56" x14ac:dyDescent="0.25">
      <c r="A33" t="s">
        <v>107</v>
      </c>
      <c r="B33" t="s">
        <v>106</v>
      </c>
      <c r="C33">
        <v>6</v>
      </c>
      <c r="D33">
        <v>6</v>
      </c>
      <c r="E33">
        <v>4</v>
      </c>
      <c r="F33" s="4">
        <v>0.66666669999999995</v>
      </c>
      <c r="G33">
        <v>2</v>
      </c>
      <c r="H33">
        <v>2</v>
      </c>
      <c r="I33">
        <v>2</v>
      </c>
      <c r="J33" s="4">
        <v>1</v>
      </c>
      <c r="K33">
        <v>5</v>
      </c>
      <c r="L33">
        <v>5</v>
      </c>
      <c r="M33">
        <v>2</v>
      </c>
      <c r="N33" s="4">
        <v>0.4</v>
      </c>
      <c r="O33">
        <v>12</v>
      </c>
      <c r="P33">
        <v>11</v>
      </c>
      <c r="Q33">
        <v>6</v>
      </c>
      <c r="R33" s="4">
        <v>0.54545460000000001</v>
      </c>
      <c r="S33">
        <v>5</v>
      </c>
      <c r="T33">
        <v>5</v>
      </c>
      <c r="U33">
        <v>3</v>
      </c>
      <c r="V33" s="4">
        <v>0.6</v>
      </c>
      <c r="W33">
        <v>10</v>
      </c>
      <c r="X33">
        <v>10</v>
      </c>
      <c r="Y33">
        <v>7</v>
      </c>
      <c r="Z33" s="4">
        <v>0.7</v>
      </c>
      <c r="AA33">
        <v>10</v>
      </c>
      <c r="AB33">
        <v>10</v>
      </c>
      <c r="AC33">
        <v>5</v>
      </c>
      <c r="AD33" s="4">
        <v>0.5</v>
      </c>
      <c r="AE33">
        <v>7</v>
      </c>
      <c r="AF33">
        <v>7</v>
      </c>
      <c r="AG33">
        <v>1</v>
      </c>
      <c r="AH33" s="4">
        <v>0.14285709999999999</v>
      </c>
      <c r="AI33">
        <v>12</v>
      </c>
      <c r="AJ33">
        <v>12</v>
      </c>
      <c r="AK33">
        <v>7</v>
      </c>
      <c r="AL33" s="4">
        <v>0.58333330000000005</v>
      </c>
      <c r="AM33">
        <v>10</v>
      </c>
      <c r="AN33">
        <v>10</v>
      </c>
      <c r="AO33">
        <v>3</v>
      </c>
      <c r="AP33" s="4">
        <v>0.3</v>
      </c>
      <c r="AQ33">
        <v>18</v>
      </c>
      <c r="AR33">
        <v>18</v>
      </c>
      <c r="AS33">
        <v>7</v>
      </c>
      <c r="AT33" s="4">
        <v>0.38888889999999998</v>
      </c>
      <c r="AU33">
        <v>19</v>
      </c>
      <c r="AV33">
        <v>19</v>
      </c>
      <c r="AW33">
        <v>6</v>
      </c>
      <c r="AX33" s="4">
        <v>0.3157895</v>
      </c>
      <c r="AY33" t="s">
        <v>528</v>
      </c>
      <c r="AZ33" t="s">
        <v>540</v>
      </c>
      <c r="BA33" t="str">
        <f t="shared" si="0"/>
        <v>Proportion of patients treated within 14 days of symptoms within Scotland</v>
      </c>
      <c r="BB33" s="4">
        <v>0.5321100917431193</v>
      </c>
      <c r="BC33" s="4">
        <v>0.53398058252427183</v>
      </c>
      <c r="BD33" s="4">
        <v>0.53529411764705881</v>
      </c>
    </row>
    <row r="34" spans="1:56" x14ac:dyDescent="0.25">
      <c r="A34" t="s">
        <v>111</v>
      </c>
      <c r="B34" t="s">
        <v>110</v>
      </c>
      <c r="C34">
        <v>8</v>
      </c>
      <c r="D34">
        <v>8</v>
      </c>
      <c r="E34">
        <v>5</v>
      </c>
      <c r="F34" s="4">
        <v>0.625</v>
      </c>
      <c r="G34">
        <v>12</v>
      </c>
      <c r="H34">
        <v>12</v>
      </c>
      <c r="I34">
        <v>8</v>
      </c>
      <c r="J34" s="4">
        <v>0.66666669999999995</v>
      </c>
      <c r="K34">
        <v>10</v>
      </c>
      <c r="L34">
        <v>10</v>
      </c>
      <c r="M34">
        <v>9</v>
      </c>
      <c r="N34" s="4">
        <v>0.9</v>
      </c>
      <c r="O34">
        <v>13</v>
      </c>
      <c r="P34">
        <v>13</v>
      </c>
      <c r="Q34">
        <v>6</v>
      </c>
      <c r="R34" s="4">
        <v>0.46153850000000002</v>
      </c>
      <c r="S34">
        <v>7</v>
      </c>
      <c r="T34">
        <v>7</v>
      </c>
      <c r="U34">
        <v>6</v>
      </c>
      <c r="V34" s="4">
        <v>0.85714290000000004</v>
      </c>
      <c r="W34">
        <v>7</v>
      </c>
      <c r="X34">
        <v>7</v>
      </c>
      <c r="Y34">
        <v>5</v>
      </c>
      <c r="Z34" s="4">
        <v>0.71428570000000002</v>
      </c>
      <c r="AA34">
        <v>7</v>
      </c>
      <c r="AB34">
        <v>7</v>
      </c>
      <c r="AC34">
        <v>6</v>
      </c>
      <c r="AD34" s="4">
        <v>0.85714290000000004</v>
      </c>
      <c r="AE34">
        <v>6</v>
      </c>
      <c r="AF34">
        <v>6</v>
      </c>
      <c r="AG34">
        <v>4</v>
      </c>
      <c r="AH34" s="4">
        <v>0.66666669999999995</v>
      </c>
      <c r="AI34">
        <v>4</v>
      </c>
      <c r="AJ34">
        <v>4</v>
      </c>
      <c r="AK34">
        <v>3</v>
      </c>
      <c r="AL34" s="4">
        <v>0.75</v>
      </c>
      <c r="AM34">
        <v>7</v>
      </c>
      <c r="AN34">
        <v>7</v>
      </c>
      <c r="AO34">
        <v>5</v>
      </c>
      <c r="AP34" s="4">
        <v>0.71428570000000002</v>
      </c>
      <c r="AQ34">
        <v>7</v>
      </c>
      <c r="AR34">
        <v>7</v>
      </c>
      <c r="AS34">
        <v>5</v>
      </c>
      <c r="AT34" s="4">
        <v>0.71428570000000002</v>
      </c>
      <c r="AU34">
        <v>9</v>
      </c>
      <c r="AV34">
        <v>8</v>
      </c>
      <c r="AW34">
        <v>6</v>
      </c>
      <c r="AX34" s="4">
        <v>0.75</v>
      </c>
      <c r="AY34" t="s">
        <v>528</v>
      </c>
      <c r="AZ34" t="s">
        <v>540</v>
      </c>
      <c r="BA34" t="str">
        <f t="shared" si="0"/>
        <v>Proportion of patients treated within 14 days of symptoms within Scotland</v>
      </c>
      <c r="BB34" s="4">
        <v>0.5321100917431193</v>
      </c>
      <c r="BC34" s="4">
        <v>0.53398058252427183</v>
      </c>
      <c r="BD34" s="4">
        <v>0.53529411764705881</v>
      </c>
    </row>
    <row r="35" spans="1:56" x14ac:dyDescent="0.25">
      <c r="A35" t="s">
        <v>113</v>
      </c>
      <c r="B35" t="s">
        <v>112</v>
      </c>
      <c r="C35">
        <v>0</v>
      </c>
      <c r="D35">
        <v>0</v>
      </c>
      <c r="E35">
        <v>0</v>
      </c>
      <c r="F35" s="4" t="s">
        <v>122</v>
      </c>
      <c r="G35">
        <v>2</v>
      </c>
      <c r="H35">
        <v>2</v>
      </c>
      <c r="I35">
        <v>2</v>
      </c>
      <c r="J35" s="4">
        <v>1</v>
      </c>
      <c r="K35">
        <v>3</v>
      </c>
      <c r="L35">
        <v>3</v>
      </c>
      <c r="M35">
        <v>3</v>
      </c>
      <c r="N35" s="4">
        <v>1</v>
      </c>
      <c r="O35">
        <v>9</v>
      </c>
      <c r="P35">
        <v>9</v>
      </c>
      <c r="Q35">
        <v>3</v>
      </c>
      <c r="R35" s="4">
        <v>0.3333333</v>
      </c>
      <c r="S35">
        <v>6</v>
      </c>
      <c r="T35">
        <v>6</v>
      </c>
      <c r="U35">
        <v>2</v>
      </c>
      <c r="V35" s="4">
        <v>0.3333333</v>
      </c>
      <c r="W35">
        <v>2</v>
      </c>
      <c r="X35">
        <v>2</v>
      </c>
      <c r="Y35">
        <v>2</v>
      </c>
      <c r="Z35" s="4">
        <v>1</v>
      </c>
      <c r="AA35">
        <v>3</v>
      </c>
      <c r="AB35">
        <v>3</v>
      </c>
      <c r="AC35">
        <v>1</v>
      </c>
      <c r="AD35" s="4">
        <v>0.3333333</v>
      </c>
      <c r="AE35">
        <v>12</v>
      </c>
      <c r="AF35">
        <v>11</v>
      </c>
      <c r="AG35">
        <v>5</v>
      </c>
      <c r="AH35" s="4">
        <v>0.45454549999999999</v>
      </c>
      <c r="AI35">
        <v>10</v>
      </c>
      <c r="AJ35">
        <v>10</v>
      </c>
      <c r="AK35">
        <v>7</v>
      </c>
      <c r="AL35" s="4">
        <v>0.7</v>
      </c>
      <c r="AM35">
        <v>4</v>
      </c>
      <c r="AN35">
        <v>4</v>
      </c>
      <c r="AO35">
        <v>2</v>
      </c>
      <c r="AP35" s="4">
        <v>0.5</v>
      </c>
      <c r="AQ35">
        <v>6</v>
      </c>
      <c r="AR35">
        <v>6</v>
      </c>
      <c r="AS35">
        <v>3</v>
      </c>
      <c r="AT35" s="4">
        <v>0.5</v>
      </c>
      <c r="AU35">
        <v>8</v>
      </c>
      <c r="AV35">
        <v>8</v>
      </c>
      <c r="AW35">
        <v>7</v>
      </c>
      <c r="AX35" s="4">
        <v>0.875</v>
      </c>
      <c r="AY35" t="s">
        <v>528</v>
      </c>
      <c r="AZ35" t="s">
        <v>540</v>
      </c>
      <c r="BA35" t="str">
        <f t="shared" si="0"/>
        <v>Proportion of patients treated within 14 days of symptoms within Scotland</v>
      </c>
      <c r="BB35" s="4">
        <v>0.5321100917431193</v>
      </c>
      <c r="BC35" s="4">
        <v>0.53398058252427183</v>
      </c>
      <c r="BD35" s="4">
        <v>0.53529411764705881</v>
      </c>
    </row>
    <row r="36" spans="1:56" x14ac:dyDescent="0.25">
      <c r="A36" t="s">
        <v>52</v>
      </c>
      <c r="B36" t="s">
        <v>51</v>
      </c>
      <c r="C36">
        <v>13</v>
      </c>
      <c r="D36">
        <v>13</v>
      </c>
      <c r="E36">
        <v>9</v>
      </c>
      <c r="F36" s="4">
        <v>0.69230769999999997</v>
      </c>
      <c r="G36">
        <v>11</v>
      </c>
      <c r="H36">
        <v>8</v>
      </c>
      <c r="I36">
        <v>7</v>
      </c>
      <c r="J36" s="4">
        <v>0.875</v>
      </c>
      <c r="K36">
        <v>9</v>
      </c>
      <c r="L36">
        <v>9</v>
      </c>
      <c r="M36">
        <v>7</v>
      </c>
      <c r="N36" s="4">
        <v>0.77777779999999996</v>
      </c>
      <c r="O36">
        <v>17</v>
      </c>
      <c r="P36">
        <v>16</v>
      </c>
      <c r="Q36">
        <v>13</v>
      </c>
      <c r="R36" s="4">
        <v>0.8125</v>
      </c>
      <c r="S36">
        <v>13</v>
      </c>
      <c r="T36">
        <v>12</v>
      </c>
      <c r="U36">
        <v>8</v>
      </c>
      <c r="V36" s="4">
        <v>0.66666669999999995</v>
      </c>
      <c r="W36">
        <v>14</v>
      </c>
      <c r="X36">
        <v>13</v>
      </c>
      <c r="Y36">
        <v>12</v>
      </c>
      <c r="Z36" s="4">
        <v>0.92307689999999998</v>
      </c>
      <c r="AA36">
        <v>16</v>
      </c>
      <c r="AB36">
        <v>12</v>
      </c>
      <c r="AC36">
        <v>11</v>
      </c>
      <c r="AD36" s="4">
        <v>0.91666669999999995</v>
      </c>
      <c r="AE36">
        <v>15</v>
      </c>
      <c r="AF36">
        <v>11</v>
      </c>
      <c r="AG36">
        <v>8</v>
      </c>
      <c r="AH36" s="4">
        <v>0.72727269999999999</v>
      </c>
      <c r="AI36">
        <v>10</v>
      </c>
      <c r="AJ36">
        <v>6</v>
      </c>
      <c r="AK36">
        <v>5</v>
      </c>
      <c r="AL36" s="4">
        <v>0.83333330000000005</v>
      </c>
      <c r="AM36">
        <v>11</v>
      </c>
      <c r="AN36">
        <v>10</v>
      </c>
      <c r="AO36">
        <v>5</v>
      </c>
      <c r="AP36" s="4">
        <v>0.5</v>
      </c>
      <c r="AQ36">
        <v>11</v>
      </c>
      <c r="AR36">
        <v>9</v>
      </c>
      <c r="AS36">
        <v>6</v>
      </c>
      <c r="AT36" s="4">
        <v>0.66666669999999995</v>
      </c>
      <c r="AU36">
        <v>11</v>
      </c>
      <c r="AV36">
        <v>11</v>
      </c>
      <c r="AW36">
        <v>7</v>
      </c>
      <c r="AX36" s="4">
        <v>0.63636360000000003</v>
      </c>
      <c r="AY36" t="s">
        <v>526</v>
      </c>
      <c r="AZ36" t="s">
        <v>540</v>
      </c>
      <c r="BA36" t="str">
        <f t="shared" si="0"/>
        <v>Proportion of patients treated within 14 days of symptoms within England</v>
      </c>
      <c r="BB36" s="4">
        <v>0.59712746858168764</v>
      </c>
      <c r="BC36" s="4">
        <v>0.5577350111028867</v>
      </c>
      <c r="BD36" s="4">
        <v>0.49857346647646222</v>
      </c>
    </row>
    <row r="37" spans="1:56" x14ac:dyDescent="0.25">
      <c r="A37" t="s">
        <v>79</v>
      </c>
      <c r="B37" t="s">
        <v>78</v>
      </c>
      <c r="C37">
        <v>21</v>
      </c>
      <c r="D37">
        <v>21</v>
      </c>
      <c r="E37">
        <v>16</v>
      </c>
      <c r="F37" s="4">
        <v>0.76190480000000005</v>
      </c>
      <c r="G37">
        <v>18</v>
      </c>
      <c r="H37">
        <v>18</v>
      </c>
      <c r="I37">
        <v>12</v>
      </c>
      <c r="J37" s="4">
        <v>0.66666669999999995</v>
      </c>
      <c r="K37">
        <v>19</v>
      </c>
      <c r="L37">
        <v>19</v>
      </c>
      <c r="M37">
        <v>15</v>
      </c>
      <c r="N37" s="4">
        <v>0.78947369999999994</v>
      </c>
      <c r="O37">
        <v>24</v>
      </c>
      <c r="P37">
        <v>24</v>
      </c>
      <c r="Q37">
        <v>20</v>
      </c>
      <c r="R37" s="4">
        <v>0.83333330000000005</v>
      </c>
      <c r="S37">
        <v>16</v>
      </c>
      <c r="T37">
        <v>16</v>
      </c>
      <c r="U37">
        <v>12</v>
      </c>
      <c r="V37" s="4">
        <v>0.75</v>
      </c>
      <c r="W37">
        <v>28</v>
      </c>
      <c r="X37">
        <v>27</v>
      </c>
      <c r="Y37">
        <v>23</v>
      </c>
      <c r="Z37" s="4">
        <v>0.8518519</v>
      </c>
      <c r="AA37">
        <v>21</v>
      </c>
      <c r="AB37">
        <v>21</v>
      </c>
      <c r="AC37">
        <v>17</v>
      </c>
      <c r="AD37" s="4">
        <v>0.80952380000000002</v>
      </c>
      <c r="AE37">
        <v>17</v>
      </c>
      <c r="AF37">
        <v>17</v>
      </c>
      <c r="AG37">
        <v>13</v>
      </c>
      <c r="AH37" s="4">
        <v>0.76470590000000005</v>
      </c>
      <c r="AI37">
        <v>17</v>
      </c>
      <c r="AJ37">
        <v>17</v>
      </c>
      <c r="AK37">
        <v>10</v>
      </c>
      <c r="AL37" s="4">
        <v>0.58823530000000002</v>
      </c>
      <c r="AM37">
        <v>15</v>
      </c>
      <c r="AN37">
        <v>15</v>
      </c>
      <c r="AO37">
        <v>11</v>
      </c>
      <c r="AP37" s="4">
        <v>0.73333329999999997</v>
      </c>
      <c r="AQ37">
        <v>25</v>
      </c>
      <c r="AR37">
        <v>25</v>
      </c>
      <c r="AS37">
        <v>17</v>
      </c>
      <c r="AT37" s="4">
        <v>0.68</v>
      </c>
      <c r="AU37">
        <v>11</v>
      </c>
      <c r="AV37">
        <v>9</v>
      </c>
      <c r="AW37">
        <v>6</v>
      </c>
      <c r="AX37" s="4">
        <v>0.66666669999999995</v>
      </c>
      <c r="AY37" t="s">
        <v>526</v>
      </c>
      <c r="AZ37" t="s">
        <v>540</v>
      </c>
      <c r="BA37" t="str">
        <f t="shared" si="0"/>
        <v>Proportion of patients treated within 14 days of symptoms within England</v>
      </c>
      <c r="BB37" s="4">
        <v>0.59712746858168764</v>
      </c>
      <c r="BC37" s="4">
        <v>0.5577350111028867</v>
      </c>
      <c r="BD37" s="4">
        <v>0.49857346647646222</v>
      </c>
    </row>
    <row r="38" spans="1:56" x14ac:dyDescent="0.25">
      <c r="A38" t="s">
        <v>146</v>
      </c>
      <c r="B38" t="s">
        <v>155</v>
      </c>
      <c r="C38">
        <v>10</v>
      </c>
      <c r="D38">
        <v>10</v>
      </c>
      <c r="E38">
        <v>3</v>
      </c>
      <c r="F38" s="4">
        <v>0.3</v>
      </c>
      <c r="G38">
        <v>14</v>
      </c>
      <c r="H38">
        <v>11</v>
      </c>
      <c r="I38">
        <v>10</v>
      </c>
      <c r="J38" s="4">
        <v>0.90909090000000004</v>
      </c>
      <c r="K38">
        <v>9</v>
      </c>
      <c r="L38">
        <v>9</v>
      </c>
      <c r="M38">
        <v>6</v>
      </c>
      <c r="N38" s="4">
        <v>0.66666669999999995</v>
      </c>
      <c r="O38">
        <v>9</v>
      </c>
      <c r="P38">
        <v>9</v>
      </c>
      <c r="Q38">
        <v>7</v>
      </c>
      <c r="R38" s="4">
        <v>0.77777779999999996</v>
      </c>
      <c r="S38">
        <v>9</v>
      </c>
      <c r="T38">
        <v>9</v>
      </c>
      <c r="U38">
        <v>7</v>
      </c>
      <c r="V38" s="4">
        <v>0.77777779999999996</v>
      </c>
      <c r="W38">
        <v>9</v>
      </c>
      <c r="X38">
        <v>9</v>
      </c>
      <c r="Y38">
        <v>8</v>
      </c>
      <c r="Z38" s="4">
        <v>0.88888889999999998</v>
      </c>
      <c r="AA38">
        <v>9</v>
      </c>
      <c r="AB38">
        <v>7</v>
      </c>
      <c r="AC38">
        <v>5</v>
      </c>
      <c r="AD38" s="4">
        <v>0.71428570000000002</v>
      </c>
      <c r="AE38">
        <v>10</v>
      </c>
      <c r="AF38">
        <v>9</v>
      </c>
      <c r="AG38">
        <v>9</v>
      </c>
      <c r="AH38" s="4">
        <v>1</v>
      </c>
      <c r="AI38">
        <v>8</v>
      </c>
      <c r="AJ38">
        <v>6</v>
      </c>
      <c r="AK38">
        <v>6</v>
      </c>
      <c r="AL38" s="4">
        <v>1</v>
      </c>
      <c r="AM38">
        <v>6</v>
      </c>
      <c r="AN38">
        <v>5</v>
      </c>
      <c r="AO38">
        <v>1</v>
      </c>
      <c r="AP38" s="4">
        <v>0.2</v>
      </c>
      <c r="AQ38">
        <v>17</v>
      </c>
      <c r="AR38">
        <v>13</v>
      </c>
      <c r="AS38">
        <v>8</v>
      </c>
      <c r="AT38" s="4">
        <v>0.61538459999999995</v>
      </c>
      <c r="AU38">
        <v>5</v>
      </c>
      <c r="AV38">
        <v>5</v>
      </c>
      <c r="AW38">
        <v>1</v>
      </c>
      <c r="AX38" s="4">
        <v>0.2</v>
      </c>
      <c r="AY38" t="s">
        <v>526</v>
      </c>
      <c r="AZ38" t="s">
        <v>540</v>
      </c>
      <c r="BA38" t="str">
        <f t="shared" si="0"/>
        <v>Proportion of patients treated within 14 days of symptoms within England</v>
      </c>
      <c r="BB38" s="4">
        <v>0.59712746858168764</v>
      </c>
      <c r="BC38" s="4">
        <v>0.5577350111028867</v>
      </c>
      <c r="BD38" s="4">
        <v>0.49857346647646222</v>
      </c>
    </row>
    <row r="39" spans="1:56" x14ac:dyDescent="0.25">
      <c r="A39" t="s">
        <v>56</v>
      </c>
      <c r="B39" t="s">
        <v>55</v>
      </c>
      <c r="C39">
        <v>10</v>
      </c>
      <c r="D39">
        <v>10</v>
      </c>
      <c r="E39">
        <v>6</v>
      </c>
      <c r="F39" s="4">
        <v>0.6</v>
      </c>
      <c r="G39">
        <v>11</v>
      </c>
      <c r="H39">
        <v>11</v>
      </c>
      <c r="I39">
        <v>8</v>
      </c>
      <c r="J39" s="4">
        <v>0.72727269999999999</v>
      </c>
      <c r="K39">
        <v>9</v>
      </c>
      <c r="L39">
        <v>9</v>
      </c>
      <c r="M39">
        <v>2</v>
      </c>
      <c r="N39" s="4">
        <v>0.22222220000000001</v>
      </c>
      <c r="O39">
        <v>7</v>
      </c>
      <c r="P39">
        <v>6</v>
      </c>
      <c r="Q39">
        <v>2</v>
      </c>
      <c r="R39" s="4">
        <v>0.3333333</v>
      </c>
      <c r="S39">
        <v>7</v>
      </c>
      <c r="T39">
        <v>6</v>
      </c>
      <c r="U39">
        <v>3</v>
      </c>
      <c r="V39" s="4">
        <v>0.5</v>
      </c>
      <c r="W39">
        <v>3</v>
      </c>
      <c r="X39">
        <v>3</v>
      </c>
      <c r="Y39">
        <v>3</v>
      </c>
      <c r="Z39" s="4">
        <v>1</v>
      </c>
      <c r="AA39">
        <v>5</v>
      </c>
      <c r="AB39">
        <v>5</v>
      </c>
      <c r="AC39">
        <v>2</v>
      </c>
      <c r="AD39" s="4">
        <v>0.4</v>
      </c>
      <c r="AE39">
        <v>9</v>
      </c>
      <c r="AF39">
        <v>8</v>
      </c>
      <c r="AG39">
        <v>1</v>
      </c>
      <c r="AH39" s="4">
        <v>0.125</v>
      </c>
      <c r="AI39">
        <v>12</v>
      </c>
      <c r="AJ39">
        <v>12</v>
      </c>
      <c r="AK39">
        <v>5</v>
      </c>
      <c r="AL39" s="4">
        <v>0.4166667</v>
      </c>
      <c r="AM39">
        <v>19</v>
      </c>
      <c r="AN39">
        <v>17</v>
      </c>
      <c r="AO39">
        <v>8</v>
      </c>
      <c r="AP39" s="4">
        <v>0.47058820000000001</v>
      </c>
      <c r="AQ39">
        <v>9</v>
      </c>
      <c r="AR39">
        <v>9</v>
      </c>
      <c r="AS39">
        <v>4</v>
      </c>
      <c r="AT39" s="4">
        <v>0.44444440000000002</v>
      </c>
      <c r="AU39">
        <v>9</v>
      </c>
      <c r="AV39">
        <v>9</v>
      </c>
      <c r="AW39">
        <v>4</v>
      </c>
      <c r="AX39" s="4">
        <v>0.44444440000000002</v>
      </c>
      <c r="AY39" t="s">
        <v>526</v>
      </c>
      <c r="AZ39" t="s">
        <v>540</v>
      </c>
      <c r="BA39" t="str">
        <f t="shared" si="0"/>
        <v>Proportion of patients treated within 14 days of symptoms within England</v>
      </c>
      <c r="BB39" s="4">
        <v>0.59712746858168764</v>
      </c>
      <c r="BC39" s="4">
        <v>0.5577350111028867</v>
      </c>
      <c r="BD39" s="4">
        <v>0.49857346647646222</v>
      </c>
    </row>
    <row r="40" spans="1:56" x14ac:dyDescent="0.25">
      <c r="A40" t="s">
        <v>154</v>
      </c>
      <c r="B40" t="s">
        <v>153</v>
      </c>
      <c r="C40">
        <v>14</v>
      </c>
      <c r="D40">
        <v>12</v>
      </c>
      <c r="E40">
        <v>6</v>
      </c>
      <c r="F40" s="4">
        <v>0.5</v>
      </c>
      <c r="G40">
        <v>20</v>
      </c>
      <c r="H40">
        <v>17</v>
      </c>
      <c r="I40">
        <v>8</v>
      </c>
      <c r="J40" s="4">
        <v>0.47058820000000001</v>
      </c>
      <c r="K40">
        <v>18</v>
      </c>
      <c r="L40">
        <v>14</v>
      </c>
      <c r="M40">
        <v>11</v>
      </c>
      <c r="N40" s="4">
        <v>0.78571429999999998</v>
      </c>
      <c r="O40">
        <v>23</v>
      </c>
      <c r="P40">
        <v>20</v>
      </c>
      <c r="Q40">
        <v>15</v>
      </c>
      <c r="R40" s="4">
        <v>0.75</v>
      </c>
      <c r="S40">
        <v>26</v>
      </c>
      <c r="T40">
        <v>20</v>
      </c>
      <c r="U40">
        <v>11</v>
      </c>
      <c r="V40" s="4">
        <v>0.55000000000000004</v>
      </c>
      <c r="W40">
        <v>20</v>
      </c>
      <c r="X40">
        <v>12</v>
      </c>
      <c r="Y40">
        <v>8</v>
      </c>
      <c r="Z40" s="4">
        <v>0.66666669999999995</v>
      </c>
      <c r="AA40">
        <v>22</v>
      </c>
      <c r="AB40">
        <v>15</v>
      </c>
      <c r="AC40">
        <v>5</v>
      </c>
      <c r="AD40" s="4">
        <v>0.3333333</v>
      </c>
      <c r="AE40">
        <v>17</v>
      </c>
      <c r="AF40">
        <v>13</v>
      </c>
      <c r="AG40">
        <v>8</v>
      </c>
      <c r="AH40" s="4">
        <v>0.61538459999999995</v>
      </c>
      <c r="AI40">
        <v>19</v>
      </c>
      <c r="AJ40">
        <v>15</v>
      </c>
      <c r="AK40">
        <v>5</v>
      </c>
      <c r="AL40" s="4">
        <v>0.3333333</v>
      </c>
      <c r="AM40">
        <v>9</v>
      </c>
      <c r="AN40">
        <v>5</v>
      </c>
      <c r="AO40">
        <v>1</v>
      </c>
      <c r="AP40" s="4">
        <v>0.2</v>
      </c>
      <c r="AQ40">
        <v>14</v>
      </c>
      <c r="AR40">
        <v>12</v>
      </c>
      <c r="AS40">
        <v>7</v>
      </c>
      <c r="AT40" s="4">
        <v>0.58333330000000005</v>
      </c>
      <c r="AU40">
        <v>17</v>
      </c>
      <c r="AV40">
        <v>15</v>
      </c>
      <c r="AW40">
        <v>8</v>
      </c>
      <c r="AX40" s="4">
        <v>0.53333339999999996</v>
      </c>
      <c r="AY40" t="s">
        <v>526</v>
      </c>
      <c r="AZ40" t="s">
        <v>540</v>
      </c>
      <c r="BA40" t="str">
        <f t="shared" si="0"/>
        <v>Proportion of patients treated within 14 days of symptoms within England</v>
      </c>
      <c r="BB40" s="4">
        <v>0.59712746858168764</v>
      </c>
      <c r="BC40" s="4">
        <v>0.5577350111028867</v>
      </c>
      <c r="BD40" s="4">
        <v>0.49857346647646222</v>
      </c>
    </row>
    <row r="41" spans="1:56" x14ac:dyDescent="0.25">
      <c r="A41" t="s">
        <v>93</v>
      </c>
      <c r="B41" t="s">
        <v>92</v>
      </c>
      <c r="C41">
        <v>16</v>
      </c>
      <c r="D41">
        <v>16</v>
      </c>
      <c r="E41">
        <v>9</v>
      </c>
      <c r="F41" s="4">
        <v>0.5625</v>
      </c>
      <c r="G41">
        <v>18</v>
      </c>
      <c r="H41">
        <v>18</v>
      </c>
      <c r="I41">
        <v>11</v>
      </c>
      <c r="J41" s="4">
        <v>0.61111110000000002</v>
      </c>
      <c r="K41">
        <v>14</v>
      </c>
      <c r="L41">
        <v>14</v>
      </c>
      <c r="M41">
        <v>11</v>
      </c>
      <c r="N41" s="4">
        <v>0.78571429999999998</v>
      </c>
      <c r="O41">
        <v>12</v>
      </c>
      <c r="P41">
        <v>12</v>
      </c>
      <c r="Q41">
        <v>6</v>
      </c>
      <c r="R41" s="4">
        <v>0.5</v>
      </c>
      <c r="S41">
        <v>24</v>
      </c>
      <c r="T41">
        <v>22</v>
      </c>
      <c r="U41">
        <v>16</v>
      </c>
      <c r="V41" s="4">
        <v>0.72727269999999999</v>
      </c>
      <c r="W41">
        <v>14</v>
      </c>
      <c r="X41">
        <v>14</v>
      </c>
      <c r="Y41">
        <v>10</v>
      </c>
      <c r="Z41" s="4">
        <v>0.71428570000000002</v>
      </c>
      <c r="AA41">
        <v>14</v>
      </c>
      <c r="AB41">
        <v>14</v>
      </c>
      <c r="AC41">
        <v>10</v>
      </c>
      <c r="AD41" s="4">
        <v>0.71428570000000002</v>
      </c>
      <c r="AE41">
        <v>16</v>
      </c>
      <c r="AF41">
        <v>16</v>
      </c>
      <c r="AG41">
        <v>9</v>
      </c>
      <c r="AH41" s="4">
        <v>0.5625</v>
      </c>
      <c r="AI41">
        <v>18</v>
      </c>
      <c r="AJ41">
        <v>18</v>
      </c>
      <c r="AK41">
        <v>15</v>
      </c>
      <c r="AL41" s="4">
        <v>0.83333330000000005</v>
      </c>
      <c r="AM41">
        <v>19</v>
      </c>
      <c r="AN41">
        <v>18</v>
      </c>
      <c r="AO41">
        <v>4</v>
      </c>
      <c r="AP41" s="4">
        <v>0.22222220000000001</v>
      </c>
      <c r="AQ41">
        <v>14</v>
      </c>
      <c r="AR41">
        <v>14</v>
      </c>
      <c r="AS41">
        <v>3</v>
      </c>
      <c r="AT41" s="4">
        <v>0.2142857</v>
      </c>
      <c r="AU41">
        <v>13</v>
      </c>
      <c r="AV41">
        <v>13</v>
      </c>
      <c r="AW41">
        <v>3</v>
      </c>
      <c r="AX41" s="4">
        <v>0.23076920000000001</v>
      </c>
      <c r="AY41" t="s">
        <v>526</v>
      </c>
      <c r="AZ41" t="s">
        <v>540</v>
      </c>
      <c r="BA41" t="str">
        <f t="shared" si="0"/>
        <v>Proportion of patients treated within 14 days of symptoms within England</v>
      </c>
      <c r="BB41" s="4">
        <v>0.59712746858168764</v>
      </c>
      <c r="BC41" s="4">
        <v>0.5577350111028867</v>
      </c>
      <c r="BD41" s="4">
        <v>0.49857346647646222</v>
      </c>
    </row>
    <row r="42" spans="1:56" x14ac:dyDescent="0.25">
      <c r="A42" t="s">
        <v>132</v>
      </c>
      <c r="B42" t="s">
        <v>75</v>
      </c>
      <c r="C42">
        <v>26</v>
      </c>
      <c r="D42">
        <v>21</v>
      </c>
      <c r="E42">
        <v>12</v>
      </c>
      <c r="F42" s="4">
        <v>0.57142859999999995</v>
      </c>
      <c r="G42">
        <v>20</v>
      </c>
      <c r="H42">
        <v>16</v>
      </c>
      <c r="I42">
        <v>9</v>
      </c>
      <c r="J42" s="4">
        <v>0.5625</v>
      </c>
      <c r="K42">
        <v>26</v>
      </c>
      <c r="L42">
        <v>22</v>
      </c>
      <c r="M42">
        <v>15</v>
      </c>
      <c r="N42" s="4">
        <v>0.68181820000000004</v>
      </c>
      <c r="O42">
        <v>32</v>
      </c>
      <c r="P42">
        <v>29</v>
      </c>
      <c r="Q42">
        <v>15</v>
      </c>
      <c r="R42" s="4">
        <v>0.51724139999999996</v>
      </c>
      <c r="S42">
        <v>31</v>
      </c>
      <c r="T42">
        <v>28</v>
      </c>
      <c r="U42">
        <v>16</v>
      </c>
      <c r="V42" s="4">
        <v>0.57142859999999995</v>
      </c>
      <c r="W42">
        <v>22</v>
      </c>
      <c r="X42">
        <v>19</v>
      </c>
      <c r="Y42">
        <v>10</v>
      </c>
      <c r="Z42" s="4">
        <v>0.5263158</v>
      </c>
      <c r="AA42">
        <v>32</v>
      </c>
      <c r="AB42">
        <v>29</v>
      </c>
      <c r="AC42">
        <v>17</v>
      </c>
      <c r="AD42" s="4">
        <v>0.58620689999999998</v>
      </c>
      <c r="AE42">
        <v>30</v>
      </c>
      <c r="AF42">
        <v>26</v>
      </c>
      <c r="AG42">
        <v>8</v>
      </c>
      <c r="AH42" s="4">
        <v>0.30769229999999997</v>
      </c>
      <c r="AI42">
        <v>38</v>
      </c>
      <c r="AJ42">
        <v>32</v>
      </c>
      <c r="AK42">
        <v>17</v>
      </c>
      <c r="AL42" s="4">
        <v>0.53125</v>
      </c>
      <c r="AM42">
        <v>29</v>
      </c>
      <c r="AN42">
        <v>27</v>
      </c>
      <c r="AO42">
        <v>11</v>
      </c>
      <c r="AP42" s="4">
        <v>0.40740739999999998</v>
      </c>
      <c r="AQ42">
        <v>36</v>
      </c>
      <c r="AR42">
        <v>30</v>
      </c>
      <c r="AS42">
        <v>8</v>
      </c>
      <c r="AT42" s="4">
        <v>0.26666669999999998</v>
      </c>
      <c r="AU42">
        <v>33</v>
      </c>
      <c r="AV42">
        <v>25</v>
      </c>
      <c r="AW42">
        <v>11</v>
      </c>
      <c r="AX42" s="4">
        <v>0.44</v>
      </c>
      <c r="AY42" t="s">
        <v>526</v>
      </c>
      <c r="AZ42" t="s">
        <v>540</v>
      </c>
      <c r="BA42" t="str">
        <f t="shared" si="0"/>
        <v>Proportion of patients treated within 14 days of symptoms within England</v>
      </c>
      <c r="BB42" s="4">
        <v>0.59712746858168764</v>
      </c>
      <c r="BC42" s="4">
        <v>0.5577350111028867</v>
      </c>
      <c r="BD42" s="4">
        <v>0.49857346647646222</v>
      </c>
    </row>
    <row r="43" spans="1:56" x14ac:dyDescent="0.25">
      <c r="A43" t="s">
        <v>24</v>
      </c>
      <c r="B43" t="s">
        <v>23</v>
      </c>
      <c r="C43">
        <v>8</v>
      </c>
      <c r="D43">
        <v>8</v>
      </c>
      <c r="E43">
        <v>3</v>
      </c>
      <c r="F43" s="4">
        <v>0.375</v>
      </c>
      <c r="G43">
        <v>5</v>
      </c>
      <c r="H43">
        <v>5</v>
      </c>
      <c r="I43">
        <v>3</v>
      </c>
      <c r="J43" s="4">
        <v>0.6</v>
      </c>
      <c r="K43">
        <v>8</v>
      </c>
      <c r="L43">
        <v>8</v>
      </c>
      <c r="M43">
        <v>4</v>
      </c>
      <c r="N43" s="4">
        <v>0.5</v>
      </c>
      <c r="O43">
        <v>6</v>
      </c>
      <c r="P43">
        <v>5</v>
      </c>
      <c r="Q43">
        <v>3</v>
      </c>
      <c r="R43" s="4">
        <v>0.6</v>
      </c>
      <c r="S43">
        <v>8</v>
      </c>
      <c r="T43">
        <v>8</v>
      </c>
      <c r="U43">
        <v>2</v>
      </c>
      <c r="V43" s="4">
        <v>0.25</v>
      </c>
      <c r="W43">
        <v>6</v>
      </c>
      <c r="X43">
        <v>6</v>
      </c>
      <c r="Y43">
        <v>1</v>
      </c>
      <c r="Z43" s="4">
        <v>0.1666667</v>
      </c>
      <c r="AA43">
        <v>7</v>
      </c>
      <c r="AB43">
        <v>7</v>
      </c>
      <c r="AC43">
        <v>6</v>
      </c>
      <c r="AD43" s="4">
        <v>0.85714290000000004</v>
      </c>
      <c r="AE43">
        <v>13</v>
      </c>
      <c r="AF43">
        <v>12</v>
      </c>
      <c r="AG43">
        <v>6</v>
      </c>
      <c r="AH43" s="4">
        <v>0.5</v>
      </c>
      <c r="AI43">
        <v>9</v>
      </c>
      <c r="AJ43">
        <v>9</v>
      </c>
      <c r="AK43">
        <v>6</v>
      </c>
      <c r="AL43" s="4">
        <v>0.66666669999999995</v>
      </c>
      <c r="AM43">
        <v>9</v>
      </c>
      <c r="AN43">
        <v>8</v>
      </c>
      <c r="AO43">
        <v>5</v>
      </c>
      <c r="AP43" s="4">
        <v>0.625</v>
      </c>
      <c r="AQ43">
        <v>11</v>
      </c>
      <c r="AR43">
        <v>8</v>
      </c>
      <c r="AS43">
        <v>6</v>
      </c>
      <c r="AT43" s="4">
        <v>0.75</v>
      </c>
      <c r="AU43">
        <v>12</v>
      </c>
      <c r="AV43">
        <v>10</v>
      </c>
      <c r="AW43">
        <v>6</v>
      </c>
      <c r="AX43" s="4">
        <v>0.6</v>
      </c>
      <c r="AY43" t="s">
        <v>526</v>
      </c>
      <c r="AZ43" t="s">
        <v>540</v>
      </c>
      <c r="BA43" t="str">
        <f t="shared" si="0"/>
        <v>Proportion of patients treated within 14 days of symptoms within England</v>
      </c>
      <c r="BB43" s="4">
        <v>0.59712746858168764</v>
      </c>
      <c r="BC43" s="4">
        <v>0.5577350111028867</v>
      </c>
      <c r="BD43" s="4">
        <v>0.49857346647646222</v>
      </c>
    </row>
    <row r="44" spans="1:56" x14ac:dyDescent="0.25">
      <c r="A44" t="s">
        <v>159</v>
      </c>
      <c r="B44" t="s">
        <v>31</v>
      </c>
      <c r="C44">
        <v>12</v>
      </c>
      <c r="D44">
        <v>10</v>
      </c>
      <c r="E44">
        <v>2</v>
      </c>
      <c r="F44" s="4">
        <v>0.2</v>
      </c>
      <c r="G44">
        <v>9</v>
      </c>
      <c r="H44">
        <v>9</v>
      </c>
      <c r="I44">
        <v>5</v>
      </c>
      <c r="J44" s="4">
        <v>0.55555560000000004</v>
      </c>
      <c r="K44">
        <v>16</v>
      </c>
      <c r="L44">
        <v>16</v>
      </c>
      <c r="M44">
        <v>9</v>
      </c>
      <c r="N44" s="4">
        <v>0.5625</v>
      </c>
      <c r="O44">
        <v>15</v>
      </c>
      <c r="P44">
        <v>15</v>
      </c>
      <c r="Q44">
        <v>11</v>
      </c>
      <c r="R44" s="4">
        <v>0.73333329999999997</v>
      </c>
      <c r="S44">
        <v>9</v>
      </c>
      <c r="T44">
        <v>9</v>
      </c>
      <c r="U44">
        <v>3</v>
      </c>
      <c r="V44" s="4">
        <v>0.3333333</v>
      </c>
      <c r="W44">
        <v>8</v>
      </c>
      <c r="X44">
        <v>8</v>
      </c>
      <c r="Y44">
        <v>6</v>
      </c>
      <c r="Z44" s="4">
        <v>0.75</v>
      </c>
      <c r="AA44">
        <v>2</v>
      </c>
      <c r="AB44">
        <v>2</v>
      </c>
      <c r="AC44">
        <v>1</v>
      </c>
      <c r="AD44" s="4">
        <v>0.5</v>
      </c>
      <c r="AE44">
        <v>12</v>
      </c>
      <c r="AF44">
        <v>12</v>
      </c>
      <c r="AG44">
        <v>8</v>
      </c>
      <c r="AH44" s="4">
        <v>0.66666669999999995</v>
      </c>
      <c r="AI44">
        <v>13</v>
      </c>
      <c r="AJ44">
        <v>13</v>
      </c>
      <c r="AK44">
        <v>8</v>
      </c>
      <c r="AL44" s="4">
        <v>0.61538459999999995</v>
      </c>
      <c r="AM44">
        <v>7</v>
      </c>
      <c r="AN44">
        <v>7</v>
      </c>
      <c r="AO44">
        <v>3</v>
      </c>
      <c r="AP44" s="4">
        <v>0.42857139999999999</v>
      </c>
      <c r="AQ44">
        <v>11</v>
      </c>
      <c r="AR44">
        <v>11</v>
      </c>
      <c r="AS44">
        <v>2</v>
      </c>
      <c r="AT44" s="4">
        <v>0.18181820000000001</v>
      </c>
      <c r="AU44">
        <v>10</v>
      </c>
      <c r="AV44">
        <v>10</v>
      </c>
      <c r="AW44">
        <v>7</v>
      </c>
      <c r="AX44" s="4">
        <v>0.7</v>
      </c>
      <c r="AY44" t="s">
        <v>526</v>
      </c>
      <c r="AZ44" t="s">
        <v>540</v>
      </c>
      <c r="BA44" t="str">
        <f t="shared" si="0"/>
        <v>Proportion of patients treated within 14 days of symptoms within England</v>
      </c>
      <c r="BB44" s="4">
        <v>0.59712746858168764</v>
      </c>
      <c r="BC44" s="4">
        <v>0.5577350111028867</v>
      </c>
      <c r="BD44" s="4">
        <v>0.49857346647646222</v>
      </c>
    </row>
    <row r="45" spans="1:56" x14ac:dyDescent="0.25">
      <c r="A45" t="s">
        <v>16</v>
      </c>
      <c r="B45" t="s">
        <v>15</v>
      </c>
      <c r="C45">
        <v>3</v>
      </c>
      <c r="D45">
        <v>3</v>
      </c>
      <c r="E45">
        <v>1</v>
      </c>
      <c r="F45" s="4">
        <v>0.3333333</v>
      </c>
      <c r="G45">
        <v>7</v>
      </c>
      <c r="H45">
        <v>7</v>
      </c>
      <c r="I45">
        <v>3</v>
      </c>
      <c r="J45" s="4">
        <v>0.42857139999999999</v>
      </c>
      <c r="K45">
        <v>6</v>
      </c>
      <c r="L45">
        <v>5</v>
      </c>
      <c r="M45">
        <v>3</v>
      </c>
      <c r="N45" s="4">
        <v>0.6</v>
      </c>
      <c r="O45">
        <v>3</v>
      </c>
      <c r="P45">
        <v>1</v>
      </c>
      <c r="Q45">
        <v>0</v>
      </c>
      <c r="R45" s="4">
        <v>0</v>
      </c>
      <c r="S45">
        <v>8</v>
      </c>
      <c r="T45">
        <v>7</v>
      </c>
      <c r="U45">
        <v>3</v>
      </c>
      <c r="V45" s="4">
        <v>0.42857139999999999</v>
      </c>
      <c r="W45">
        <v>6</v>
      </c>
      <c r="X45">
        <v>6</v>
      </c>
      <c r="Y45">
        <v>2</v>
      </c>
      <c r="Z45" s="4">
        <v>0.3333333</v>
      </c>
      <c r="AA45">
        <v>4</v>
      </c>
      <c r="AB45">
        <v>3</v>
      </c>
      <c r="AC45">
        <v>0</v>
      </c>
      <c r="AD45" s="4">
        <v>0</v>
      </c>
      <c r="AE45">
        <v>9</v>
      </c>
      <c r="AF45">
        <v>8</v>
      </c>
      <c r="AG45">
        <v>1</v>
      </c>
      <c r="AH45" s="4">
        <v>0.125</v>
      </c>
      <c r="AI45">
        <v>8</v>
      </c>
      <c r="AJ45">
        <v>8</v>
      </c>
      <c r="AK45">
        <v>4</v>
      </c>
      <c r="AL45" s="4">
        <v>0.5</v>
      </c>
      <c r="AM45">
        <v>2</v>
      </c>
      <c r="AN45">
        <v>2</v>
      </c>
      <c r="AO45">
        <v>1</v>
      </c>
      <c r="AP45" s="4">
        <v>0.5</v>
      </c>
      <c r="AQ45">
        <v>7</v>
      </c>
      <c r="AR45">
        <v>7</v>
      </c>
      <c r="AS45">
        <v>2</v>
      </c>
      <c r="AT45" s="4">
        <v>0.28571429999999998</v>
      </c>
      <c r="AU45">
        <v>6</v>
      </c>
      <c r="AV45">
        <v>6</v>
      </c>
      <c r="AW45">
        <v>2</v>
      </c>
      <c r="AX45" s="4">
        <v>0.3333333</v>
      </c>
      <c r="AY45" t="s">
        <v>526</v>
      </c>
      <c r="AZ45" t="s">
        <v>540</v>
      </c>
      <c r="BA45" t="str">
        <f t="shared" si="0"/>
        <v>Proportion of patients treated within 14 days of symptoms within England</v>
      </c>
      <c r="BB45" s="4">
        <v>0.59712746858168764</v>
      </c>
      <c r="BC45" s="4">
        <v>0.5577350111028867</v>
      </c>
      <c r="BD45" s="4">
        <v>0.49857346647646222</v>
      </c>
    </row>
    <row r="46" spans="1:56" x14ac:dyDescent="0.25">
      <c r="A46" t="s">
        <v>35</v>
      </c>
      <c r="B46" t="s">
        <v>34</v>
      </c>
      <c r="C46">
        <v>11</v>
      </c>
      <c r="D46">
        <v>11</v>
      </c>
      <c r="E46">
        <v>1</v>
      </c>
      <c r="F46" s="4">
        <v>9.0909100000000007E-2</v>
      </c>
      <c r="G46">
        <v>11</v>
      </c>
      <c r="H46">
        <v>11</v>
      </c>
      <c r="I46">
        <v>1</v>
      </c>
      <c r="J46" s="4">
        <v>9.0909100000000007E-2</v>
      </c>
      <c r="K46">
        <v>7</v>
      </c>
      <c r="L46">
        <v>7</v>
      </c>
      <c r="M46">
        <v>3</v>
      </c>
      <c r="N46" s="4">
        <v>0.42857139999999999</v>
      </c>
      <c r="O46">
        <v>15</v>
      </c>
      <c r="P46">
        <v>15</v>
      </c>
      <c r="Q46">
        <v>1</v>
      </c>
      <c r="R46" s="4">
        <v>6.6666699999999995E-2</v>
      </c>
      <c r="S46">
        <v>10</v>
      </c>
      <c r="T46">
        <v>10</v>
      </c>
      <c r="U46">
        <v>2</v>
      </c>
      <c r="V46" s="4">
        <v>0.2</v>
      </c>
      <c r="W46">
        <v>20</v>
      </c>
      <c r="X46">
        <v>19</v>
      </c>
      <c r="Y46">
        <v>7</v>
      </c>
      <c r="Z46" s="4">
        <v>0.368421</v>
      </c>
      <c r="AA46">
        <v>13</v>
      </c>
      <c r="AB46">
        <v>13</v>
      </c>
      <c r="AC46">
        <v>2</v>
      </c>
      <c r="AD46" s="4">
        <v>0.15384619999999999</v>
      </c>
      <c r="AE46">
        <v>12</v>
      </c>
      <c r="AF46">
        <v>12</v>
      </c>
      <c r="AG46">
        <v>5</v>
      </c>
      <c r="AH46" s="4">
        <v>0.4166667</v>
      </c>
      <c r="AI46">
        <v>11</v>
      </c>
      <c r="AJ46">
        <v>11</v>
      </c>
      <c r="AK46">
        <v>3</v>
      </c>
      <c r="AL46" s="4">
        <v>0.27272730000000001</v>
      </c>
      <c r="AM46">
        <v>16</v>
      </c>
      <c r="AN46">
        <v>16</v>
      </c>
      <c r="AO46">
        <v>8</v>
      </c>
      <c r="AP46" s="4">
        <v>0.5</v>
      </c>
      <c r="AQ46">
        <v>22</v>
      </c>
      <c r="AR46">
        <v>22</v>
      </c>
      <c r="AS46">
        <v>4</v>
      </c>
      <c r="AT46" s="4">
        <v>0.18181820000000001</v>
      </c>
      <c r="AU46">
        <v>17</v>
      </c>
      <c r="AV46">
        <v>17</v>
      </c>
      <c r="AW46">
        <v>7</v>
      </c>
      <c r="AX46" s="4">
        <v>0.41176469999999998</v>
      </c>
      <c r="AY46" t="s">
        <v>526</v>
      </c>
      <c r="AZ46" t="s">
        <v>540</v>
      </c>
      <c r="BA46" t="str">
        <f t="shared" si="0"/>
        <v>Proportion of patients treated within 14 days of symptoms within England</v>
      </c>
      <c r="BB46" s="4">
        <v>0.59712746858168764</v>
      </c>
      <c r="BC46" s="4">
        <v>0.5577350111028867</v>
      </c>
      <c r="BD46" s="4">
        <v>0.49857346647646222</v>
      </c>
    </row>
    <row r="47" spans="1:56" x14ac:dyDescent="0.25">
      <c r="A47" t="s">
        <v>99</v>
      </c>
      <c r="B47" t="s">
        <v>98</v>
      </c>
      <c r="C47">
        <v>10</v>
      </c>
      <c r="D47">
        <v>10</v>
      </c>
      <c r="E47">
        <v>7</v>
      </c>
      <c r="F47" s="4">
        <v>0.7</v>
      </c>
      <c r="G47">
        <v>7</v>
      </c>
      <c r="H47">
        <v>7</v>
      </c>
      <c r="I47">
        <v>4</v>
      </c>
      <c r="J47" s="4">
        <v>0.57142859999999995</v>
      </c>
      <c r="K47">
        <v>5</v>
      </c>
      <c r="L47">
        <v>5</v>
      </c>
      <c r="M47">
        <v>3</v>
      </c>
      <c r="N47" s="4">
        <v>0.6</v>
      </c>
      <c r="O47">
        <v>10</v>
      </c>
      <c r="P47">
        <v>10</v>
      </c>
      <c r="Q47">
        <v>5</v>
      </c>
      <c r="R47" s="4">
        <v>0.5</v>
      </c>
      <c r="S47">
        <v>10</v>
      </c>
      <c r="T47">
        <v>10</v>
      </c>
      <c r="U47">
        <v>6</v>
      </c>
      <c r="V47" s="4">
        <v>0.6</v>
      </c>
      <c r="W47">
        <v>9</v>
      </c>
      <c r="X47">
        <v>8</v>
      </c>
      <c r="Y47">
        <v>6</v>
      </c>
      <c r="Z47" s="4">
        <v>0.75</v>
      </c>
      <c r="AA47">
        <v>5</v>
      </c>
      <c r="AB47">
        <v>5</v>
      </c>
      <c r="AC47">
        <v>4</v>
      </c>
      <c r="AD47" s="4">
        <v>0.8</v>
      </c>
      <c r="AE47">
        <v>7</v>
      </c>
      <c r="AF47">
        <v>7</v>
      </c>
      <c r="AG47">
        <v>3</v>
      </c>
      <c r="AH47" s="4">
        <v>0.42857139999999999</v>
      </c>
      <c r="AI47">
        <v>7</v>
      </c>
      <c r="AJ47">
        <v>7</v>
      </c>
      <c r="AK47">
        <v>5</v>
      </c>
      <c r="AL47" s="4">
        <v>0.71428570000000002</v>
      </c>
      <c r="AM47">
        <v>6</v>
      </c>
      <c r="AN47">
        <v>6</v>
      </c>
      <c r="AO47">
        <v>4</v>
      </c>
      <c r="AP47" s="4">
        <v>0.66666669999999995</v>
      </c>
      <c r="AQ47">
        <v>9</v>
      </c>
      <c r="AR47">
        <v>9</v>
      </c>
      <c r="AS47">
        <v>7</v>
      </c>
      <c r="AT47" s="4">
        <v>0.77777779999999996</v>
      </c>
      <c r="AU47">
        <v>9</v>
      </c>
      <c r="AV47">
        <v>9</v>
      </c>
      <c r="AW47">
        <v>4</v>
      </c>
      <c r="AX47" s="4">
        <v>0.44444440000000002</v>
      </c>
      <c r="AY47" t="s">
        <v>526</v>
      </c>
      <c r="AZ47" t="s">
        <v>540</v>
      </c>
      <c r="BA47" t="str">
        <f t="shared" si="0"/>
        <v>Proportion of patients treated within 14 days of symptoms within England</v>
      </c>
      <c r="BB47" s="4">
        <v>0.59712746858168764</v>
      </c>
      <c r="BC47" s="4">
        <v>0.5577350111028867</v>
      </c>
      <c r="BD47" s="4">
        <v>0.49857346647646222</v>
      </c>
    </row>
    <row r="48" spans="1:56" x14ac:dyDescent="0.25">
      <c r="A48" t="s">
        <v>145</v>
      </c>
      <c r="B48" t="s">
        <v>144</v>
      </c>
      <c r="C48">
        <v>8</v>
      </c>
      <c r="D48">
        <v>8</v>
      </c>
      <c r="E48">
        <v>3</v>
      </c>
      <c r="F48" s="4">
        <v>0.375</v>
      </c>
      <c r="G48">
        <v>21</v>
      </c>
      <c r="H48">
        <v>18</v>
      </c>
      <c r="I48">
        <v>13</v>
      </c>
      <c r="J48" s="4">
        <v>0.72222220000000004</v>
      </c>
      <c r="K48">
        <v>12</v>
      </c>
      <c r="L48">
        <v>12</v>
      </c>
      <c r="M48">
        <v>5</v>
      </c>
      <c r="N48" s="4">
        <v>0.4166667</v>
      </c>
      <c r="O48">
        <v>7</v>
      </c>
      <c r="P48">
        <v>6</v>
      </c>
      <c r="Q48">
        <v>4</v>
      </c>
      <c r="R48" s="4">
        <v>0.66666669999999995</v>
      </c>
      <c r="S48">
        <v>15</v>
      </c>
      <c r="T48">
        <v>15</v>
      </c>
      <c r="U48">
        <v>4</v>
      </c>
      <c r="V48" s="4">
        <v>0.26666669999999998</v>
      </c>
      <c r="W48">
        <v>13</v>
      </c>
      <c r="X48">
        <v>11</v>
      </c>
      <c r="Y48">
        <v>3</v>
      </c>
      <c r="Z48" s="4">
        <v>0.27272730000000001</v>
      </c>
      <c r="AA48">
        <v>15</v>
      </c>
      <c r="AB48">
        <v>14</v>
      </c>
      <c r="AC48">
        <v>8</v>
      </c>
      <c r="AD48" s="4">
        <v>0.57142859999999995</v>
      </c>
      <c r="AE48">
        <v>16</v>
      </c>
      <c r="AF48">
        <v>15</v>
      </c>
      <c r="AG48">
        <v>9</v>
      </c>
      <c r="AH48" s="4">
        <v>0.6</v>
      </c>
      <c r="AI48">
        <v>14</v>
      </c>
      <c r="AJ48">
        <v>13</v>
      </c>
      <c r="AK48">
        <v>5</v>
      </c>
      <c r="AL48" s="4">
        <v>0.3846154</v>
      </c>
      <c r="AM48">
        <v>17</v>
      </c>
      <c r="AN48">
        <v>15</v>
      </c>
      <c r="AO48">
        <v>8</v>
      </c>
      <c r="AP48" s="4">
        <v>0.53333339999999996</v>
      </c>
      <c r="AQ48">
        <v>11</v>
      </c>
      <c r="AR48">
        <v>10</v>
      </c>
      <c r="AS48">
        <v>3</v>
      </c>
      <c r="AT48" s="4">
        <v>0.3</v>
      </c>
      <c r="AU48">
        <v>17</v>
      </c>
      <c r="AV48">
        <v>16</v>
      </c>
      <c r="AW48">
        <v>9</v>
      </c>
      <c r="AX48" s="4">
        <v>0.5625</v>
      </c>
      <c r="AY48" t="s">
        <v>526</v>
      </c>
      <c r="AZ48" t="s">
        <v>540</v>
      </c>
      <c r="BA48" t="str">
        <f t="shared" si="0"/>
        <v>Proportion of patients treated within 14 days of symptoms within England</v>
      </c>
      <c r="BB48" s="4">
        <v>0.59712746858168764</v>
      </c>
      <c r="BC48" s="4">
        <v>0.5577350111028867</v>
      </c>
      <c r="BD48" s="4">
        <v>0.49857346647646222</v>
      </c>
    </row>
    <row r="49" spans="1:56" x14ac:dyDescent="0.25">
      <c r="A49" t="s">
        <v>77</v>
      </c>
      <c r="B49" t="s">
        <v>76</v>
      </c>
      <c r="C49">
        <v>14</v>
      </c>
      <c r="D49">
        <v>14</v>
      </c>
      <c r="E49">
        <v>6</v>
      </c>
      <c r="F49" s="4">
        <v>0.42857139999999999</v>
      </c>
      <c r="G49">
        <v>10</v>
      </c>
      <c r="H49">
        <v>10</v>
      </c>
      <c r="I49">
        <v>1</v>
      </c>
      <c r="J49" s="4">
        <v>0.1</v>
      </c>
      <c r="K49">
        <v>9</v>
      </c>
      <c r="L49">
        <v>9</v>
      </c>
      <c r="M49">
        <v>4</v>
      </c>
      <c r="N49" s="4">
        <v>0.44444440000000002</v>
      </c>
      <c r="O49">
        <v>12</v>
      </c>
      <c r="P49">
        <v>12</v>
      </c>
      <c r="Q49">
        <v>7</v>
      </c>
      <c r="R49" s="4">
        <v>0.58333330000000005</v>
      </c>
      <c r="S49">
        <v>6</v>
      </c>
      <c r="T49">
        <v>6</v>
      </c>
      <c r="U49">
        <v>6</v>
      </c>
      <c r="V49" s="4">
        <v>1</v>
      </c>
      <c r="W49">
        <v>8</v>
      </c>
      <c r="X49">
        <v>8</v>
      </c>
      <c r="Y49">
        <v>5</v>
      </c>
      <c r="Z49" s="4">
        <v>0.625</v>
      </c>
      <c r="AA49">
        <v>14</v>
      </c>
      <c r="AB49">
        <v>14</v>
      </c>
      <c r="AC49">
        <v>8</v>
      </c>
      <c r="AD49" s="4">
        <v>0.57142859999999995</v>
      </c>
      <c r="AE49">
        <v>7</v>
      </c>
      <c r="AF49">
        <v>7</v>
      </c>
      <c r="AG49">
        <v>5</v>
      </c>
      <c r="AH49" s="4">
        <v>0.71428570000000002</v>
      </c>
      <c r="AI49">
        <v>12</v>
      </c>
      <c r="AJ49">
        <v>12</v>
      </c>
      <c r="AK49">
        <v>6</v>
      </c>
      <c r="AL49" s="4">
        <v>0.5</v>
      </c>
      <c r="AM49">
        <v>12</v>
      </c>
      <c r="AN49">
        <v>12</v>
      </c>
      <c r="AO49">
        <v>5</v>
      </c>
      <c r="AP49" s="4">
        <v>0.4166667</v>
      </c>
      <c r="AQ49">
        <v>13</v>
      </c>
      <c r="AR49">
        <v>13</v>
      </c>
      <c r="AS49">
        <v>11</v>
      </c>
      <c r="AT49" s="4">
        <v>0.84615390000000001</v>
      </c>
      <c r="AU49">
        <v>11</v>
      </c>
      <c r="AV49">
        <v>11</v>
      </c>
      <c r="AW49">
        <v>9</v>
      </c>
      <c r="AX49" s="4">
        <v>0.81818179999999996</v>
      </c>
      <c r="AY49" t="s">
        <v>526</v>
      </c>
      <c r="AZ49" t="s">
        <v>540</v>
      </c>
      <c r="BA49" t="str">
        <f t="shared" si="0"/>
        <v>Proportion of patients treated within 14 days of symptoms within England</v>
      </c>
      <c r="BB49" s="4">
        <v>0.59712746858168764</v>
      </c>
      <c r="BC49" s="4">
        <v>0.5577350111028867</v>
      </c>
      <c r="BD49" s="4">
        <v>0.49857346647646222</v>
      </c>
    </row>
    <row r="50" spans="1:56" x14ac:dyDescent="0.25">
      <c r="A50" t="s">
        <v>138</v>
      </c>
      <c r="B50" t="s">
        <v>137</v>
      </c>
      <c r="C50">
        <v>15</v>
      </c>
      <c r="D50">
        <v>15</v>
      </c>
      <c r="E50">
        <v>8</v>
      </c>
      <c r="F50" s="4">
        <v>0.53333339999999996</v>
      </c>
      <c r="G50">
        <v>10</v>
      </c>
      <c r="H50">
        <v>10</v>
      </c>
      <c r="I50">
        <v>6</v>
      </c>
      <c r="J50" s="4">
        <v>0.6</v>
      </c>
      <c r="K50">
        <v>8</v>
      </c>
      <c r="L50">
        <v>8</v>
      </c>
      <c r="M50">
        <v>5</v>
      </c>
      <c r="N50" s="4">
        <v>0.625</v>
      </c>
      <c r="O50">
        <v>14</v>
      </c>
      <c r="P50">
        <v>14</v>
      </c>
      <c r="Q50">
        <v>7</v>
      </c>
      <c r="R50" s="4">
        <v>0.5</v>
      </c>
      <c r="S50">
        <v>15</v>
      </c>
      <c r="T50">
        <v>15</v>
      </c>
      <c r="U50">
        <v>6</v>
      </c>
      <c r="V50" s="4">
        <v>0.4</v>
      </c>
      <c r="W50">
        <v>14</v>
      </c>
      <c r="X50">
        <v>13</v>
      </c>
      <c r="Y50">
        <v>7</v>
      </c>
      <c r="Z50" s="4">
        <v>0.53846159999999998</v>
      </c>
      <c r="AA50">
        <v>18</v>
      </c>
      <c r="AB50">
        <v>18</v>
      </c>
      <c r="AC50">
        <v>4</v>
      </c>
      <c r="AD50" s="4">
        <v>0.22222220000000001</v>
      </c>
      <c r="AE50">
        <v>19</v>
      </c>
      <c r="AF50">
        <v>18</v>
      </c>
      <c r="AG50">
        <v>5</v>
      </c>
      <c r="AH50" s="4">
        <v>0.27777780000000002</v>
      </c>
      <c r="AI50">
        <v>7</v>
      </c>
      <c r="AJ50">
        <v>7</v>
      </c>
      <c r="AK50">
        <v>0</v>
      </c>
      <c r="AL50" s="4">
        <v>0</v>
      </c>
      <c r="AM50">
        <v>13</v>
      </c>
      <c r="AN50">
        <v>13</v>
      </c>
      <c r="AO50">
        <v>7</v>
      </c>
      <c r="AP50" s="4">
        <v>0.53846159999999998</v>
      </c>
      <c r="AQ50">
        <v>23</v>
      </c>
      <c r="AR50">
        <v>23</v>
      </c>
      <c r="AS50">
        <v>7</v>
      </c>
      <c r="AT50" s="4">
        <v>0.3043478</v>
      </c>
      <c r="AU50">
        <v>16</v>
      </c>
      <c r="AV50">
        <v>16</v>
      </c>
      <c r="AW50">
        <v>6</v>
      </c>
      <c r="AX50" s="4">
        <v>0.375</v>
      </c>
      <c r="AY50" t="s">
        <v>526</v>
      </c>
      <c r="AZ50" t="s">
        <v>540</v>
      </c>
      <c r="BA50" t="str">
        <f t="shared" si="0"/>
        <v>Proportion of patients treated within 14 days of symptoms within England</v>
      </c>
      <c r="BB50" s="4">
        <v>0.59712746858168764</v>
      </c>
      <c r="BC50" s="4">
        <v>0.5577350111028867</v>
      </c>
      <c r="BD50" s="4">
        <v>0.49857346647646222</v>
      </c>
    </row>
    <row r="51" spans="1:56" x14ac:dyDescent="0.25">
      <c r="A51" t="s">
        <v>41</v>
      </c>
      <c r="B51" t="s">
        <v>40</v>
      </c>
      <c r="C51">
        <v>11</v>
      </c>
      <c r="D51">
        <v>11</v>
      </c>
      <c r="E51">
        <v>11</v>
      </c>
      <c r="F51" s="4">
        <v>1</v>
      </c>
      <c r="G51">
        <v>12</v>
      </c>
      <c r="H51">
        <v>12</v>
      </c>
      <c r="I51">
        <v>10</v>
      </c>
      <c r="J51" s="4">
        <v>0.83333330000000005</v>
      </c>
      <c r="K51">
        <v>9</v>
      </c>
      <c r="L51">
        <v>9</v>
      </c>
      <c r="M51">
        <v>7</v>
      </c>
      <c r="N51" s="4">
        <v>0.77777779999999996</v>
      </c>
      <c r="O51">
        <v>15</v>
      </c>
      <c r="P51">
        <v>15</v>
      </c>
      <c r="Q51">
        <v>13</v>
      </c>
      <c r="R51" s="4">
        <v>0.86666670000000001</v>
      </c>
      <c r="S51">
        <v>5</v>
      </c>
      <c r="T51">
        <v>5</v>
      </c>
      <c r="U51">
        <v>4</v>
      </c>
      <c r="V51" s="4">
        <v>0.8</v>
      </c>
      <c r="W51">
        <v>8</v>
      </c>
      <c r="X51">
        <v>8</v>
      </c>
      <c r="Y51">
        <v>7</v>
      </c>
      <c r="Z51" s="4">
        <v>0.875</v>
      </c>
      <c r="AA51">
        <v>8</v>
      </c>
      <c r="AB51">
        <v>8</v>
      </c>
      <c r="AC51">
        <v>8</v>
      </c>
      <c r="AD51" s="4">
        <v>1</v>
      </c>
      <c r="AE51">
        <v>10</v>
      </c>
      <c r="AF51">
        <v>10</v>
      </c>
      <c r="AG51">
        <v>8</v>
      </c>
      <c r="AH51" s="4">
        <v>0.8</v>
      </c>
      <c r="AI51">
        <v>15</v>
      </c>
      <c r="AJ51">
        <v>14</v>
      </c>
      <c r="AK51">
        <v>9</v>
      </c>
      <c r="AL51" s="4">
        <v>0.64285709999999996</v>
      </c>
      <c r="AM51">
        <v>14</v>
      </c>
      <c r="AN51">
        <v>13</v>
      </c>
      <c r="AO51">
        <v>8</v>
      </c>
      <c r="AP51" s="4">
        <v>0.61538459999999995</v>
      </c>
      <c r="AQ51">
        <v>10</v>
      </c>
      <c r="AR51">
        <v>10</v>
      </c>
      <c r="AS51">
        <v>5</v>
      </c>
      <c r="AT51" s="4">
        <v>0.5</v>
      </c>
      <c r="AU51">
        <v>5</v>
      </c>
      <c r="AV51">
        <v>5</v>
      </c>
      <c r="AW51">
        <v>3</v>
      </c>
      <c r="AX51" s="4">
        <v>0.6</v>
      </c>
      <c r="AY51" t="s">
        <v>526</v>
      </c>
      <c r="AZ51" t="s">
        <v>540</v>
      </c>
      <c r="BA51" t="str">
        <f t="shared" si="0"/>
        <v>Proportion of patients treated within 14 days of symptoms within England</v>
      </c>
      <c r="BB51" s="4">
        <v>0.59712746858168764</v>
      </c>
      <c r="BC51" s="4">
        <v>0.5577350111028867</v>
      </c>
      <c r="BD51" s="4">
        <v>0.49857346647646222</v>
      </c>
    </row>
    <row r="52" spans="1:56" x14ac:dyDescent="0.25">
      <c r="A52" t="s">
        <v>119</v>
      </c>
      <c r="B52" t="s">
        <v>2</v>
      </c>
      <c r="C52">
        <v>11</v>
      </c>
      <c r="D52">
        <v>11</v>
      </c>
      <c r="E52">
        <v>6</v>
      </c>
      <c r="F52" s="4">
        <v>0.54545460000000001</v>
      </c>
      <c r="G52">
        <v>13</v>
      </c>
      <c r="H52">
        <v>13</v>
      </c>
      <c r="I52">
        <v>6</v>
      </c>
      <c r="J52" s="4">
        <v>0.46153850000000002</v>
      </c>
      <c r="K52">
        <v>12</v>
      </c>
      <c r="L52">
        <v>12</v>
      </c>
      <c r="M52">
        <v>8</v>
      </c>
      <c r="N52" s="4">
        <v>0.66666669999999995</v>
      </c>
      <c r="O52">
        <v>16</v>
      </c>
      <c r="P52">
        <v>16</v>
      </c>
      <c r="Q52">
        <v>13</v>
      </c>
      <c r="R52" s="4">
        <v>0.8125</v>
      </c>
      <c r="S52">
        <v>17</v>
      </c>
      <c r="T52">
        <v>17</v>
      </c>
      <c r="U52">
        <v>11</v>
      </c>
      <c r="V52" s="4">
        <v>0.64705880000000005</v>
      </c>
      <c r="W52">
        <v>9</v>
      </c>
      <c r="X52">
        <v>9</v>
      </c>
      <c r="Y52">
        <v>4</v>
      </c>
      <c r="Z52" s="4">
        <v>0.44444440000000002</v>
      </c>
      <c r="AA52">
        <v>13</v>
      </c>
      <c r="AB52">
        <v>13</v>
      </c>
      <c r="AC52">
        <v>8</v>
      </c>
      <c r="AD52" s="4">
        <v>0.61538459999999995</v>
      </c>
      <c r="AE52">
        <v>19</v>
      </c>
      <c r="AF52">
        <v>19</v>
      </c>
      <c r="AG52">
        <v>7</v>
      </c>
      <c r="AH52" s="4">
        <v>0.368421</v>
      </c>
      <c r="AI52">
        <v>21</v>
      </c>
      <c r="AJ52">
        <v>20</v>
      </c>
      <c r="AK52">
        <v>7</v>
      </c>
      <c r="AL52" s="4">
        <v>0.35</v>
      </c>
      <c r="AM52">
        <v>19</v>
      </c>
      <c r="AN52">
        <v>18</v>
      </c>
      <c r="AO52">
        <v>12</v>
      </c>
      <c r="AP52" s="4">
        <v>0.66666669999999995</v>
      </c>
      <c r="AQ52">
        <v>13</v>
      </c>
      <c r="AR52">
        <v>11</v>
      </c>
      <c r="AS52">
        <v>6</v>
      </c>
      <c r="AT52" s="4">
        <v>0.54545460000000001</v>
      </c>
      <c r="AU52">
        <v>15</v>
      </c>
      <c r="AV52">
        <v>15</v>
      </c>
      <c r="AW52">
        <v>4</v>
      </c>
      <c r="AX52" s="4">
        <v>0.26666669999999998</v>
      </c>
      <c r="AY52" t="s">
        <v>527</v>
      </c>
      <c r="AZ52" t="s">
        <v>540</v>
      </c>
      <c r="BA52" t="str">
        <f t="shared" si="0"/>
        <v>Proportion of patients treated within 14 days of symptoms within Wales</v>
      </c>
      <c r="BB52" s="4">
        <v>0.61157024793388426</v>
      </c>
      <c r="BC52" s="4">
        <v>0.58914728682170547</v>
      </c>
      <c r="BD52" s="4">
        <v>0.55633802816901412</v>
      </c>
    </row>
    <row r="53" spans="1:56" x14ac:dyDescent="0.25">
      <c r="A53" t="s">
        <v>54</v>
      </c>
      <c r="B53" t="s">
        <v>53</v>
      </c>
      <c r="C53">
        <v>11</v>
      </c>
      <c r="D53">
        <v>10</v>
      </c>
      <c r="E53">
        <v>8</v>
      </c>
      <c r="F53" s="4">
        <v>0.8</v>
      </c>
      <c r="G53">
        <v>12</v>
      </c>
      <c r="H53">
        <v>10</v>
      </c>
      <c r="I53">
        <v>8</v>
      </c>
      <c r="J53" s="4">
        <v>0.8</v>
      </c>
      <c r="K53">
        <v>13</v>
      </c>
      <c r="L53">
        <v>13</v>
      </c>
      <c r="M53">
        <v>9</v>
      </c>
      <c r="N53" s="4">
        <v>0.69230769999999997</v>
      </c>
      <c r="O53">
        <v>7</v>
      </c>
      <c r="P53">
        <v>7</v>
      </c>
      <c r="Q53">
        <v>5</v>
      </c>
      <c r="R53" s="4">
        <v>0.71428570000000002</v>
      </c>
      <c r="S53">
        <v>11</v>
      </c>
      <c r="T53">
        <v>11</v>
      </c>
      <c r="U53">
        <v>9</v>
      </c>
      <c r="V53" s="4">
        <v>0.81818179999999996</v>
      </c>
      <c r="W53">
        <v>19</v>
      </c>
      <c r="X53">
        <v>18</v>
      </c>
      <c r="Y53">
        <v>13</v>
      </c>
      <c r="Z53" s="4">
        <v>0.72222220000000004</v>
      </c>
      <c r="AA53">
        <v>9</v>
      </c>
      <c r="AB53">
        <v>8</v>
      </c>
      <c r="AC53">
        <v>4</v>
      </c>
      <c r="AD53" s="4">
        <v>0.5</v>
      </c>
      <c r="AE53">
        <v>11</v>
      </c>
      <c r="AF53">
        <v>10</v>
      </c>
      <c r="AG53">
        <v>3</v>
      </c>
      <c r="AH53" s="4">
        <v>0.3</v>
      </c>
      <c r="AI53">
        <v>6</v>
      </c>
      <c r="AJ53">
        <v>6</v>
      </c>
      <c r="AK53">
        <v>5</v>
      </c>
      <c r="AL53" s="4">
        <v>0.83333330000000005</v>
      </c>
      <c r="AM53">
        <v>15</v>
      </c>
      <c r="AN53">
        <v>15</v>
      </c>
      <c r="AO53">
        <v>6</v>
      </c>
      <c r="AP53" s="4">
        <v>0.4</v>
      </c>
      <c r="AQ53">
        <v>11</v>
      </c>
      <c r="AR53">
        <v>9</v>
      </c>
      <c r="AS53">
        <v>3</v>
      </c>
      <c r="AT53" s="4">
        <v>0.3333333</v>
      </c>
      <c r="AU53">
        <v>11</v>
      </c>
      <c r="AV53">
        <v>11</v>
      </c>
      <c r="AW53">
        <v>4</v>
      </c>
      <c r="AX53" s="4">
        <v>0.36363640000000003</v>
      </c>
      <c r="AY53" t="s">
        <v>526</v>
      </c>
      <c r="AZ53" t="s">
        <v>540</v>
      </c>
      <c r="BA53" t="str">
        <f t="shared" si="0"/>
        <v>Proportion of patients treated within 14 days of symptoms within England</v>
      </c>
      <c r="BB53" s="4">
        <v>0.59712746858168764</v>
      </c>
      <c r="BC53" s="4">
        <v>0.5577350111028867</v>
      </c>
      <c r="BD53" s="4">
        <v>0.49857346647646222</v>
      </c>
    </row>
    <row r="54" spans="1:56" x14ac:dyDescent="0.25">
      <c r="A54" t="s">
        <v>84</v>
      </c>
      <c r="B54" t="s">
        <v>83</v>
      </c>
      <c r="C54">
        <v>12</v>
      </c>
      <c r="D54">
        <v>12</v>
      </c>
      <c r="E54">
        <v>8</v>
      </c>
      <c r="F54" s="4">
        <v>0.66666669999999995</v>
      </c>
      <c r="G54">
        <v>10</v>
      </c>
      <c r="H54">
        <v>10</v>
      </c>
      <c r="I54">
        <v>4</v>
      </c>
      <c r="J54" s="4">
        <v>0.4</v>
      </c>
      <c r="K54">
        <v>14</v>
      </c>
      <c r="L54">
        <v>14</v>
      </c>
      <c r="M54">
        <v>1</v>
      </c>
      <c r="N54" s="4">
        <v>7.1428599999999995E-2</v>
      </c>
      <c r="O54">
        <v>6</v>
      </c>
      <c r="P54">
        <v>6</v>
      </c>
      <c r="Q54">
        <v>3</v>
      </c>
      <c r="R54" s="4">
        <v>0.5</v>
      </c>
      <c r="S54">
        <v>11</v>
      </c>
      <c r="T54">
        <v>11</v>
      </c>
      <c r="U54">
        <v>8</v>
      </c>
      <c r="V54" s="4">
        <v>0.72727269999999999</v>
      </c>
      <c r="W54">
        <v>20</v>
      </c>
      <c r="X54">
        <v>20</v>
      </c>
      <c r="Y54">
        <v>7</v>
      </c>
      <c r="Z54" s="4">
        <v>0.35</v>
      </c>
      <c r="AA54">
        <v>8</v>
      </c>
      <c r="AB54">
        <v>8</v>
      </c>
      <c r="AC54">
        <v>5</v>
      </c>
      <c r="AD54" s="4">
        <v>0.625</v>
      </c>
      <c r="AE54">
        <v>16</v>
      </c>
      <c r="AF54">
        <v>16</v>
      </c>
      <c r="AG54">
        <v>4</v>
      </c>
      <c r="AH54" s="4">
        <v>0.25</v>
      </c>
      <c r="AI54">
        <v>14</v>
      </c>
      <c r="AJ54">
        <v>14</v>
      </c>
      <c r="AK54">
        <v>2</v>
      </c>
      <c r="AL54" s="4">
        <v>0.14285709999999999</v>
      </c>
      <c r="AM54">
        <v>14</v>
      </c>
      <c r="AN54">
        <v>14</v>
      </c>
      <c r="AO54">
        <v>1</v>
      </c>
      <c r="AP54" s="4">
        <v>7.1428599999999995E-2</v>
      </c>
      <c r="AQ54">
        <v>7</v>
      </c>
      <c r="AR54">
        <v>7</v>
      </c>
      <c r="AS54">
        <v>4</v>
      </c>
      <c r="AT54" s="4">
        <v>0.57142859999999995</v>
      </c>
      <c r="AU54">
        <v>14</v>
      </c>
      <c r="AV54">
        <v>12</v>
      </c>
      <c r="AW54">
        <v>8</v>
      </c>
      <c r="AX54" s="4">
        <v>0.66666669999999995</v>
      </c>
      <c r="AY54" t="s">
        <v>526</v>
      </c>
      <c r="AZ54" t="s">
        <v>540</v>
      </c>
      <c r="BA54" t="str">
        <f t="shared" si="0"/>
        <v>Proportion of patients treated within 14 days of symptoms within England</v>
      </c>
      <c r="BB54" s="4">
        <v>0.59712746858168764</v>
      </c>
      <c r="BC54" s="4">
        <v>0.5577350111028867</v>
      </c>
      <c r="BD54" s="4">
        <v>0.49857346647646222</v>
      </c>
    </row>
    <row r="55" spans="1:56" x14ac:dyDescent="0.25">
      <c r="A55" t="s">
        <v>67</v>
      </c>
      <c r="B55" t="s">
        <v>66</v>
      </c>
      <c r="C55">
        <v>13</v>
      </c>
      <c r="D55">
        <v>13</v>
      </c>
      <c r="E55">
        <v>12</v>
      </c>
      <c r="F55" s="4">
        <v>0.92307689999999998</v>
      </c>
      <c r="G55">
        <v>16</v>
      </c>
      <c r="H55">
        <v>15</v>
      </c>
      <c r="I55">
        <v>13</v>
      </c>
      <c r="J55" s="4">
        <v>0.86666670000000001</v>
      </c>
      <c r="K55">
        <v>14</v>
      </c>
      <c r="L55">
        <v>14</v>
      </c>
      <c r="M55">
        <v>14</v>
      </c>
      <c r="N55" s="4">
        <v>1</v>
      </c>
      <c r="O55">
        <v>11</v>
      </c>
      <c r="P55">
        <v>11</v>
      </c>
      <c r="Q55">
        <v>6</v>
      </c>
      <c r="R55" s="4">
        <v>0.54545460000000001</v>
      </c>
      <c r="S55">
        <v>16</v>
      </c>
      <c r="T55">
        <v>16</v>
      </c>
      <c r="U55">
        <v>12</v>
      </c>
      <c r="V55" s="4">
        <v>0.75</v>
      </c>
      <c r="W55">
        <v>7</v>
      </c>
      <c r="X55">
        <v>7</v>
      </c>
      <c r="Y55">
        <v>5</v>
      </c>
      <c r="Z55" s="4">
        <v>0.71428570000000002</v>
      </c>
      <c r="AA55">
        <v>8</v>
      </c>
      <c r="AB55">
        <v>6</v>
      </c>
      <c r="AC55">
        <v>5</v>
      </c>
      <c r="AD55" s="4">
        <v>0.83333330000000005</v>
      </c>
      <c r="AE55">
        <v>16</v>
      </c>
      <c r="AF55">
        <v>16</v>
      </c>
      <c r="AG55">
        <v>14</v>
      </c>
      <c r="AH55" s="4">
        <v>0.875</v>
      </c>
      <c r="AI55">
        <v>5</v>
      </c>
      <c r="AJ55">
        <v>5</v>
      </c>
      <c r="AK55">
        <v>3</v>
      </c>
      <c r="AL55" s="4">
        <v>0.6</v>
      </c>
      <c r="AM55">
        <v>14</v>
      </c>
      <c r="AN55">
        <v>14</v>
      </c>
      <c r="AO55">
        <v>13</v>
      </c>
      <c r="AP55" s="4">
        <v>0.92857140000000005</v>
      </c>
      <c r="AQ55">
        <v>9</v>
      </c>
      <c r="AR55">
        <v>9</v>
      </c>
      <c r="AS55">
        <v>8</v>
      </c>
      <c r="AT55" s="4">
        <v>0.88888889999999998</v>
      </c>
      <c r="AU55">
        <v>12</v>
      </c>
      <c r="AV55">
        <v>12</v>
      </c>
      <c r="AW55">
        <v>7</v>
      </c>
      <c r="AX55" s="4">
        <v>0.58333330000000005</v>
      </c>
      <c r="AY55" t="s">
        <v>526</v>
      </c>
      <c r="AZ55" t="s">
        <v>540</v>
      </c>
      <c r="BA55" t="str">
        <f t="shared" si="0"/>
        <v>Proportion of patients treated within 14 days of symptoms within England</v>
      </c>
      <c r="BB55" s="4">
        <v>0.59712746858168764</v>
      </c>
      <c r="BC55" s="4">
        <v>0.5577350111028867</v>
      </c>
      <c r="BD55" s="4">
        <v>0.49857346647646222</v>
      </c>
    </row>
    <row r="56" spans="1:56" x14ac:dyDescent="0.25">
      <c r="A56" t="s">
        <v>43</v>
      </c>
      <c r="B56" t="s">
        <v>42</v>
      </c>
      <c r="C56">
        <v>17</v>
      </c>
      <c r="D56">
        <v>17</v>
      </c>
      <c r="E56">
        <v>10</v>
      </c>
      <c r="F56" s="4">
        <v>0.58823530000000002</v>
      </c>
      <c r="G56">
        <v>13</v>
      </c>
      <c r="H56">
        <v>13</v>
      </c>
      <c r="I56">
        <v>9</v>
      </c>
      <c r="J56" s="4">
        <v>0.69230769999999997</v>
      </c>
      <c r="K56">
        <v>8</v>
      </c>
      <c r="L56">
        <v>8</v>
      </c>
      <c r="M56">
        <v>7</v>
      </c>
      <c r="N56" s="4">
        <v>0.875</v>
      </c>
      <c r="O56">
        <v>16</v>
      </c>
      <c r="P56">
        <v>16</v>
      </c>
      <c r="Q56">
        <v>7</v>
      </c>
      <c r="R56" s="4">
        <v>0.4375</v>
      </c>
      <c r="S56">
        <v>13</v>
      </c>
      <c r="T56">
        <v>12</v>
      </c>
      <c r="U56">
        <v>7</v>
      </c>
      <c r="V56" s="4">
        <v>0.58333330000000005</v>
      </c>
      <c r="W56">
        <v>6</v>
      </c>
      <c r="X56">
        <v>6</v>
      </c>
      <c r="Y56">
        <v>3</v>
      </c>
      <c r="Z56" s="4">
        <v>0.5</v>
      </c>
      <c r="AA56">
        <v>13</v>
      </c>
      <c r="AB56">
        <v>13</v>
      </c>
      <c r="AC56">
        <v>8</v>
      </c>
      <c r="AD56" s="4">
        <v>0.61538459999999995</v>
      </c>
      <c r="AE56">
        <v>18</v>
      </c>
      <c r="AF56">
        <v>18</v>
      </c>
      <c r="AG56">
        <v>14</v>
      </c>
      <c r="AH56" s="4">
        <v>0.77777779999999996</v>
      </c>
      <c r="AI56">
        <v>12</v>
      </c>
      <c r="AJ56">
        <v>12</v>
      </c>
      <c r="AK56">
        <v>8</v>
      </c>
      <c r="AL56" s="4">
        <v>0.66666669999999995</v>
      </c>
      <c r="AM56">
        <v>14</v>
      </c>
      <c r="AN56">
        <v>12</v>
      </c>
      <c r="AO56">
        <v>9</v>
      </c>
      <c r="AP56" s="4">
        <v>0.75</v>
      </c>
      <c r="AQ56">
        <v>8</v>
      </c>
      <c r="AR56">
        <v>8</v>
      </c>
      <c r="AS56">
        <v>5</v>
      </c>
      <c r="AT56" s="4">
        <v>0.625</v>
      </c>
      <c r="AU56">
        <v>10</v>
      </c>
      <c r="AV56">
        <v>10</v>
      </c>
      <c r="AW56">
        <v>3</v>
      </c>
      <c r="AX56" s="4">
        <v>0.3</v>
      </c>
      <c r="AY56" t="s">
        <v>526</v>
      </c>
      <c r="AZ56" t="s">
        <v>540</v>
      </c>
      <c r="BA56" t="str">
        <f t="shared" si="0"/>
        <v>Proportion of patients treated within 14 days of symptoms within England</v>
      </c>
      <c r="BB56" s="4">
        <v>0.59712746858168764</v>
      </c>
      <c r="BC56" s="4">
        <v>0.5577350111028867</v>
      </c>
      <c r="BD56" s="4">
        <v>0.49857346647646222</v>
      </c>
    </row>
    <row r="57" spans="1:56" x14ac:dyDescent="0.25">
      <c r="A57" t="s">
        <v>33</v>
      </c>
      <c r="B57" t="s">
        <v>32</v>
      </c>
      <c r="C57">
        <v>19</v>
      </c>
      <c r="D57">
        <v>16</v>
      </c>
      <c r="E57">
        <v>8</v>
      </c>
      <c r="F57" s="4">
        <v>0.5</v>
      </c>
      <c r="G57">
        <v>17</v>
      </c>
      <c r="H57">
        <v>15</v>
      </c>
      <c r="I57">
        <v>10</v>
      </c>
      <c r="J57" s="4">
        <v>0.66666669999999995</v>
      </c>
      <c r="K57">
        <v>17</v>
      </c>
      <c r="L57">
        <v>17</v>
      </c>
      <c r="M57">
        <v>9</v>
      </c>
      <c r="N57" s="4">
        <v>0.52941179999999999</v>
      </c>
      <c r="O57">
        <v>14</v>
      </c>
      <c r="P57">
        <v>14</v>
      </c>
      <c r="Q57">
        <v>7</v>
      </c>
      <c r="R57" s="4">
        <v>0.5</v>
      </c>
      <c r="S57">
        <v>20</v>
      </c>
      <c r="T57">
        <v>20</v>
      </c>
      <c r="U57">
        <v>11</v>
      </c>
      <c r="V57" s="4">
        <v>0.55000000000000004</v>
      </c>
      <c r="W57">
        <v>16</v>
      </c>
      <c r="X57">
        <v>16</v>
      </c>
      <c r="Y57">
        <v>11</v>
      </c>
      <c r="Z57" s="4">
        <v>0.6875</v>
      </c>
      <c r="AA57">
        <v>18</v>
      </c>
      <c r="AB57">
        <v>18</v>
      </c>
      <c r="AC57">
        <v>6</v>
      </c>
      <c r="AD57" s="4">
        <v>0.3333333</v>
      </c>
      <c r="AE57">
        <v>13</v>
      </c>
      <c r="AF57">
        <v>13</v>
      </c>
      <c r="AG57">
        <v>6</v>
      </c>
      <c r="AH57" s="4">
        <v>0.46153850000000002</v>
      </c>
      <c r="AI57">
        <v>16</v>
      </c>
      <c r="AJ57">
        <v>16</v>
      </c>
      <c r="AK57">
        <v>6</v>
      </c>
      <c r="AL57" s="4">
        <v>0.375</v>
      </c>
      <c r="AM57">
        <v>22</v>
      </c>
      <c r="AN57">
        <v>21</v>
      </c>
      <c r="AO57">
        <v>15</v>
      </c>
      <c r="AP57" s="4">
        <v>0.71428570000000002</v>
      </c>
      <c r="AQ57">
        <v>22</v>
      </c>
      <c r="AR57">
        <v>19</v>
      </c>
      <c r="AS57">
        <v>6</v>
      </c>
      <c r="AT57" s="4">
        <v>0.3157895</v>
      </c>
      <c r="AU57">
        <v>17</v>
      </c>
      <c r="AV57">
        <v>15</v>
      </c>
      <c r="AW57">
        <v>5</v>
      </c>
      <c r="AX57" s="4">
        <v>0.3333333</v>
      </c>
      <c r="AY57" t="s">
        <v>526</v>
      </c>
      <c r="AZ57" t="s">
        <v>540</v>
      </c>
      <c r="BA57" t="str">
        <f t="shared" si="0"/>
        <v>Proportion of patients treated within 14 days of symptoms within England</v>
      </c>
      <c r="BB57" s="4">
        <v>0.59712746858168764</v>
      </c>
      <c r="BC57" s="4">
        <v>0.5577350111028867</v>
      </c>
      <c r="BD57" s="4">
        <v>0.49857346647646222</v>
      </c>
    </row>
    <row r="58" spans="1:56" x14ac:dyDescent="0.25">
      <c r="A58" t="s">
        <v>148</v>
      </c>
      <c r="B58" t="s">
        <v>147</v>
      </c>
      <c r="C58">
        <v>5</v>
      </c>
      <c r="D58">
        <v>5</v>
      </c>
      <c r="E58">
        <v>5</v>
      </c>
      <c r="F58" s="4">
        <v>1</v>
      </c>
      <c r="G58">
        <v>6</v>
      </c>
      <c r="H58">
        <v>6</v>
      </c>
      <c r="I58">
        <v>5</v>
      </c>
      <c r="J58" s="4">
        <v>0.83333330000000005</v>
      </c>
      <c r="K58">
        <v>7</v>
      </c>
      <c r="L58">
        <v>7</v>
      </c>
      <c r="M58">
        <v>6</v>
      </c>
      <c r="N58" s="4">
        <v>0.85714290000000004</v>
      </c>
      <c r="O58">
        <v>13</v>
      </c>
      <c r="P58">
        <v>13</v>
      </c>
      <c r="Q58">
        <v>6</v>
      </c>
      <c r="R58" s="4">
        <v>0.46153850000000002</v>
      </c>
      <c r="S58">
        <v>16</v>
      </c>
      <c r="T58">
        <v>16</v>
      </c>
      <c r="U58">
        <v>13</v>
      </c>
      <c r="V58" s="4">
        <v>0.8125</v>
      </c>
      <c r="W58">
        <v>8</v>
      </c>
      <c r="X58">
        <v>8</v>
      </c>
      <c r="Y58">
        <v>5</v>
      </c>
      <c r="Z58" s="4">
        <v>0.625</v>
      </c>
      <c r="AA58">
        <v>12</v>
      </c>
      <c r="AB58">
        <v>12</v>
      </c>
      <c r="AC58">
        <v>8</v>
      </c>
      <c r="AD58" s="4">
        <v>0.66666669999999995</v>
      </c>
      <c r="AE58">
        <v>7</v>
      </c>
      <c r="AF58">
        <v>7</v>
      </c>
      <c r="AG58">
        <v>6</v>
      </c>
      <c r="AH58" s="4">
        <v>0.85714290000000004</v>
      </c>
      <c r="AI58">
        <v>10</v>
      </c>
      <c r="AJ58">
        <v>10</v>
      </c>
      <c r="AK58">
        <v>9</v>
      </c>
      <c r="AL58" s="4">
        <v>0.9</v>
      </c>
      <c r="AM58">
        <v>16</v>
      </c>
      <c r="AN58">
        <v>16</v>
      </c>
      <c r="AO58">
        <v>14</v>
      </c>
      <c r="AP58" s="4">
        <v>0.875</v>
      </c>
      <c r="AQ58">
        <v>9</v>
      </c>
      <c r="AR58">
        <v>9</v>
      </c>
      <c r="AS58">
        <v>7</v>
      </c>
      <c r="AT58" s="4">
        <v>0.77777779999999996</v>
      </c>
      <c r="AU58">
        <v>12</v>
      </c>
      <c r="AV58">
        <v>11</v>
      </c>
      <c r="AW58">
        <v>9</v>
      </c>
      <c r="AX58" s="4">
        <v>0.81818179999999996</v>
      </c>
      <c r="AY58" t="s">
        <v>526</v>
      </c>
      <c r="AZ58" t="s">
        <v>540</v>
      </c>
      <c r="BA58" t="str">
        <f t="shared" si="0"/>
        <v>Proportion of patients treated within 14 days of symptoms within England</v>
      </c>
      <c r="BB58" s="4">
        <v>0.59712746858168764</v>
      </c>
      <c r="BC58" s="4">
        <v>0.5577350111028867</v>
      </c>
      <c r="BD58" s="4">
        <v>0.49857346647646222</v>
      </c>
    </row>
    <row r="59" spans="1:56" x14ac:dyDescent="0.25">
      <c r="A59" t="s">
        <v>65</v>
      </c>
      <c r="B59" t="s">
        <v>64</v>
      </c>
      <c r="C59">
        <v>13</v>
      </c>
      <c r="D59">
        <v>11</v>
      </c>
      <c r="E59">
        <v>9</v>
      </c>
      <c r="F59" s="4">
        <v>0.81818179999999996</v>
      </c>
      <c r="G59">
        <v>8</v>
      </c>
      <c r="H59">
        <v>8</v>
      </c>
      <c r="I59">
        <v>4</v>
      </c>
      <c r="J59" s="4">
        <v>0.5</v>
      </c>
      <c r="K59">
        <v>9</v>
      </c>
      <c r="L59">
        <v>9</v>
      </c>
      <c r="M59">
        <v>4</v>
      </c>
      <c r="N59" s="4">
        <v>0.44444440000000002</v>
      </c>
      <c r="O59">
        <v>8</v>
      </c>
      <c r="P59">
        <v>6</v>
      </c>
      <c r="Q59">
        <v>5</v>
      </c>
      <c r="R59" s="4">
        <v>0.83333330000000005</v>
      </c>
      <c r="S59">
        <v>8</v>
      </c>
      <c r="T59">
        <v>7</v>
      </c>
      <c r="U59">
        <v>6</v>
      </c>
      <c r="V59" s="4">
        <v>0.85714290000000004</v>
      </c>
      <c r="W59">
        <v>7</v>
      </c>
      <c r="X59">
        <v>6</v>
      </c>
      <c r="Y59">
        <v>3</v>
      </c>
      <c r="Z59" s="4">
        <v>0.5</v>
      </c>
      <c r="AA59">
        <v>7</v>
      </c>
      <c r="AB59">
        <v>6</v>
      </c>
      <c r="AC59">
        <v>4</v>
      </c>
      <c r="AD59" s="4">
        <v>0.66666669999999995</v>
      </c>
      <c r="AE59">
        <v>3</v>
      </c>
      <c r="AF59">
        <v>3</v>
      </c>
      <c r="AG59">
        <v>2</v>
      </c>
      <c r="AH59" s="4">
        <v>0.66666669999999995</v>
      </c>
      <c r="AI59">
        <v>7</v>
      </c>
      <c r="AJ59">
        <v>7</v>
      </c>
      <c r="AK59">
        <v>5</v>
      </c>
      <c r="AL59" s="4">
        <v>0.71428570000000002</v>
      </c>
      <c r="AM59">
        <v>6</v>
      </c>
      <c r="AN59">
        <v>6</v>
      </c>
      <c r="AO59">
        <v>6</v>
      </c>
      <c r="AP59" s="4">
        <v>1</v>
      </c>
      <c r="AQ59">
        <v>7</v>
      </c>
      <c r="AR59">
        <v>7</v>
      </c>
      <c r="AS59">
        <v>3</v>
      </c>
      <c r="AT59" s="4">
        <v>0.42857139999999999</v>
      </c>
      <c r="AU59">
        <v>8</v>
      </c>
      <c r="AV59">
        <v>7</v>
      </c>
      <c r="AW59">
        <v>6</v>
      </c>
      <c r="AX59" s="4">
        <v>0.85714290000000004</v>
      </c>
      <c r="AY59" t="s">
        <v>526</v>
      </c>
      <c r="AZ59" t="s">
        <v>540</v>
      </c>
      <c r="BA59" t="str">
        <f t="shared" si="0"/>
        <v>Proportion of patients treated within 14 days of symptoms within England</v>
      </c>
      <c r="BB59" s="4">
        <v>0.59712746858168764</v>
      </c>
      <c r="BC59" s="4">
        <v>0.5577350111028867</v>
      </c>
      <c r="BD59" s="4">
        <v>0.49857346647646222</v>
      </c>
    </row>
    <row r="60" spans="1:56" x14ac:dyDescent="0.25">
      <c r="A60" t="s">
        <v>50</v>
      </c>
      <c r="B60" t="s">
        <v>49</v>
      </c>
      <c r="C60">
        <v>12</v>
      </c>
      <c r="D60">
        <v>11</v>
      </c>
      <c r="E60">
        <v>9</v>
      </c>
      <c r="F60" s="4">
        <v>0.81818179999999996</v>
      </c>
      <c r="G60">
        <v>9</v>
      </c>
      <c r="H60">
        <v>9</v>
      </c>
      <c r="I60">
        <v>5</v>
      </c>
      <c r="J60" s="4">
        <v>0.55555560000000004</v>
      </c>
      <c r="K60">
        <v>7</v>
      </c>
      <c r="L60">
        <v>7</v>
      </c>
      <c r="M60">
        <v>5</v>
      </c>
      <c r="N60" s="4">
        <v>0.71428570000000002</v>
      </c>
      <c r="O60">
        <v>9</v>
      </c>
      <c r="P60">
        <v>9</v>
      </c>
      <c r="Q60">
        <v>7</v>
      </c>
      <c r="R60" s="4">
        <v>0.77777779999999996</v>
      </c>
      <c r="S60">
        <v>7</v>
      </c>
      <c r="T60">
        <v>7</v>
      </c>
      <c r="U60">
        <v>2</v>
      </c>
      <c r="V60" s="4">
        <v>0.28571429999999998</v>
      </c>
      <c r="W60">
        <v>10</v>
      </c>
      <c r="X60">
        <v>10</v>
      </c>
      <c r="Y60">
        <v>6</v>
      </c>
      <c r="Z60" s="4">
        <v>0.6</v>
      </c>
      <c r="AA60">
        <v>10</v>
      </c>
      <c r="AB60">
        <v>10</v>
      </c>
      <c r="AC60">
        <v>5</v>
      </c>
      <c r="AD60" s="4">
        <v>0.5</v>
      </c>
      <c r="AE60">
        <v>15</v>
      </c>
      <c r="AF60">
        <v>14</v>
      </c>
      <c r="AG60">
        <v>8</v>
      </c>
      <c r="AH60" s="4">
        <v>0.57142859999999995</v>
      </c>
      <c r="AI60">
        <v>8</v>
      </c>
      <c r="AJ60">
        <v>8</v>
      </c>
      <c r="AK60">
        <v>4</v>
      </c>
      <c r="AL60" s="4">
        <v>0.5</v>
      </c>
      <c r="AM60">
        <v>10</v>
      </c>
      <c r="AN60">
        <v>10</v>
      </c>
      <c r="AO60">
        <v>6</v>
      </c>
      <c r="AP60" s="4">
        <v>0.6</v>
      </c>
      <c r="AQ60">
        <v>5</v>
      </c>
      <c r="AR60">
        <v>4</v>
      </c>
      <c r="AS60">
        <v>2</v>
      </c>
      <c r="AT60" s="4">
        <v>0.5</v>
      </c>
      <c r="AU60">
        <v>15</v>
      </c>
      <c r="AV60">
        <v>15</v>
      </c>
      <c r="AW60">
        <v>6</v>
      </c>
      <c r="AX60" s="4">
        <v>0.4</v>
      </c>
      <c r="AY60" t="s">
        <v>526</v>
      </c>
      <c r="AZ60" t="s">
        <v>540</v>
      </c>
      <c r="BA60" t="str">
        <f t="shared" si="0"/>
        <v>Proportion of patients treated within 14 days of symptoms within England</v>
      </c>
      <c r="BB60" s="4">
        <v>0.59712746858168764</v>
      </c>
      <c r="BC60" s="4">
        <v>0.5577350111028867</v>
      </c>
      <c r="BD60" s="4">
        <v>0.49857346647646222</v>
      </c>
    </row>
    <row r="61" spans="1:56" x14ac:dyDescent="0.25">
      <c r="A61" t="s">
        <v>140</v>
      </c>
      <c r="B61" t="s">
        <v>139</v>
      </c>
      <c r="C61">
        <v>18</v>
      </c>
      <c r="D61">
        <v>17</v>
      </c>
      <c r="E61">
        <v>15</v>
      </c>
      <c r="F61" s="4">
        <v>0.8823529</v>
      </c>
      <c r="G61">
        <v>10</v>
      </c>
      <c r="H61">
        <v>10</v>
      </c>
      <c r="I61">
        <v>5</v>
      </c>
      <c r="J61" s="4">
        <v>0.5</v>
      </c>
      <c r="K61">
        <v>13</v>
      </c>
      <c r="L61">
        <v>12</v>
      </c>
      <c r="M61">
        <v>10</v>
      </c>
      <c r="N61" s="4">
        <v>0.83333330000000005</v>
      </c>
      <c r="O61">
        <v>12</v>
      </c>
      <c r="P61">
        <v>11</v>
      </c>
      <c r="Q61">
        <v>9</v>
      </c>
      <c r="R61" s="4">
        <v>0.81818179999999996</v>
      </c>
      <c r="S61">
        <v>9</v>
      </c>
      <c r="T61">
        <v>9</v>
      </c>
      <c r="U61">
        <v>8</v>
      </c>
      <c r="V61" s="4">
        <v>0.88888889999999998</v>
      </c>
      <c r="W61">
        <v>11</v>
      </c>
      <c r="X61">
        <v>10</v>
      </c>
      <c r="Y61">
        <v>8</v>
      </c>
      <c r="Z61" s="4">
        <v>0.8</v>
      </c>
      <c r="AA61">
        <v>3</v>
      </c>
      <c r="AB61">
        <v>3</v>
      </c>
      <c r="AC61">
        <v>3</v>
      </c>
      <c r="AD61" s="4">
        <v>1</v>
      </c>
      <c r="AE61">
        <v>5</v>
      </c>
      <c r="AF61">
        <v>5</v>
      </c>
      <c r="AG61">
        <v>1</v>
      </c>
      <c r="AH61" s="4">
        <v>0.2</v>
      </c>
      <c r="AI61">
        <v>4</v>
      </c>
      <c r="AJ61">
        <v>4</v>
      </c>
      <c r="AK61">
        <v>4</v>
      </c>
      <c r="AL61" s="4">
        <v>1</v>
      </c>
      <c r="AM61">
        <v>7</v>
      </c>
      <c r="AN61">
        <v>7</v>
      </c>
      <c r="AO61">
        <v>3</v>
      </c>
      <c r="AP61" s="4">
        <v>0.42857139999999999</v>
      </c>
      <c r="AQ61">
        <v>4</v>
      </c>
      <c r="AR61">
        <v>4</v>
      </c>
      <c r="AS61">
        <v>4</v>
      </c>
      <c r="AT61" s="4">
        <v>1</v>
      </c>
      <c r="AU61">
        <v>4</v>
      </c>
      <c r="AV61">
        <v>4</v>
      </c>
      <c r="AW61">
        <v>4</v>
      </c>
      <c r="AX61" s="4">
        <v>1</v>
      </c>
      <c r="AY61" t="s">
        <v>526</v>
      </c>
      <c r="AZ61" t="s">
        <v>540</v>
      </c>
      <c r="BA61" t="str">
        <f t="shared" si="0"/>
        <v>Proportion of patients treated within 14 days of symptoms within England</v>
      </c>
      <c r="BB61" s="4">
        <v>0.59712746858168764</v>
      </c>
      <c r="BC61" s="4">
        <v>0.5577350111028867</v>
      </c>
      <c r="BD61" s="4">
        <v>0.49857346647646222</v>
      </c>
    </row>
    <row r="62" spans="1:56" x14ac:dyDescent="0.25">
      <c r="A62" t="s">
        <v>123</v>
      </c>
      <c r="B62" t="s">
        <v>74</v>
      </c>
      <c r="C62">
        <v>6</v>
      </c>
      <c r="D62">
        <v>6</v>
      </c>
      <c r="E62">
        <v>3</v>
      </c>
      <c r="F62" s="4">
        <v>0.5</v>
      </c>
      <c r="G62">
        <v>5</v>
      </c>
      <c r="H62">
        <v>5</v>
      </c>
      <c r="I62">
        <v>4</v>
      </c>
      <c r="J62" s="4">
        <v>0.8</v>
      </c>
      <c r="K62">
        <v>10</v>
      </c>
      <c r="L62">
        <v>9</v>
      </c>
      <c r="M62">
        <v>6</v>
      </c>
      <c r="N62" s="4">
        <v>0.66666669999999995</v>
      </c>
      <c r="O62">
        <v>4</v>
      </c>
      <c r="P62">
        <v>4</v>
      </c>
      <c r="Q62">
        <v>3</v>
      </c>
      <c r="R62" s="4">
        <v>0.75</v>
      </c>
      <c r="S62">
        <v>6</v>
      </c>
      <c r="T62">
        <v>6</v>
      </c>
      <c r="U62">
        <v>5</v>
      </c>
      <c r="V62" s="4">
        <v>0.83333330000000005</v>
      </c>
      <c r="W62">
        <v>5</v>
      </c>
      <c r="X62">
        <v>5</v>
      </c>
      <c r="Y62">
        <v>5</v>
      </c>
      <c r="Z62" s="4">
        <v>1</v>
      </c>
      <c r="AA62">
        <v>9</v>
      </c>
      <c r="AB62">
        <v>9</v>
      </c>
      <c r="AC62">
        <v>8</v>
      </c>
      <c r="AD62" s="4">
        <v>0.88888889999999998</v>
      </c>
      <c r="AE62">
        <v>8</v>
      </c>
      <c r="AF62">
        <v>8</v>
      </c>
      <c r="AG62">
        <v>5</v>
      </c>
      <c r="AH62" s="4">
        <v>0.625</v>
      </c>
      <c r="AI62">
        <v>15</v>
      </c>
      <c r="AJ62">
        <v>15</v>
      </c>
      <c r="AK62">
        <v>10</v>
      </c>
      <c r="AL62" s="4">
        <v>0.66666669999999995</v>
      </c>
      <c r="AM62">
        <v>5</v>
      </c>
      <c r="AN62">
        <v>5</v>
      </c>
      <c r="AO62">
        <v>3</v>
      </c>
      <c r="AP62" s="4">
        <v>0.6</v>
      </c>
      <c r="AQ62">
        <v>7</v>
      </c>
      <c r="AR62">
        <v>7</v>
      </c>
      <c r="AS62">
        <v>5</v>
      </c>
      <c r="AT62" s="4">
        <v>0.71428570000000002</v>
      </c>
      <c r="AU62">
        <v>6</v>
      </c>
      <c r="AV62">
        <v>6</v>
      </c>
      <c r="AW62">
        <v>3</v>
      </c>
      <c r="AX62" s="4">
        <v>0.5</v>
      </c>
      <c r="AY62" t="s">
        <v>526</v>
      </c>
      <c r="AZ62" t="s">
        <v>540</v>
      </c>
      <c r="BA62" t="str">
        <f t="shared" si="0"/>
        <v>Proportion of patients treated within 14 days of symptoms within England</v>
      </c>
      <c r="BB62" s="4">
        <v>0.59712746858168764</v>
      </c>
      <c r="BC62" s="4">
        <v>0.5577350111028867</v>
      </c>
      <c r="BD62" s="4">
        <v>0.49857346647646222</v>
      </c>
    </row>
    <row r="63" spans="1:56" x14ac:dyDescent="0.25">
      <c r="A63" t="s">
        <v>86</v>
      </c>
      <c r="B63" t="s">
        <v>85</v>
      </c>
      <c r="C63">
        <v>15</v>
      </c>
      <c r="D63">
        <v>15</v>
      </c>
      <c r="E63">
        <v>14</v>
      </c>
      <c r="F63" s="4">
        <v>0.93333330000000003</v>
      </c>
      <c r="G63">
        <v>13</v>
      </c>
      <c r="H63">
        <v>13</v>
      </c>
      <c r="I63">
        <v>12</v>
      </c>
      <c r="J63" s="4">
        <v>0.92307689999999998</v>
      </c>
      <c r="K63">
        <v>12</v>
      </c>
      <c r="L63">
        <v>12</v>
      </c>
      <c r="M63">
        <v>7</v>
      </c>
      <c r="N63" s="4">
        <v>0.58333330000000005</v>
      </c>
      <c r="O63">
        <v>20</v>
      </c>
      <c r="P63">
        <v>18</v>
      </c>
      <c r="Q63">
        <v>7</v>
      </c>
      <c r="R63" s="4">
        <v>0.38888889999999998</v>
      </c>
      <c r="S63">
        <v>10</v>
      </c>
      <c r="T63">
        <v>10</v>
      </c>
      <c r="U63">
        <v>8</v>
      </c>
      <c r="V63" s="4">
        <v>0.8</v>
      </c>
      <c r="W63">
        <v>17</v>
      </c>
      <c r="X63">
        <v>17</v>
      </c>
      <c r="Y63">
        <v>14</v>
      </c>
      <c r="Z63" s="4">
        <v>0.82352939999999997</v>
      </c>
      <c r="AA63">
        <v>20</v>
      </c>
      <c r="AB63">
        <v>20</v>
      </c>
      <c r="AC63">
        <v>12</v>
      </c>
      <c r="AD63" s="4">
        <v>0.6</v>
      </c>
      <c r="AE63">
        <v>10</v>
      </c>
      <c r="AF63">
        <v>10</v>
      </c>
      <c r="AG63">
        <v>6</v>
      </c>
      <c r="AH63" s="4">
        <v>0.6</v>
      </c>
      <c r="AI63">
        <v>14</v>
      </c>
      <c r="AJ63">
        <v>13</v>
      </c>
      <c r="AK63">
        <v>9</v>
      </c>
      <c r="AL63" s="4">
        <v>0.69230769999999997</v>
      </c>
      <c r="AM63">
        <v>14</v>
      </c>
      <c r="AN63">
        <v>14</v>
      </c>
      <c r="AO63">
        <v>12</v>
      </c>
      <c r="AP63" s="4">
        <v>0.85714290000000004</v>
      </c>
      <c r="AQ63">
        <v>12</v>
      </c>
      <c r="AR63">
        <v>12</v>
      </c>
      <c r="AS63">
        <v>10</v>
      </c>
      <c r="AT63" s="4">
        <v>0.83333330000000005</v>
      </c>
      <c r="AU63">
        <v>14</v>
      </c>
      <c r="AV63">
        <v>13</v>
      </c>
      <c r="AW63">
        <v>11</v>
      </c>
      <c r="AX63" s="4">
        <v>0.84615390000000001</v>
      </c>
      <c r="AY63" t="s">
        <v>526</v>
      </c>
      <c r="AZ63" t="s">
        <v>540</v>
      </c>
      <c r="BA63" t="str">
        <f t="shared" si="0"/>
        <v>Proportion of patients treated within 14 days of symptoms within England</v>
      </c>
      <c r="BB63" s="4">
        <v>0.59712746858168764</v>
      </c>
      <c r="BC63" s="4">
        <v>0.5577350111028867</v>
      </c>
      <c r="BD63" s="4">
        <v>0.49857346647646222</v>
      </c>
    </row>
    <row r="64" spans="1:56" x14ac:dyDescent="0.25">
      <c r="A64" t="s">
        <v>120</v>
      </c>
      <c r="B64" t="s">
        <v>48</v>
      </c>
      <c r="C64">
        <v>7</v>
      </c>
      <c r="D64">
        <v>6</v>
      </c>
      <c r="E64">
        <v>5</v>
      </c>
      <c r="F64" s="4">
        <v>0.83333330000000005</v>
      </c>
      <c r="G64">
        <v>10</v>
      </c>
      <c r="H64">
        <v>10</v>
      </c>
      <c r="I64">
        <v>3</v>
      </c>
      <c r="J64" s="4">
        <v>0.3</v>
      </c>
      <c r="K64">
        <v>5</v>
      </c>
      <c r="L64">
        <v>5</v>
      </c>
      <c r="M64">
        <v>3</v>
      </c>
      <c r="N64" s="4">
        <v>0.6</v>
      </c>
      <c r="O64">
        <v>7</v>
      </c>
      <c r="P64">
        <v>7</v>
      </c>
      <c r="Q64">
        <v>3</v>
      </c>
      <c r="R64" s="4">
        <v>0.42857139999999999</v>
      </c>
      <c r="S64">
        <v>10</v>
      </c>
      <c r="T64">
        <v>8</v>
      </c>
      <c r="U64">
        <v>4</v>
      </c>
      <c r="V64" s="4">
        <v>0.5</v>
      </c>
      <c r="W64">
        <v>8</v>
      </c>
      <c r="X64">
        <v>5</v>
      </c>
      <c r="Y64">
        <v>2</v>
      </c>
      <c r="Z64" s="4">
        <v>0.4</v>
      </c>
      <c r="AA64">
        <v>10</v>
      </c>
      <c r="AB64">
        <v>9</v>
      </c>
      <c r="AC64">
        <v>3</v>
      </c>
      <c r="AD64" s="4">
        <v>0.3333333</v>
      </c>
      <c r="AE64">
        <v>9</v>
      </c>
      <c r="AF64">
        <v>9</v>
      </c>
      <c r="AG64">
        <v>5</v>
      </c>
      <c r="AH64" s="4">
        <v>0.55555560000000004</v>
      </c>
      <c r="AI64">
        <v>17</v>
      </c>
      <c r="AJ64">
        <v>15</v>
      </c>
      <c r="AK64">
        <v>11</v>
      </c>
      <c r="AL64" s="4">
        <v>0.73333329999999997</v>
      </c>
      <c r="AM64">
        <v>13</v>
      </c>
      <c r="AN64">
        <v>10</v>
      </c>
      <c r="AO64">
        <v>2</v>
      </c>
      <c r="AP64" s="4">
        <v>0.2</v>
      </c>
      <c r="AQ64">
        <v>7</v>
      </c>
      <c r="AR64">
        <v>7</v>
      </c>
      <c r="AS64">
        <v>3</v>
      </c>
      <c r="AT64" s="4">
        <v>0.42857139999999999</v>
      </c>
      <c r="AU64">
        <v>10</v>
      </c>
      <c r="AV64">
        <v>8</v>
      </c>
      <c r="AW64">
        <v>5</v>
      </c>
      <c r="AX64" s="4">
        <v>0.625</v>
      </c>
      <c r="AY64" t="s">
        <v>526</v>
      </c>
      <c r="AZ64" t="s">
        <v>540</v>
      </c>
      <c r="BA64" t="str">
        <f t="shared" si="0"/>
        <v>Proportion of patients treated within 14 days of symptoms within England</v>
      </c>
      <c r="BB64" s="4">
        <v>0.59712746858168764</v>
      </c>
      <c r="BC64" s="4">
        <v>0.5577350111028867</v>
      </c>
      <c r="BD64" s="4">
        <v>0.49857346647646222</v>
      </c>
    </row>
    <row r="65" spans="1:56" x14ac:dyDescent="0.25">
      <c r="A65" t="s">
        <v>156</v>
      </c>
      <c r="B65" t="s">
        <v>87</v>
      </c>
      <c r="C65">
        <v>9</v>
      </c>
      <c r="D65">
        <v>9</v>
      </c>
      <c r="E65">
        <v>4</v>
      </c>
      <c r="F65" s="4">
        <v>0.44444440000000002</v>
      </c>
      <c r="G65">
        <v>7</v>
      </c>
      <c r="H65">
        <v>7</v>
      </c>
      <c r="I65">
        <v>4</v>
      </c>
      <c r="J65" s="4">
        <v>0.57142859999999995</v>
      </c>
      <c r="K65">
        <v>9</v>
      </c>
      <c r="L65">
        <v>9</v>
      </c>
      <c r="M65">
        <v>8</v>
      </c>
      <c r="N65" s="4">
        <v>0.88888889999999998</v>
      </c>
      <c r="O65">
        <v>14</v>
      </c>
      <c r="P65">
        <v>14</v>
      </c>
      <c r="Q65">
        <v>10</v>
      </c>
      <c r="R65" s="4">
        <v>0.71428570000000002</v>
      </c>
      <c r="S65">
        <v>12</v>
      </c>
      <c r="T65">
        <v>12</v>
      </c>
      <c r="U65">
        <v>10</v>
      </c>
      <c r="V65" s="4">
        <v>0.83333330000000005</v>
      </c>
      <c r="W65">
        <v>10</v>
      </c>
      <c r="X65">
        <v>9</v>
      </c>
      <c r="Y65">
        <v>6</v>
      </c>
      <c r="Z65" s="4">
        <v>0.66666669999999995</v>
      </c>
      <c r="AA65">
        <v>10</v>
      </c>
      <c r="AB65">
        <v>10</v>
      </c>
      <c r="AC65">
        <v>6</v>
      </c>
      <c r="AD65" s="4">
        <v>0.6</v>
      </c>
      <c r="AE65">
        <v>10</v>
      </c>
      <c r="AF65">
        <v>10</v>
      </c>
      <c r="AG65">
        <v>8</v>
      </c>
      <c r="AH65" s="4">
        <v>0.8</v>
      </c>
      <c r="AI65">
        <v>6</v>
      </c>
      <c r="AJ65">
        <v>6</v>
      </c>
      <c r="AK65">
        <v>5</v>
      </c>
      <c r="AL65" s="4">
        <v>0.83333330000000005</v>
      </c>
      <c r="AM65">
        <v>8</v>
      </c>
      <c r="AN65">
        <v>8</v>
      </c>
      <c r="AO65">
        <v>7</v>
      </c>
      <c r="AP65" s="4">
        <v>0.875</v>
      </c>
      <c r="AQ65">
        <v>9</v>
      </c>
      <c r="AR65">
        <v>9</v>
      </c>
      <c r="AS65">
        <v>8</v>
      </c>
      <c r="AT65" s="4">
        <v>0.88888889999999998</v>
      </c>
      <c r="AU65">
        <v>11</v>
      </c>
      <c r="AV65">
        <v>11</v>
      </c>
      <c r="AW65">
        <v>6</v>
      </c>
      <c r="AX65" s="4">
        <v>0.54545460000000001</v>
      </c>
      <c r="AY65" t="s">
        <v>526</v>
      </c>
      <c r="AZ65" t="s">
        <v>540</v>
      </c>
      <c r="BA65" t="str">
        <f t="shared" si="0"/>
        <v>Proportion of patients treated within 14 days of symptoms within England</v>
      </c>
      <c r="BB65" s="4">
        <v>0.59712746858168764</v>
      </c>
      <c r="BC65" s="4">
        <v>0.5577350111028867</v>
      </c>
      <c r="BD65" s="4">
        <v>0.49857346647646222</v>
      </c>
    </row>
    <row r="66" spans="1:56" x14ac:dyDescent="0.25">
      <c r="A66" t="s">
        <v>91</v>
      </c>
      <c r="B66" t="s">
        <v>90</v>
      </c>
      <c r="C66">
        <v>12</v>
      </c>
      <c r="D66">
        <v>12</v>
      </c>
      <c r="E66">
        <v>6</v>
      </c>
      <c r="F66" s="4">
        <v>0.5</v>
      </c>
      <c r="G66">
        <v>13</v>
      </c>
      <c r="H66">
        <v>13</v>
      </c>
      <c r="I66">
        <v>8</v>
      </c>
      <c r="J66" s="4">
        <v>0.61538459999999995</v>
      </c>
      <c r="K66">
        <v>10</v>
      </c>
      <c r="L66">
        <v>9</v>
      </c>
      <c r="M66">
        <v>6</v>
      </c>
      <c r="N66" s="4">
        <v>0.66666669999999995</v>
      </c>
      <c r="O66">
        <v>17</v>
      </c>
      <c r="P66">
        <v>17</v>
      </c>
      <c r="Q66">
        <v>13</v>
      </c>
      <c r="R66" s="4">
        <v>0.76470590000000005</v>
      </c>
      <c r="S66">
        <v>17</v>
      </c>
      <c r="T66">
        <v>17</v>
      </c>
      <c r="U66">
        <v>12</v>
      </c>
      <c r="V66" s="4">
        <v>0.70588240000000002</v>
      </c>
      <c r="W66">
        <v>18</v>
      </c>
      <c r="X66">
        <v>18</v>
      </c>
      <c r="Y66">
        <v>14</v>
      </c>
      <c r="Z66" s="4">
        <v>0.77777779999999996</v>
      </c>
      <c r="AA66">
        <v>13</v>
      </c>
      <c r="AB66">
        <v>13</v>
      </c>
      <c r="AC66">
        <v>11</v>
      </c>
      <c r="AD66" s="4">
        <v>0.84615390000000001</v>
      </c>
      <c r="AE66">
        <v>10</v>
      </c>
      <c r="AF66">
        <v>9</v>
      </c>
      <c r="AG66">
        <v>5</v>
      </c>
      <c r="AH66" s="4">
        <v>0.55555560000000004</v>
      </c>
      <c r="AI66">
        <v>14</v>
      </c>
      <c r="AJ66">
        <v>13</v>
      </c>
      <c r="AK66">
        <v>9</v>
      </c>
      <c r="AL66" s="4">
        <v>0.69230769999999997</v>
      </c>
      <c r="AM66">
        <v>13</v>
      </c>
      <c r="AN66">
        <v>13</v>
      </c>
      <c r="AO66">
        <v>9</v>
      </c>
      <c r="AP66" s="4">
        <v>0.69230769999999997</v>
      </c>
      <c r="AQ66">
        <v>11</v>
      </c>
      <c r="AR66">
        <v>11</v>
      </c>
      <c r="AS66">
        <v>7</v>
      </c>
      <c r="AT66" s="4">
        <v>0.63636360000000003</v>
      </c>
      <c r="AU66">
        <v>7</v>
      </c>
      <c r="AV66">
        <v>7</v>
      </c>
      <c r="AW66">
        <v>7</v>
      </c>
      <c r="AX66" s="4">
        <v>1</v>
      </c>
      <c r="AY66" t="s">
        <v>526</v>
      </c>
      <c r="AZ66" t="s">
        <v>540</v>
      </c>
      <c r="BA66" t="str">
        <f t="shared" si="0"/>
        <v>Proportion of patients treated within 14 days of symptoms within England</v>
      </c>
      <c r="BB66" s="4">
        <v>0.59712746858168764</v>
      </c>
      <c r="BC66" s="4">
        <v>0.5577350111028867</v>
      </c>
      <c r="BD66" s="4">
        <v>0.49857346647646222</v>
      </c>
    </row>
    <row r="67" spans="1:56" x14ac:dyDescent="0.25">
      <c r="A67" t="s">
        <v>19</v>
      </c>
      <c r="B67" t="s">
        <v>18</v>
      </c>
      <c r="C67">
        <v>24</v>
      </c>
      <c r="D67">
        <v>23</v>
      </c>
      <c r="E67">
        <v>17</v>
      </c>
      <c r="F67" s="4">
        <v>0.73913039999999997</v>
      </c>
      <c r="G67">
        <v>21</v>
      </c>
      <c r="H67">
        <v>19</v>
      </c>
      <c r="I67">
        <v>13</v>
      </c>
      <c r="J67" s="4">
        <v>0.68421050000000005</v>
      </c>
      <c r="K67">
        <v>23</v>
      </c>
      <c r="L67">
        <v>23</v>
      </c>
      <c r="M67">
        <v>21</v>
      </c>
      <c r="N67" s="4">
        <v>0.91304350000000001</v>
      </c>
      <c r="O67">
        <v>17</v>
      </c>
      <c r="P67">
        <v>16</v>
      </c>
      <c r="Q67">
        <v>12</v>
      </c>
      <c r="R67" s="4">
        <v>0.75</v>
      </c>
      <c r="S67">
        <v>21</v>
      </c>
      <c r="T67">
        <v>21</v>
      </c>
      <c r="U67">
        <v>19</v>
      </c>
      <c r="V67" s="4">
        <v>0.90476190000000001</v>
      </c>
      <c r="W67">
        <v>21</v>
      </c>
      <c r="X67">
        <v>21</v>
      </c>
      <c r="Y67">
        <v>14</v>
      </c>
      <c r="Z67" s="4">
        <v>0.66666669999999995</v>
      </c>
      <c r="AA67">
        <v>25</v>
      </c>
      <c r="AB67">
        <v>24</v>
      </c>
      <c r="AC67">
        <v>15</v>
      </c>
      <c r="AD67" s="4">
        <v>0.625</v>
      </c>
      <c r="AE67">
        <v>16</v>
      </c>
      <c r="AF67">
        <v>14</v>
      </c>
      <c r="AG67">
        <v>13</v>
      </c>
      <c r="AH67" s="4">
        <v>0.92857140000000005</v>
      </c>
      <c r="AI67">
        <v>16</v>
      </c>
      <c r="AJ67">
        <v>15</v>
      </c>
      <c r="AK67">
        <v>15</v>
      </c>
      <c r="AL67" s="4">
        <v>1</v>
      </c>
      <c r="AM67">
        <v>21</v>
      </c>
      <c r="AN67">
        <v>20</v>
      </c>
      <c r="AO67">
        <v>19</v>
      </c>
      <c r="AP67" s="4">
        <v>0.95</v>
      </c>
      <c r="AQ67">
        <v>25</v>
      </c>
      <c r="AR67">
        <v>23</v>
      </c>
      <c r="AS67">
        <v>19</v>
      </c>
      <c r="AT67" s="4">
        <v>0.82608689999999996</v>
      </c>
      <c r="AU67">
        <v>34</v>
      </c>
      <c r="AV67">
        <v>29</v>
      </c>
      <c r="AW67">
        <v>24</v>
      </c>
      <c r="AX67" s="4">
        <v>0.82758620000000005</v>
      </c>
      <c r="AY67" t="s">
        <v>526</v>
      </c>
      <c r="AZ67" t="s">
        <v>540</v>
      </c>
      <c r="BA67" t="str">
        <f t="shared" ref="BA67" si="1">AZ67&amp;" "&amp;AY67</f>
        <v>Proportion of patients treated within 14 days of symptoms within England</v>
      </c>
      <c r="BB67" s="4">
        <v>0.59712746858168764</v>
      </c>
      <c r="BC67" s="4">
        <v>0.5577350111028867</v>
      </c>
      <c r="BD67" s="4">
        <v>0.49857346647646222</v>
      </c>
    </row>
  </sheetData>
  <sortState xmlns:xlrd2="http://schemas.microsoft.com/office/spreadsheetml/2017/richdata2" ref="A2:AW67">
    <sortCondition ref="A2:A6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Acknowledgements</vt:lpstr>
      <vt:lpstr>Notes</vt:lpstr>
      <vt:lpstr>CEA Quarterly Report</vt:lpstr>
      <vt:lpstr>AAA Quarterly Report</vt:lpstr>
      <vt:lpstr>LL Revasc Quarterly Report</vt:lpstr>
      <vt:lpstr>Major Amp Quarterly Report</vt:lpstr>
      <vt:lpstr>Calcs</vt:lpstr>
      <vt:lpstr>CEA Quarterly Results</vt:lpstr>
      <vt:lpstr>AAA Quarterly Results</vt:lpstr>
      <vt:lpstr>LL Revasc Quarterly Results</vt:lpstr>
      <vt:lpstr>Maj Amp Quarterly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2019-09-16T10:41:18Z</dcterms:created>
  <dcterms:modified xsi:type="dcterms:W3CDTF">2024-03-14T09:54:38Z</dcterms:modified>
</cp:coreProperties>
</file>